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M:\2022-Oppdrag\1350053592 Videreutvikling av FutureBuilt ZERO-O\7-PROD\N-Miljo_bygg\Revisjon 2024\"/>
    </mc:Choice>
  </mc:AlternateContent>
  <xr:revisionPtr revIDLastSave="0" documentId="13_ncr:1_{83656BFF-7C5C-4E10-88DE-4304D8ACC183}" xr6:coauthVersionLast="47" xr6:coauthVersionMax="47" xr10:uidLastSave="{00000000-0000-0000-0000-000000000000}"/>
  <workbookProtection workbookAlgorithmName="SHA-512" workbookHashValue="4FedsPUVrTK8yzQJHFy8fO8hj5CTT0A8Aaq8m//XxfWiIT/aEwsWS5tE9Vsb6LLZY6k0xfvelFA82D3a++ZJ3g==" workbookSaltValue="nyBQd5PhWUuEPc4jHUFYKw==" workbookSpinCount="100000" lockStructure="1"/>
  <bookViews>
    <workbookView xWindow="-120" yWindow="-120" windowWidth="38640" windowHeight="21240" xr2:uid="{9F6DA49E-EA80-4063-B518-09FE5C7F3AAB}"/>
  </bookViews>
  <sheets>
    <sheet name="Nøkkelinfo og veiledning" sheetId="17" r:id="rId1"/>
    <sheet name="Klimabudsjett" sheetId="19" r:id="rId2"/>
    <sheet name="Sammenlikning utviklingsforslag" sheetId="14" r:id="rId3"/>
    <sheet name="Bygningsmasse og transport" sheetId="15" r:id="rId4"/>
    <sheet name="Infrastruktur" sheetId="18" r:id="rId5"/>
    <sheet name="Landskap" sheetId="16" r:id="rId6"/>
    <sheet name="Utslippsfaktorer" sheetId="13" r:id="rId7"/>
    <sheet name="Versjonslogg" sheetId="20" r:id="rId8"/>
    <sheet name="Boligutbygging" sheetId="10" state="hidden" r:id="rId9"/>
    <sheet name="Statistikk 05940 antall" sheetId="8" state="hidden" r:id="rId10"/>
    <sheet name="Statistikk 05940 m2" sheetId="9" state="hidden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5" i="15" l="1"/>
  <c r="H127" i="15"/>
  <c r="G127" i="15"/>
  <c r="F127" i="15"/>
  <c r="E127" i="15"/>
  <c r="H126" i="15"/>
  <c r="G126" i="15"/>
  <c r="F126" i="15"/>
  <c r="E126" i="15"/>
  <c r="H125" i="15"/>
  <c r="G125" i="15"/>
  <c r="F125" i="15"/>
  <c r="E125" i="15"/>
  <c r="G124" i="15"/>
  <c r="E124" i="15"/>
  <c r="H123" i="15"/>
  <c r="G123" i="15"/>
  <c r="E123" i="15"/>
  <c r="H122" i="15"/>
  <c r="G122" i="15"/>
  <c r="E122" i="15"/>
  <c r="H121" i="15"/>
  <c r="G121" i="15"/>
  <c r="F121" i="15"/>
  <c r="E121" i="15"/>
  <c r="H120" i="15"/>
  <c r="G120" i="15"/>
  <c r="F120" i="15"/>
  <c r="E120" i="15"/>
  <c r="F119" i="15"/>
  <c r="E119" i="15"/>
  <c r="H118" i="15"/>
  <c r="G118" i="15"/>
  <c r="F118" i="15"/>
  <c r="E118" i="15"/>
  <c r="H117" i="15"/>
  <c r="G117" i="15"/>
  <c r="F117" i="15"/>
  <c r="E117" i="15"/>
  <c r="H116" i="15"/>
  <c r="H115" i="15"/>
  <c r="G116" i="15"/>
  <c r="G115" i="15"/>
  <c r="G114" i="15"/>
  <c r="F116" i="15"/>
  <c r="F114" i="15"/>
  <c r="F115" i="15"/>
  <c r="E114" i="15"/>
  <c r="D114" i="15"/>
  <c r="D115" i="15"/>
  <c r="E115" i="15"/>
  <c r="D116" i="15"/>
  <c r="E116" i="15"/>
  <c r="D117" i="15"/>
  <c r="D118" i="15"/>
  <c r="D119" i="15"/>
  <c r="D120" i="15"/>
  <c r="D121" i="15"/>
  <c r="D122" i="15"/>
  <c r="D123" i="15"/>
  <c r="D124" i="15"/>
  <c r="D125" i="15"/>
  <c r="D126" i="15"/>
  <c r="D127" i="15"/>
  <c r="M114" i="15"/>
  <c r="N114" i="15"/>
  <c r="O114" i="15"/>
  <c r="P114" i="15"/>
  <c r="M115" i="15"/>
  <c r="O115" i="15"/>
  <c r="P115" i="15"/>
  <c r="M116" i="15"/>
  <c r="N116" i="15"/>
  <c r="O116" i="15"/>
  <c r="P116" i="15"/>
  <c r="M117" i="15"/>
  <c r="N117" i="15"/>
  <c r="O117" i="15"/>
  <c r="P117" i="15"/>
  <c r="M118" i="15"/>
  <c r="N118" i="15"/>
  <c r="O118" i="15"/>
  <c r="P118" i="15"/>
  <c r="M119" i="15"/>
  <c r="N119" i="15"/>
  <c r="O119" i="15"/>
  <c r="P119" i="15"/>
  <c r="M120" i="15"/>
  <c r="N120" i="15"/>
  <c r="O120" i="15"/>
  <c r="P120" i="15"/>
  <c r="M121" i="15"/>
  <c r="N121" i="15"/>
  <c r="O121" i="15"/>
  <c r="P121" i="15"/>
  <c r="M122" i="15"/>
  <c r="N122" i="15"/>
  <c r="O122" i="15"/>
  <c r="P122" i="15"/>
  <c r="M123" i="15"/>
  <c r="N123" i="15"/>
  <c r="O123" i="15"/>
  <c r="P123" i="15"/>
  <c r="M124" i="15"/>
  <c r="N124" i="15"/>
  <c r="O124" i="15"/>
  <c r="P124" i="15"/>
  <c r="M125" i="15"/>
  <c r="N125" i="15"/>
  <c r="O125" i="15"/>
  <c r="P125" i="15"/>
  <c r="M126" i="15"/>
  <c r="N126" i="15"/>
  <c r="O126" i="15"/>
  <c r="P126" i="15"/>
  <c r="M127" i="15"/>
  <c r="N127" i="15"/>
  <c r="O127" i="15"/>
  <c r="P127" i="15"/>
  <c r="L127" i="15"/>
  <c r="L126" i="15"/>
  <c r="L125" i="15"/>
  <c r="L124" i="15"/>
  <c r="L123" i="15"/>
  <c r="L122" i="15"/>
  <c r="L121" i="15"/>
  <c r="L120" i="15"/>
  <c r="L119" i="15"/>
  <c r="L118" i="15"/>
  <c r="L117" i="15"/>
  <c r="L116" i="15"/>
  <c r="L114" i="15"/>
  <c r="L115" i="15"/>
  <c r="V174" i="14"/>
  <c r="V172" i="14"/>
  <c r="V171" i="14"/>
  <c r="V169" i="14"/>
  <c r="P174" i="14"/>
  <c r="J174" i="14"/>
  <c r="P172" i="14"/>
  <c r="J172" i="14"/>
  <c r="P171" i="14"/>
  <c r="J171" i="14"/>
  <c r="P169" i="14"/>
  <c r="J169" i="14"/>
  <c r="D174" i="14"/>
  <c r="D172" i="14"/>
  <c r="D171" i="14"/>
  <c r="D169" i="14"/>
  <c r="D152" i="14"/>
  <c r="D151" i="14"/>
  <c r="J150" i="14"/>
  <c r="J149" i="14"/>
  <c r="T156" i="14"/>
  <c r="P148" i="14"/>
  <c r="P146" i="14"/>
  <c r="Q146" i="14"/>
  <c r="R146" i="14"/>
  <c r="S146" i="14"/>
  <c r="T146" i="14"/>
  <c r="V146" i="14"/>
  <c r="W146" i="14"/>
  <c r="X146" i="14"/>
  <c r="Y146" i="14"/>
  <c r="Z146" i="14"/>
  <c r="P147" i="14"/>
  <c r="Q147" i="14"/>
  <c r="R147" i="14"/>
  <c r="S147" i="14"/>
  <c r="T147" i="14"/>
  <c r="V147" i="14"/>
  <c r="W147" i="14"/>
  <c r="X147" i="14"/>
  <c r="Y147" i="14"/>
  <c r="Z147" i="14"/>
  <c r="Q148" i="14"/>
  <c r="R148" i="14"/>
  <c r="S148" i="14"/>
  <c r="T148" i="14"/>
  <c r="V148" i="14"/>
  <c r="W148" i="14"/>
  <c r="X148" i="14"/>
  <c r="Y148" i="14"/>
  <c r="Z148" i="14"/>
  <c r="P149" i="14"/>
  <c r="Q149" i="14"/>
  <c r="R149" i="14"/>
  <c r="S149" i="14"/>
  <c r="T149" i="14"/>
  <c r="V149" i="14"/>
  <c r="W149" i="14"/>
  <c r="X149" i="14"/>
  <c r="Y149" i="14"/>
  <c r="Z149" i="14"/>
  <c r="P150" i="14"/>
  <c r="Q150" i="14"/>
  <c r="R150" i="14"/>
  <c r="S150" i="14"/>
  <c r="T150" i="14"/>
  <c r="V150" i="14"/>
  <c r="W150" i="14"/>
  <c r="X150" i="14"/>
  <c r="Y150" i="14"/>
  <c r="Z150" i="14"/>
  <c r="P151" i="14"/>
  <c r="Q151" i="14"/>
  <c r="R151" i="14"/>
  <c r="S151" i="14"/>
  <c r="T151" i="14"/>
  <c r="V151" i="14"/>
  <c r="W151" i="14"/>
  <c r="X151" i="14"/>
  <c r="Y151" i="14"/>
  <c r="Z151" i="14"/>
  <c r="P152" i="14"/>
  <c r="Q152" i="14"/>
  <c r="R152" i="14"/>
  <c r="S152" i="14"/>
  <c r="T152" i="14"/>
  <c r="V152" i="14"/>
  <c r="W152" i="14"/>
  <c r="X152" i="14"/>
  <c r="Y152" i="14"/>
  <c r="Z152" i="14"/>
  <c r="P153" i="14"/>
  <c r="Q153" i="14"/>
  <c r="R153" i="14"/>
  <c r="S153" i="14"/>
  <c r="T153" i="14"/>
  <c r="V153" i="14"/>
  <c r="W153" i="14"/>
  <c r="X153" i="14"/>
  <c r="Y153" i="14"/>
  <c r="Z153" i="14"/>
  <c r="P154" i="14"/>
  <c r="Q154" i="14"/>
  <c r="R154" i="14"/>
  <c r="S154" i="14"/>
  <c r="T154" i="14"/>
  <c r="V154" i="14"/>
  <c r="W154" i="14"/>
  <c r="X154" i="14"/>
  <c r="Y154" i="14"/>
  <c r="Z154" i="14"/>
  <c r="P155" i="14"/>
  <c r="Q155" i="14"/>
  <c r="R155" i="14"/>
  <c r="S155" i="14"/>
  <c r="T155" i="14"/>
  <c r="V155" i="14"/>
  <c r="W155" i="14"/>
  <c r="X155" i="14"/>
  <c r="Y155" i="14"/>
  <c r="Z155" i="14"/>
  <c r="P156" i="14"/>
  <c r="Q156" i="14"/>
  <c r="R156" i="14"/>
  <c r="S156" i="14"/>
  <c r="V156" i="14"/>
  <c r="W156" i="14"/>
  <c r="X156" i="14"/>
  <c r="Y156" i="14"/>
  <c r="Z156" i="14"/>
  <c r="P157" i="14"/>
  <c r="Q157" i="14"/>
  <c r="R157" i="14"/>
  <c r="S157" i="14"/>
  <c r="T157" i="14"/>
  <c r="V157" i="14"/>
  <c r="W157" i="14"/>
  <c r="X157" i="14"/>
  <c r="Y157" i="14"/>
  <c r="Z157" i="14"/>
  <c r="P158" i="14"/>
  <c r="Q158" i="14"/>
  <c r="R158" i="14"/>
  <c r="S158" i="14"/>
  <c r="T158" i="14"/>
  <c r="V158" i="14"/>
  <c r="W158" i="14"/>
  <c r="X158" i="14"/>
  <c r="Y158" i="14"/>
  <c r="Z158" i="14"/>
  <c r="P159" i="14"/>
  <c r="Q159" i="14"/>
  <c r="R159" i="14"/>
  <c r="S159" i="14"/>
  <c r="T159" i="14"/>
  <c r="V159" i="14"/>
  <c r="W159" i="14"/>
  <c r="X159" i="14"/>
  <c r="Y159" i="14"/>
  <c r="Z159" i="14"/>
  <c r="K152" i="14"/>
  <c r="J146" i="14"/>
  <c r="K146" i="14"/>
  <c r="L146" i="14"/>
  <c r="M146" i="14"/>
  <c r="N146" i="14"/>
  <c r="J147" i="14"/>
  <c r="K147" i="14"/>
  <c r="L147" i="14"/>
  <c r="M147" i="14"/>
  <c r="N147" i="14"/>
  <c r="J148" i="14"/>
  <c r="K148" i="14"/>
  <c r="L148" i="14"/>
  <c r="M148" i="14"/>
  <c r="N148" i="14"/>
  <c r="K149" i="14"/>
  <c r="L149" i="14"/>
  <c r="M149" i="14"/>
  <c r="N149" i="14"/>
  <c r="K150" i="14"/>
  <c r="L150" i="14"/>
  <c r="M150" i="14"/>
  <c r="N150" i="14"/>
  <c r="J151" i="14"/>
  <c r="K151" i="14"/>
  <c r="L151" i="14"/>
  <c r="M151" i="14"/>
  <c r="N151" i="14"/>
  <c r="J152" i="14"/>
  <c r="L152" i="14"/>
  <c r="M152" i="14"/>
  <c r="N152" i="14"/>
  <c r="J153" i="14"/>
  <c r="K153" i="14"/>
  <c r="L153" i="14"/>
  <c r="M153" i="14"/>
  <c r="N153" i="14"/>
  <c r="J154" i="14"/>
  <c r="K154" i="14"/>
  <c r="L154" i="14"/>
  <c r="M154" i="14"/>
  <c r="N154" i="14"/>
  <c r="J155" i="14"/>
  <c r="K155" i="14"/>
  <c r="L155" i="14"/>
  <c r="M155" i="14"/>
  <c r="N155" i="14"/>
  <c r="J156" i="14"/>
  <c r="K156" i="14"/>
  <c r="L156" i="14"/>
  <c r="M156" i="14"/>
  <c r="N156" i="14"/>
  <c r="J157" i="14"/>
  <c r="K157" i="14"/>
  <c r="L157" i="14"/>
  <c r="M157" i="14"/>
  <c r="N157" i="14"/>
  <c r="J158" i="14"/>
  <c r="K158" i="14"/>
  <c r="L158" i="14"/>
  <c r="M158" i="14"/>
  <c r="N158" i="14"/>
  <c r="J159" i="14"/>
  <c r="K159" i="14"/>
  <c r="L159" i="14"/>
  <c r="M159" i="14"/>
  <c r="N159" i="14"/>
  <c r="D159" i="14"/>
  <c r="D158" i="14"/>
  <c r="D157" i="14"/>
  <c r="D156" i="14"/>
  <c r="D155" i="14"/>
  <c r="D154" i="14"/>
  <c r="D153" i="14"/>
  <c r="D150" i="14"/>
  <c r="D149" i="14"/>
  <c r="D146" i="14"/>
  <c r="E159" i="14"/>
  <c r="F159" i="14"/>
  <c r="G159" i="14"/>
  <c r="H159" i="14"/>
  <c r="E158" i="14"/>
  <c r="F158" i="14"/>
  <c r="G158" i="14"/>
  <c r="H158" i="14"/>
  <c r="E157" i="14"/>
  <c r="F157" i="14"/>
  <c r="G157" i="14"/>
  <c r="H157" i="14"/>
  <c r="E156" i="14"/>
  <c r="F156" i="14"/>
  <c r="G156" i="14"/>
  <c r="H156" i="14"/>
  <c r="E155" i="14"/>
  <c r="F155" i="14"/>
  <c r="G155" i="14"/>
  <c r="H155" i="14"/>
  <c r="E154" i="14"/>
  <c r="F154" i="14"/>
  <c r="G154" i="14"/>
  <c r="H154" i="14"/>
  <c r="E153" i="14"/>
  <c r="F153" i="14"/>
  <c r="G153" i="14"/>
  <c r="H153" i="14"/>
  <c r="E152" i="14"/>
  <c r="F152" i="14"/>
  <c r="G152" i="14"/>
  <c r="H152" i="14"/>
  <c r="E151" i="14"/>
  <c r="F151" i="14"/>
  <c r="G151" i="14"/>
  <c r="H151" i="14"/>
  <c r="E150" i="14"/>
  <c r="F150" i="14"/>
  <c r="G150" i="14"/>
  <c r="H150" i="14"/>
  <c r="E149" i="14"/>
  <c r="F149" i="14"/>
  <c r="G149" i="14"/>
  <c r="H149" i="14"/>
  <c r="E148" i="14"/>
  <c r="F148" i="14"/>
  <c r="G148" i="14"/>
  <c r="H148" i="14"/>
  <c r="D148" i="14"/>
  <c r="E147" i="14"/>
  <c r="F147" i="14"/>
  <c r="G147" i="14"/>
  <c r="H147" i="14"/>
  <c r="D147" i="14"/>
  <c r="E146" i="14"/>
  <c r="F146" i="14"/>
  <c r="G146" i="14"/>
  <c r="H146" i="14"/>
  <c r="D9" i="15"/>
  <c r="G132" i="15" l="1"/>
  <c r="D181" i="14"/>
  <c r="AV45" i="13"/>
  <c r="AW45" i="13" s="1"/>
  <c r="AV46" i="13"/>
  <c r="AV47" i="13"/>
  <c r="AV48" i="13"/>
  <c r="AV49" i="13"/>
  <c r="AV50" i="13"/>
  <c r="AV51" i="13"/>
  <c r="AV52" i="13"/>
  <c r="AW52" i="13" s="1"/>
  <c r="AV53" i="13"/>
  <c r="AW53" i="13" s="1"/>
  <c r="AV54" i="13"/>
  <c r="AV55" i="13"/>
  <c r="AV56" i="13"/>
  <c r="AV57" i="13"/>
  <c r="AW57" i="13" s="1"/>
  <c r="AV58" i="13"/>
  <c r="AW58" i="13" s="1"/>
  <c r="AV59" i="13"/>
  <c r="AW59" i="13" s="1"/>
  <c r="AV60" i="13"/>
  <c r="AW60" i="13" s="1"/>
  <c r="AV61" i="13"/>
  <c r="AW61" i="13" s="1"/>
  <c r="AV62" i="13"/>
  <c r="AV63" i="13"/>
  <c r="AV64" i="13"/>
  <c r="AV65" i="13"/>
  <c r="AV66" i="13"/>
  <c r="AV67" i="13"/>
  <c r="AV68" i="13"/>
  <c r="AW68" i="13" s="1"/>
  <c r="AV69" i="13"/>
  <c r="AW69" i="13" s="1"/>
  <c r="AV70" i="13"/>
  <c r="AV71" i="13"/>
  <c r="AV72" i="13"/>
  <c r="AV44" i="13"/>
  <c r="AU45" i="13"/>
  <c r="AU46" i="13"/>
  <c r="AU47" i="13"/>
  <c r="AU48" i="13"/>
  <c r="AU49" i="13"/>
  <c r="AU50" i="13"/>
  <c r="AU51" i="13"/>
  <c r="AU52" i="13"/>
  <c r="AU53" i="13"/>
  <c r="AU54" i="13"/>
  <c r="AU55" i="13"/>
  <c r="AU56" i="13"/>
  <c r="AU57" i="13"/>
  <c r="AU58" i="13"/>
  <c r="AU59" i="13"/>
  <c r="AU60" i="13"/>
  <c r="AU61" i="13"/>
  <c r="AU62" i="13"/>
  <c r="AU63" i="13"/>
  <c r="AU64" i="13"/>
  <c r="AU65" i="13"/>
  <c r="AU66" i="13"/>
  <c r="AU67" i="13"/>
  <c r="AU68" i="13"/>
  <c r="AU69" i="13"/>
  <c r="AU70" i="13"/>
  <c r="AU71" i="13"/>
  <c r="AU72" i="13"/>
  <c r="AU44" i="13"/>
  <c r="AT44" i="13"/>
  <c r="AT45" i="13"/>
  <c r="AT46" i="13"/>
  <c r="AT47" i="13"/>
  <c r="AT48" i="13"/>
  <c r="AT49" i="13"/>
  <c r="AT50" i="13"/>
  <c r="AT51" i="13"/>
  <c r="AT52" i="13"/>
  <c r="AT53" i="13"/>
  <c r="AT54" i="13"/>
  <c r="AT55" i="13"/>
  <c r="AT56" i="13"/>
  <c r="AT57" i="13"/>
  <c r="AT58" i="13"/>
  <c r="AT59" i="13"/>
  <c r="AT60" i="13"/>
  <c r="AT61" i="13"/>
  <c r="AT62" i="13"/>
  <c r="AT63" i="13"/>
  <c r="AT64" i="13"/>
  <c r="AT65" i="13"/>
  <c r="AT66" i="13"/>
  <c r="AT67" i="13"/>
  <c r="AT68" i="13"/>
  <c r="AT69" i="13"/>
  <c r="AT70" i="13"/>
  <c r="AT71" i="13"/>
  <c r="AT72" i="13"/>
  <c r="AW72" i="13"/>
  <c r="AW71" i="13"/>
  <c r="AW70" i="13"/>
  <c r="AW67" i="13"/>
  <c r="AW66" i="13"/>
  <c r="AW65" i="13"/>
  <c r="AW64" i="13"/>
  <c r="AW63" i="13"/>
  <c r="AW62" i="13"/>
  <c r="AW56" i="13"/>
  <c r="AW55" i="13"/>
  <c r="AW54" i="13"/>
  <c r="AW51" i="13"/>
  <c r="AW50" i="13"/>
  <c r="AW49" i="13"/>
  <c r="AW48" i="13"/>
  <c r="AW47" i="13"/>
  <c r="AW46" i="13"/>
  <c r="AW44" i="13"/>
  <c r="AN45" i="13"/>
  <c r="AN46" i="13"/>
  <c r="AN47" i="13"/>
  <c r="AN48" i="13"/>
  <c r="AN49" i="13"/>
  <c r="AN50" i="13"/>
  <c r="AN51" i="13"/>
  <c r="AN52" i="13"/>
  <c r="AN53" i="13"/>
  <c r="AN54" i="13"/>
  <c r="AN55" i="13"/>
  <c r="AO55" i="13" s="1"/>
  <c r="AN56" i="13"/>
  <c r="AO56" i="13" s="1"/>
  <c r="AN57" i="13"/>
  <c r="AO57" i="13" s="1"/>
  <c r="AN58" i="13"/>
  <c r="AO58" i="13" s="1"/>
  <c r="AN59" i="13"/>
  <c r="AO59" i="13" s="1"/>
  <c r="AN60" i="13"/>
  <c r="AO60" i="13" s="1"/>
  <c r="AN61" i="13"/>
  <c r="AN62" i="13"/>
  <c r="AN63" i="13"/>
  <c r="AN64" i="13"/>
  <c r="AN65" i="13"/>
  <c r="AN66" i="13"/>
  <c r="AN67" i="13"/>
  <c r="AN68" i="13"/>
  <c r="AN69" i="13"/>
  <c r="AN70" i="13"/>
  <c r="AO70" i="13" s="1"/>
  <c r="AN71" i="13"/>
  <c r="AO71" i="13" s="1"/>
  <c r="AN72" i="13"/>
  <c r="AO72" i="13" s="1"/>
  <c r="AN44" i="13"/>
  <c r="AM45" i="13"/>
  <c r="AM46" i="13"/>
  <c r="AM47" i="13"/>
  <c r="AM48" i="13"/>
  <c r="AM49" i="13"/>
  <c r="AM50" i="13"/>
  <c r="AM51" i="13"/>
  <c r="AM52" i="13"/>
  <c r="AM53" i="13"/>
  <c r="AM54" i="13"/>
  <c r="AM55" i="13"/>
  <c r="AM56" i="13"/>
  <c r="AM57" i="13"/>
  <c r="AM58" i="13"/>
  <c r="AM59" i="13"/>
  <c r="AM60" i="13"/>
  <c r="AM61" i="13"/>
  <c r="AM62" i="13"/>
  <c r="AM63" i="13"/>
  <c r="AM64" i="13"/>
  <c r="AM65" i="13"/>
  <c r="AM66" i="13"/>
  <c r="AM67" i="13"/>
  <c r="AM68" i="13"/>
  <c r="AM69" i="13"/>
  <c r="AM70" i="13"/>
  <c r="AM71" i="13"/>
  <c r="AM72" i="13"/>
  <c r="AM44" i="13"/>
  <c r="AL44" i="13"/>
  <c r="AL45" i="13"/>
  <c r="AL46" i="13"/>
  <c r="AL47" i="13"/>
  <c r="AL48" i="13"/>
  <c r="AL49" i="13"/>
  <c r="AL50" i="13"/>
  <c r="AL51" i="13"/>
  <c r="AL52" i="13"/>
  <c r="AL53" i="13"/>
  <c r="AL54" i="13"/>
  <c r="AL55" i="13"/>
  <c r="AL56" i="13"/>
  <c r="AL57" i="13"/>
  <c r="AL58" i="13"/>
  <c r="AL59" i="13"/>
  <c r="AL60" i="13"/>
  <c r="AL61" i="13"/>
  <c r="AL62" i="13"/>
  <c r="AL63" i="13"/>
  <c r="AL64" i="13"/>
  <c r="AL65" i="13"/>
  <c r="AL66" i="13"/>
  <c r="AL67" i="13"/>
  <c r="AL68" i="13"/>
  <c r="AL69" i="13"/>
  <c r="AL70" i="13"/>
  <c r="AL71" i="13"/>
  <c r="AL72" i="13"/>
  <c r="AO69" i="13"/>
  <c r="AO68" i="13"/>
  <c r="AO67" i="13"/>
  <c r="AO66" i="13"/>
  <c r="AO65" i="13"/>
  <c r="AO64" i="13"/>
  <c r="AO63" i="13"/>
  <c r="AO62" i="13"/>
  <c r="AO61" i="13"/>
  <c r="AO54" i="13"/>
  <c r="AO53" i="13"/>
  <c r="AO52" i="13"/>
  <c r="AO51" i="13"/>
  <c r="AO50" i="13"/>
  <c r="AO49" i="13"/>
  <c r="AO48" i="13"/>
  <c r="AO47" i="13"/>
  <c r="AO46" i="13"/>
  <c r="AO45" i="13"/>
  <c r="AO44" i="13"/>
  <c r="AF45" i="13"/>
  <c r="AF46" i="13"/>
  <c r="AF47" i="13"/>
  <c r="AF48" i="13"/>
  <c r="AF49" i="13"/>
  <c r="AF50" i="13"/>
  <c r="AF51" i="13"/>
  <c r="AF52" i="13"/>
  <c r="AF53" i="13"/>
  <c r="AF54" i="13"/>
  <c r="AF55" i="13"/>
  <c r="AG55" i="13" s="1"/>
  <c r="AF56" i="13"/>
  <c r="AG56" i="13" s="1"/>
  <c r="AF57" i="13"/>
  <c r="AG57" i="13" s="1"/>
  <c r="AF58" i="13"/>
  <c r="AG58" i="13" s="1"/>
  <c r="AF59" i="13"/>
  <c r="AG59" i="13" s="1"/>
  <c r="AF60" i="13"/>
  <c r="AG60" i="13" s="1"/>
  <c r="AF61" i="13"/>
  <c r="AF62" i="13"/>
  <c r="AF63" i="13"/>
  <c r="AF64" i="13"/>
  <c r="AF65" i="13"/>
  <c r="AF66" i="13"/>
  <c r="AF67" i="13"/>
  <c r="AF68" i="13"/>
  <c r="AF69" i="13"/>
  <c r="AF70" i="13"/>
  <c r="AF71" i="13"/>
  <c r="AG71" i="13" s="1"/>
  <c r="AF72" i="13"/>
  <c r="AG72" i="13" s="1"/>
  <c r="AF44" i="13"/>
  <c r="AE45" i="13"/>
  <c r="AE46" i="13"/>
  <c r="AE47" i="13"/>
  <c r="AE48" i="13"/>
  <c r="AE49" i="13"/>
  <c r="AE50" i="13"/>
  <c r="AE51" i="13"/>
  <c r="AE52" i="13"/>
  <c r="AE53" i="13"/>
  <c r="AE54" i="13"/>
  <c r="AE55" i="13"/>
  <c r="AE56" i="13"/>
  <c r="AE57" i="13"/>
  <c r="AE58" i="13"/>
  <c r="AE59" i="13"/>
  <c r="AE60" i="13"/>
  <c r="AE61" i="13"/>
  <c r="AE62" i="13"/>
  <c r="AE63" i="13"/>
  <c r="AE64" i="13"/>
  <c r="AE65" i="13"/>
  <c r="AE66" i="13"/>
  <c r="AE67" i="13"/>
  <c r="AE68" i="13"/>
  <c r="AE69" i="13"/>
  <c r="AE70" i="13"/>
  <c r="AE71" i="13"/>
  <c r="AE72" i="13"/>
  <c r="AE44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4" i="13"/>
  <c r="AD65" i="13"/>
  <c r="AD66" i="13"/>
  <c r="AD67" i="13"/>
  <c r="AD68" i="13"/>
  <c r="AD69" i="13"/>
  <c r="AD70" i="13"/>
  <c r="AD71" i="13"/>
  <c r="AD72" i="13"/>
  <c r="AG70" i="13"/>
  <c r="AG69" i="13"/>
  <c r="AG68" i="13"/>
  <c r="AG67" i="13"/>
  <c r="AG66" i="13"/>
  <c r="AG65" i="13"/>
  <c r="AG64" i="13"/>
  <c r="AG63" i="13"/>
  <c r="AG62" i="13"/>
  <c r="AG61" i="13"/>
  <c r="AG54" i="13"/>
  <c r="AG53" i="13"/>
  <c r="AG52" i="13"/>
  <c r="AG51" i="13"/>
  <c r="AG50" i="13"/>
  <c r="AG49" i="13"/>
  <c r="AG48" i="13"/>
  <c r="AG47" i="13"/>
  <c r="AG46" i="13"/>
  <c r="AG45" i="13"/>
  <c r="AG44" i="13"/>
  <c r="X45" i="13"/>
  <c r="X46" i="13"/>
  <c r="X47" i="13"/>
  <c r="Y47" i="13" s="1"/>
  <c r="X48" i="13"/>
  <c r="X49" i="13"/>
  <c r="X50" i="13"/>
  <c r="X51" i="13"/>
  <c r="X52" i="13"/>
  <c r="X53" i="13"/>
  <c r="X54" i="13"/>
  <c r="X55" i="13"/>
  <c r="Y55" i="13" s="1"/>
  <c r="X56" i="13"/>
  <c r="Y56" i="13" s="1"/>
  <c r="X57" i="13"/>
  <c r="Y57" i="13" s="1"/>
  <c r="X58" i="13"/>
  <c r="Y58" i="13" s="1"/>
  <c r="X59" i="13"/>
  <c r="Y59" i="13" s="1"/>
  <c r="X60" i="13"/>
  <c r="Y60" i="13" s="1"/>
  <c r="X61" i="13"/>
  <c r="X62" i="13"/>
  <c r="X63" i="13"/>
  <c r="Y63" i="13" s="1"/>
  <c r="X64" i="13"/>
  <c r="X65" i="13"/>
  <c r="X66" i="13"/>
  <c r="X67" i="13"/>
  <c r="X68" i="13"/>
  <c r="X69" i="13"/>
  <c r="X70" i="13"/>
  <c r="Y70" i="13" s="1"/>
  <c r="X71" i="13"/>
  <c r="Y71" i="13" s="1"/>
  <c r="X72" i="13"/>
  <c r="Y72" i="13" s="1"/>
  <c r="X44" i="13"/>
  <c r="Y44" i="13" s="1"/>
  <c r="W45" i="13"/>
  <c r="W46" i="13"/>
  <c r="W47" i="13"/>
  <c r="W48" i="13"/>
  <c r="W49" i="13"/>
  <c r="W50" i="13"/>
  <c r="W51" i="13"/>
  <c r="W52" i="13"/>
  <c r="W53" i="13"/>
  <c r="W54" i="13"/>
  <c r="W55" i="13"/>
  <c r="W56" i="13"/>
  <c r="W57" i="13"/>
  <c r="W58" i="13"/>
  <c r="W59" i="13"/>
  <c r="W60" i="13"/>
  <c r="W61" i="13"/>
  <c r="W62" i="13"/>
  <c r="W63" i="13"/>
  <c r="W64" i="13"/>
  <c r="W65" i="13"/>
  <c r="W66" i="13"/>
  <c r="W67" i="13"/>
  <c r="W68" i="13"/>
  <c r="W69" i="13"/>
  <c r="W70" i="13"/>
  <c r="W71" i="13"/>
  <c r="W72" i="13"/>
  <c r="W44" i="13"/>
  <c r="V45" i="13"/>
  <c r="V46" i="13"/>
  <c r="V47" i="13"/>
  <c r="V48" i="13"/>
  <c r="V49" i="13"/>
  <c r="V50" i="13"/>
  <c r="V51" i="13"/>
  <c r="V52" i="13"/>
  <c r="V53" i="13"/>
  <c r="V54" i="13"/>
  <c r="V55" i="13"/>
  <c r="V56" i="13"/>
  <c r="V57" i="13"/>
  <c r="V58" i="13"/>
  <c r="V59" i="13"/>
  <c r="V60" i="13"/>
  <c r="V61" i="13"/>
  <c r="V62" i="13"/>
  <c r="V63" i="13"/>
  <c r="V64" i="13"/>
  <c r="V65" i="13"/>
  <c r="V66" i="13"/>
  <c r="V67" i="13"/>
  <c r="V68" i="13"/>
  <c r="V69" i="13"/>
  <c r="V70" i="13"/>
  <c r="V71" i="13"/>
  <c r="V72" i="13"/>
  <c r="V44" i="13"/>
  <c r="Y69" i="13"/>
  <c r="Y68" i="13"/>
  <c r="Y67" i="13"/>
  <c r="Y66" i="13"/>
  <c r="Y65" i="13"/>
  <c r="Y64" i="13"/>
  <c r="Y62" i="13"/>
  <c r="Y61" i="13"/>
  <c r="Y54" i="13"/>
  <c r="Y53" i="13"/>
  <c r="Y52" i="13"/>
  <c r="Y51" i="13"/>
  <c r="Y50" i="13"/>
  <c r="Y49" i="13"/>
  <c r="Y48" i="13"/>
  <c r="Y46" i="13"/>
  <c r="Y45" i="13"/>
  <c r="P45" i="13"/>
  <c r="P46" i="13"/>
  <c r="P47" i="13"/>
  <c r="P48" i="13"/>
  <c r="P49" i="13"/>
  <c r="Q49" i="13" s="1"/>
  <c r="P50" i="13"/>
  <c r="P51" i="13"/>
  <c r="P52" i="13"/>
  <c r="P53" i="13"/>
  <c r="P54" i="13"/>
  <c r="P55" i="13"/>
  <c r="P56" i="13"/>
  <c r="Q56" i="13" s="1"/>
  <c r="P57" i="13"/>
  <c r="Q57" i="13" s="1"/>
  <c r="P58" i="13"/>
  <c r="Q58" i="13" s="1"/>
  <c r="P59" i="13"/>
  <c r="Q59" i="13" s="1"/>
  <c r="P60" i="13"/>
  <c r="Q60" i="13" s="1"/>
  <c r="P61" i="13"/>
  <c r="P62" i="13"/>
  <c r="Q62" i="13" s="1"/>
  <c r="P63" i="13"/>
  <c r="P64" i="13"/>
  <c r="P65" i="13"/>
  <c r="Q65" i="13" s="1"/>
  <c r="P66" i="13"/>
  <c r="P67" i="13"/>
  <c r="P68" i="13"/>
  <c r="P69" i="13"/>
  <c r="P70" i="13"/>
  <c r="P71" i="13"/>
  <c r="P72" i="13"/>
  <c r="Q72" i="13" s="1"/>
  <c r="P44" i="13"/>
  <c r="Q44" i="13" s="1"/>
  <c r="O72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7" i="13"/>
  <c r="O68" i="13"/>
  <c r="O69" i="13"/>
  <c r="O70" i="13"/>
  <c r="O71" i="13"/>
  <c r="O44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I45" i="13"/>
  <c r="I44" i="13"/>
  <c r="Q71" i="13"/>
  <c r="Q70" i="13"/>
  <c r="Q69" i="13"/>
  <c r="Q68" i="13"/>
  <c r="Q67" i="13"/>
  <c r="Q66" i="13"/>
  <c r="Q64" i="13"/>
  <c r="Q63" i="13"/>
  <c r="Q61" i="13"/>
  <c r="Q55" i="13"/>
  <c r="Q54" i="13"/>
  <c r="Q53" i="13"/>
  <c r="Q52" i="13"/>
  <c r="Q51" i="13"/>
  <c r="Q50" i="13"/>
  <c r="Q48" i="13"/>
  <c r="Q47" i="13"/>
  <c r="Q46" i="13"/>
  <c r="Q45" i="13"/>
  <c r="H45" i="13"/>
  <c r="H46" i="13"/>
  <c r="H47" i="13"/>
  <c r="I47" i="13" s="1"/>
  <c r="H48" i="13"/>
  <c r="I48" i="13" s="1"/>
  <c r="H49" i="13"/>
  <c r="I49" i="13" s="1"/>
  <c r="H50" i="13"/>
  <c r="I50" i="13" s="1"/>
  <c r="H51" i="13"/>
  <c r="I51" i="13" s="1"/>
  <c r="H52" i="13"/>
  <c r="I52" i="13" s="1"/>
  <c r="H53" i="13"/>
  <c r="I53" i="13" s="1"/>
  <c r="H54" i="13"/>
  <c r="H55" i="13"/>
  <c r="I55" i="13" s="1"/>
  <c r="H56" i="13"/>
  <c r="H57" i="13"/>
  <c r="H58" i="13"/>
  <c r="H59" i="13"/>
  <c r="H60" i="13"/>
  <c r="H61" i="13"/>
  <c r="H62" i="13"/>
  <c r="H63" i="13"/>
  <c r="I63" i="13" s="1"/>
  <c r="H64" i="13"/>
  <c r="I64" i="13" s="1"/>
  <c r="H65" i="13"/>
  <c r="I65" i="13" s="1"/>
  <c r="H66" i="13"/>
  <c r="I66" i="13" s="1"/>
  <c r="H67" i="13"/>
  <c r="I67" i="13" s="1"/>
  <c r="H68" i="13"/>
  <c r="I68" i="13" s="1"/>
  <c r="H69" i="13"/>
  <c r="I69" i="13" s="1"/>
  <c r="H70" i="13"/>
  <c r="H71" i="13"/>
  <c r="I71" i="13" s="1"/>
  <c r="H72" i="13"/>
  <c r="H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44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I72" i="13"/>
  <c r="I70" i="13"/>
  <c r="I62" i="13"/>
  <c r="I61" i="13"/>
  <c r="I60" i="13"/>
  <c r="I59" i="13"/>
  <c r="I58" i="13"/>
  <c r="I57" i="13"/>
  <c r="I56" i="13"/>
  <c r="I54" i="13"/>
  <c r="I46" i="13"/>
  <c r="AV8" i="13"/>
  <c r="AV9" i="13"/>
  <c r="AV10" i="13"/>
  <c r="AW10" i="13" s="1"/>
  <c r="AV11" i="13"/>
  <c r="AV12" i="13"/>
  <c r="AV13" i="13"/>
  <c r="AV14" i="13"/>
  <c r="AV15" i="13"/>
  <c r="AV16" i="13"/>
  <c r="AV17" i="13"/>
  <c r="AW17" i="13" s="1"/>
  <c r="AV18" i="13"/>
  <c r="AW18" i="13" s="1"/>
  <c r="AV19" i="13"/>
  <c r="AW19" i="13" s="1"/>
  <c r="AV20" i="13"/>
  <c r="AW20" i="13" s="1"/>
  <c r="AV21" i="13"/>
  <c r="AW21" i="13" s="1"/>
  <c r="AV22" i="13"/>
  <c r="AW22" i="13" s="1"/>
  <c r="AV23" i="13"/>
  <c r="AW23" i="13" s="1"/>
  <c r="AV24" i="13"/>
  <c r="AV25" i="13"/>
  <c r="AV26" i="13"/>
  <c r="AW26" i="13" s="1"/>
  <c r="AV27" i="13"/>
  <c r="AV28" i="13"/>
  <c r="AV29" i="13"/>
  <c r="AV30" i="13"/>
  <c r="AV31" i="13"/>
  <c r="AV32" i="13"/>
  <c r="AV33" i="13"/>
  <c r="AV34" i="13"/>
  <c r="AW34" i="13" s="1"/>
  <c r="AV35" i="13"/>
  <c r="AW35" i="13" s="1"/>
  <c r="AV7" i="13"/>
  <c r="AU8" i="13"/>
  <c r="AU9" i="13"/>
  <c r="AU10" i="13"/>
  <c r="AU11" i="13"/>
  <c r="AU12" i="13"/>
  <c r="AU13" i="13"/>
  <c r="AU14" i="13"/>
  <c r="AU15" i="13"/>
  <c r="AU16" i="13"/>
  <c r="AU17" i="13"/>
  <c r="AU18" i="13"/>
  <c r="AU19" i="13"/>
  <c r="AU20" i="13"/>
  <c r="AU21" i="13"/>
  <c r="AU22" i="13"/>
  <c r="AU23" i="13"/>
  <c r="AU24" i="13"/>
  <c r="AU25" i="13"/>
  <c r="AU26" i="13"/>
  <c r="AU27" i="13"/>
  <c r="AU28" i="13"/>
  <c r="AU29" i="13"/>
  <c r="AU30" i="13"/>
  <c r="AU31" i="13"/>
  <c r="AU32" i="13"/>
  <c r="AU33" i="13"/>
  <c r="AU34" i="13"/>
  <c r="AU35" i="13"/>
  <c r="AU7" i="13"/>
  <c r="AT7" i="13"/>
  <c r="AT8" i="13"/>
  <c r="AT9" i="13"/>
  <c r="AT10" i="13"/>
  <c r="AT11" i="13"/>
  <c r="AT12" i="13"/>
  <c r="AT13" i="13"/>
  <c r="AT14" i="13"/>
  <c r="AT15" i="13"/>
  <c r="AT16" i="13"/>
  <c r="AT17" i="13"/>
  <c r="AT18" i="13"/>
  <c r="AT19" i="13"/>
  <c r="AT20" i="13"/>
  <c r="AT21" i="13"/>
  <c r="AT22" i="13"/>
  <c r="AT23" i="13"/>
  <c r="AT24" i="13"/>
  <c r="AT25" i="13"/>
  <c r="AT26" i="13"/>
  <c r="AT27" i="13"/>
  <c r="AT28" i="13"/>
  <c r="AT29" i="13"/>
  <c r="AT30" i="13"/>
  <c r="AT31" i="13"/>
  <c r="AT32" i="13"/>
  <c r="AT33" i="13"/>
  <c r="AT34" i="13"/>
  <c r="AT35" i="13"/>
  <c r="AW33" i="13"/>
  <c r="AW32" i="13"/>
  <c r="AW31" i="13"/>
  <c r="AW30" i="13"/>
  <c r="AW29" i="13"/>
  <c r="AW28" i="13"/>
  <c r="AW27" i="13"/>
  <c r="AW25" i="13"/>
  <c r="AW24" i="13"/>
  <c r="AW16" i="13"/>
  <c r="AW15" i="13"/>
  <c r="AW14" i="13"/>
  <c r="AW13" i="13"/>
  <c r="AW12" i="13"/>
  <c r="AW11" i="13"/>
  <c r="AW9" i="13"/>
  <c r="AW8" i="13"/>
  <c r="AW7" i="13"/>
  <c r="AO7" i="13"/>
  <c r="AN8" i="13"/>
  <c r="AN9" i="13"/>
  <c r="AN10" i="13"/>
  <c r="AO10" i="13" s="1"/>
  <c r="AN11" i="13"/>
  <c r="AO11" i="13" s="1"/>
  <c r="AN12" i="13"/>
  <c r="AO12" i="13" s="1"/>
  <c r="AN13" i="13"/>
  <c r="AO13" i="13" s="1"/>
  <c r="AN14" i="13"/>
  <c r="AO14" i="13" s="1"/>
  <c r="AN15" i="13"/>
  <c r="AN16" i="13"/>
  <c r="AO16" i="13" s="1"/>
  <c r="AN17" i="13"/>
  <c r="AN18" i="13"/>
  <c r="AO18" i="13" s="1"/>
  <c r="AN19" i="13"/>
  <c r="AO19" i="13" s="1"/>
  <c r="AN20" i="13"/>
  <c r="AO20" i="13" s="1"/>
  <c r="AN21" i="13"/>
  <c r="AN22" i="13"/>
  <c r="AN23" i="13"/>
  <c r="AN24" i="13"/>
  <c r="AN25" i="13"/>
  <c r="AN26" i="13"/>
  <c r="AO26" i="13" s="1"/>
  <c r="AN27" i="13"/>
  <c r="AO27" i="13" s="1"/>
  <c r="AN28" i="13"/>
  <c r="AO28" i="13" s="1"/>
  <c r="AN29" i="13"/>
  <c r="AO29" i="13" s="1"/>
  <c r="AN30" i="13"/>
  <c r="AO30" i="13" s="1"/>
  <c r="AN31" i="13"/>
  <c r="AN32" i="13"/>
  <c r="AO32" i="13" s="1"/>
  <c r="AN33" i="13"/>
  <c r="AN34" i="13"/>
  <c r="AO34" i="13" s="1"/>
  <c r="AN35" i="13"/>
  <c r="AO35" i="13" s="1"/>
  <c r="AN7" i="13"/>
  <c r="AM8" i="13"/>
  <c r="AM9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7" i="13"/>
  <c r="AL7" i="13"/>
  <c r="AL8" i="13"/>
  <c r="AL9" i="13"/>
  <c r="AL10" i="13"/>
  <c r="AL11" i="13"/>
  <c r="AL12" i="13"/>
  <c r="AL13" i="13"/>
  <c r="AL14" i="13"/>
  <c r="AL15" i="13"/>
  <c r="AL16" i="13"/>
  <c r="AL17" i="13"/>
  <c r="AL18" i="13"/>
  <c r="AL19" i="13"/>
  <c r="AL20" i="13"/>
  <c r="AL21" i="13"/>
  <c r="AL22" i="13"/>
  <c r="AL23" i="13"/>
  <c r="AL24" i="13"/>
  <c r="AL25" i="13"/>
  <c r="AL26" i="13"/>
  <c r="AL27" i="13"/>
  <c r="AL28" i="13"/>
  <c r="AL29" i="13"/>
  <c r="AL30" i="13"/>
  <c r="AL31" i="13"/>
  <c r="AL32" i="13"/>
  <c r="AL33" i="13"/>
  <c r="AL34" i="13"/>
  <c r="AL35" i="13"/>
  <c r="AD7" i="13"/>
  <c r="AO33" i="13"/>
  <c r="AO31" i="13"/>
  <c r="AO25" i="13"/>
  <c r="AO24" i="13"/>
  <c r="AO23" i="13"/>
  <c r="AO22" i="13"/>
  <c r="AO21" i="13"/>
  <c r="AO17" i="13"/>
  <c r="AO15" i="13"/>
  <c r="AO9" i="13"/>
  <c r="AO8" i="13"/>
  <c r="AF8" i="13" l="1"/>
  <c r="AG8" i="13" s="1"/>
  <c r="AF9" i="13"/>
  <c r="AF10" i="13"/>
  <c r="AF11" i="13"/>
  <c r="AF12" i="13"/>
  <c r="AF13" i="13"/>
  <c r="AF14" i="13"/>
  <c r="AF15" i="13"/>
  <c r="AF16" i="13"/>
  <c r="AF17" i="13"/>
  <c r="AF18" i="13"/>
  <c r="AG18" i="13" s="1"/>
  <c r="AF19" i="13"/>
  <c r="AG19" i="13" s="1"/>
  <c r="AF20" i="13"/>
  <c r="AG20" i="13" s="1"/>
  <c r="AF21" i="13"/>
  <c r="AF22" i="13"/>
  <c r="AG22" i="13" s="1"/>
  <c r="AF23" i="13"/>
  <c r="AG23" i="13" s="1"/>
  <c r="AF24" i="13"/>
  <c r="AG24" i="13" s="1"/>
  <c r="AF25" i="13"/>
  <c r="AF26" i="13"/>
  <c r="AF27" i="13"/>
  <c r="AF28" i="13"/>
  <c r="AF29" i="13"/>
  <c r="AG29" i="13" s="1"/>
  <c r="AF30" i="13"/>
  <c r="AF31" i="13"/>
  <c r="AF32" i="13"/>
  <c r="AF33" i="13"/>
  <c r="AF34" i="13"/>
  <c r="AG34" i="13" s="1"/>
  <c r="AF35" i="13"/>
  <c r="AG35" i="13" s="1"/>
  <c r="AF7" i="13"/>
  <c r="AE8" i="13"/>
  <c r="AE9" i="13"/>
  <c r="AE10" i="13"/>
  <c r="AE11" i="13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7" i="13"/>
  <c r="AD8" i="13"/>
  <c r="AD9" i="13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G33" i="13"/>
  <c r="AG32" i="13"/>
  <c r="AG31" i="13"/>
  <c r="AG30" i="13"/>
  <c r="AG28" i="13"/>
  <c r="AG27" i="13"/>
  <c r="AG26" i="13"/>
  <c r="AG25" i="13"/>
  <c r="AG21" i="13"/>
  <c r="AG17" i="13"/>
  <c r="AG16" i="13"/>
  <c r="AG15" i="13"/>
  <c r="AG14" i="13"/>
  <c r="AG13" i="13"/>
  <c r="AG12" i="13"/>
  <c r="AG11" i="13"/>
  <c r="AG10" i="13"/>
  <c r="AG9" i="13"/>
  <c r="AG7" i="13"/>
  <c r="X8" i="13"/>
  <c r="X9" i="13"/>
  <c r="X10" i="13"/>
  <c r="X11" i="13"/>
  <c r="X12" i="13"/>
  <c r="X13" i="13"/>
  <c r="X14" i="13"/>
  <c r="X15" i="13"/>
  <c r="X16" i="13"/>
  <c r="X17" i="13"/>
  <c r="X18" i="13"/>
  <c r="Y18" i="13" s="1"/>
  <c r="X19" i="13"/>
  <c r="Y19" i="13" s="1"/>
  <c r="X20" i="13"/>
  <c r="Y20" i="13" s="1"/>
  <c r="X21" i="13"/>
  <c r="Y21" i="13" s="1"/>
  <c r="X22" i="13"/>
  <c r="Y22" i="13" s="1"/>
  <c r="X23" i="13"/>
  <c r="Y23" i="13" s="1"/>
  <c r="X24" i="13"/>
  <c r="X25" i="13"/>
  <c r="X26" i="13"/>
  <c r="Y26" i="13" s="1"/>
  <c r="X27" i="13"/>
  <c r="X28" i="13"/>
  <c r="X29" i="13"/>
  <c r="X30" i="13"/>
  <c r="X31" i="13"/>
  <c r="X32" i="13"/>
  <c r="X33" i="13"/>
  <c r="X34" i="13"/>
  <c r="Y34" i="13" s="1"/>
  <c r="X35" i="13"/>
  <c r="Y35" i="13" s="1"/>
  <c r="X7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W24" i="13"/>
  <c r="W25" i="13"/>
  <c r="W26" i="13"/>
  <c r="W27" i="13"/>
  <c r="W28" i="13"/>
  <c r="W29" i="13"/>
  <c r="W30" i="13"/>
  <c r="W31" i="13"/>
  <c r="W32" i="13"/>
  <c r="W33" i="13"/>
  <c r="W34" i="13"/>
  <c r="W35" i="13"/>
  <c r="W7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7" i="13"/>
  <c r="Y33" i="13"/>
  <c r="Y32" i="13"/>
  <c r="Y31" i="13"/>
  <c r="Y30" i="13"/>
  <c r="Y29" i="13"/>
  <c r="Y28" i="13"/>
  <c r="Y27" i="13"/>
  <c r="Y25" i="13"/>
  <c r="Y24" i="13"/>
  <c r="Y17" i="13"/>
  <c r="Y16" i="13"/>
  <c r="Y15" i="13"/>
  <c r="Y14" i="13"/>
  <c r="Y13" i="13"/>
  <c r="Y12" i="13"/>
  <c r="Y11" i="13"/>
  <c r="Y10" i="13"/>
  <c r="Y9" i="13"/>
  <c r="Y8" i="13"/>
  <c r="Y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7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7" i="13"/>
  <c r="F184" i="14"/>
  <c r="K185" i="14"/>
  <c r="G133" i="15"/>
  <c r="H133" i="15"/>
  <c r="O236" i="14"/>
  <c r="K25" i="16"/>
  <c r="K22" i="16"/>
  <c r="K12" i="16"/>
  <c r="P12" i="15"/>
  <c r="P13" i="15"/>
  <c r="P14" i="15"/>
  <c r="P15" i="15"/>
  <c r="P16" i="15"/>
  <c r="H119" i="15" s="1"/>
  <c r="P17" i="15"/>
  <c r="P18" i="15"/>
  <c r="P19" i="15"/>
  <c r="P20" i="15"/>
  <c r="P21" i="15"/>
  <c r="H124" i="15" s="1"/>
  <c r="P22" i="15"/>
  <c r="P23" i="15"/>
  <c r="P11" i="15"/>
  <c r="H114" i="15" s="1"/>
  <c r="N12" i="15"/>
  <c r="N13" i="15"/>
  <c r="N14" i="15"/>
  <c r="N15" i="15"/>
  <c r="N16" i="15"/>
  <c r="G119" i="15" s="1"/>
  <c r="N17" i="15"/>
  <c r="N18" i="15"/>
  <c r="N19" i="15"/>
  <c r="N20" i="15"/>
  <c r="N21" i="15"/>
  <c r="N22" i="15"/>
  <c r="N23" i="15"/>
  <c r="N24" i="15"/>
  <c r="N11" i="15"/>
  <c r="L12" i="15"/>
  <c r="L13" i="15"/>
  <c r="L14" i="15"/>
  <c r="L15" i="15"/>
  <c r="L16" i="15"/>
  <c r="L17" i="15"/>
  <c r="L18" i="15"/>
  <c r="L19" i="15"/>
  <c r="F122" i="15" s="1"/>
  <c r="L20" i="15"/>
  <c r="F123" i="15" s="1"/>
  <c r="L21" i="15"/>
  <c r="F124" i="15" s="1"/>
  <c r="L22" i="15"/>
  <c r="L23" i="15"/>
  <c r="L24" i="15"/>
  <c r="L11" i="15"/>
  <c r="K65" i="18"/>
  <c r="K57" i="18"/>
  <c r="K49" i="18"/>
  <c r="K41" i="18"/>
  <c r="K33" i="18"/>
  <c r="K25" i="18"/>
  <c r="K11" i="18"/>
  <c r="D208" i="14"/>
  <c r="V192" i="14"/>
  <c r="P192" i="14"/>
  <c r="J192" i="14"/>
  <c r="D192" i="14"/>
  <c r="V198" i="14"/>
  <c r="V199" i="14"/>
  <c r="P198" i="14"/>
  <c r="H43" i="15"/>
  <c r="J72" i="18"/>
  <c r="I72" i="18"/>
  <c r="D59" i="14"/>
  <c r="E14" i="19"/>
  <c r="M181" i="14"/>
  <c r="X184" i="14"/>
  <c r="P24" i="15"/>
  <c r="H132" i="15" l="1"/>
  <c r="I132" i="15" s="1"/>
  <c r="K72" i="18"/>
  <c r="G8" i="19" s="1"/>
  <c r="E88" i="19"/>
  <c r="G13" i="17"/>
  <c r="E12" i="19"/>
  <c r="E10" i="19"/>
  <c r="E127" i="19" s="1"/>
  <c r="C3" i="19"/>
  <c r="L89" i="19"/>
  <c r="L88" i="19"/>
  <c r="F11" i="19"/>
  <c r="G124" i="19" l="1"/>
  <c r="F13" i="19"/>
  <c r="W181" i="14"/>
  <c r="D207" i="14"/>
  <c r="J205" i="14"/>
  <c r="D205" i="14"/>
  <c r="K239" i="14"/>
  <c r="K238" i="14"/>
  <c r="K237" i="14"/>
  <c r="V208" i="14"/>
  <c r="V207" i="14"/>
  <c r="V206" i="14"/>
  <c r="V205" i="14"/>
  <c r="P208" i="14"/>
  <c r="P207" i="14"/>
  <c r="P206" i="14"/>
  <c r="P205" i="14"/>
  <c r="J208" i="14"/>
  <c r="J207" i="14"/>
  <c r="J206" i="14"/>
  <c r="D206" i="14"/>
  <c r="C6" i="14"/>
  <c r="E10" i="17"/>
  <c r="E9" i="17"/>
  <c r="H8" i="19"/>
  <c r="G121" i="19" s="1"/>
  <c r="F8" i="19"/>
  <c r="G120" i="19" s="1"/>
  <c r="E76" i="17"/>
  <c r="J40" i="16"/>
  <c r="I40" i="16"/>
  <c r="I169" i="15"/>
  <c r="I170" i="15"/>
  <c r="I171" i="15"/>
  <c r="I172" i="15"/>
  <c r="I168" i="15"/>
  <c r="I44" i="15"/>
  <c r="H44" i="15"/>
  <c r="C4" i="15"/>
  <c r="C4" i="18"/>
  <c r="C4" i="16"/>
  <c r="P191" i="14"/>
  <c r="D191" i="14"/>
  <c r="E181" i="14"/>
  <c r="H11" i="19"/>
  <c r="G125" i="19" s="1"/>
  <c r="D140" i="15"/>
  <c r="D137" i="15" s="1"/>
  <c r="D143" i="15"/>
  <c r="D142" i="15"/>
  <c r="D141" i="15"/>
  <c r="I24" i="15"/>
  <c r="I23" i="15"/>
  <c r="I22" i="15"/>
  <c r="I21" i="15"/>
  <c r="I20" i="15"/>
  <c r="D52" i="15" s="1"/>
  <c r="I19" i="15"/>
  <c r="I18" i="15"/>
  <c r="I17" i="15"/>
  <c r="I16" i="15"/>
  <c r="D48" i="15" s="1"/>
  <c r="G48" i="15" s="1"/>
  <c r="I15" i="15"/>
  <c r="D46" i="15" s="1"/>
  <c r="E46" i="15" s="1"/>
  <c r="I14" i="15"/>
  <c r="I13" i="15"/>
  <c r="I12" i="15"/>
  <c r="I11" i="15"/>
  <c r="Y193" i="14"/>
  <c r="W193" i="14"/>
  <c r="Y192" i="14"/>
  <c r="X192" i="14"/>
  <c r="W192" i="14"/>
  <c r="Y191" i="14"/>
  <c r="W191" i="14"/>
  <c r="Y190" i="14"/>
  <c r="W190" i="14"/>
  <c r="Y189" i="14"/>
  <c r="W189" i="14"/>
  <c r="Y188" i="14"/>
  <c r="W188" i="14"/>
  <c r="Y187" i="14"/>
  <c r="W187" i="14"/>
  <c r="Y186" i="14"/>
  <c r="W186" i="14"/>
  <c r="Y185" i="14"/>
  <c r="W185" i="14"/>
  <c r="Y184" i="14"/>
  <c r="W184" i="14"/>
  <c r="V184" i="14"/>
  <c r="Y183" i="14"/>
  <c r="W183" i="14"/>
  <c r="V183" i="14"/>
  <c r="Y182" i="14"/>
  <c r="W182" i="14"/>
  <c r="Y181" i="14"/>
  <c r="S193" i="14"/>
  <c r="Q193" i="14"/>
  <c r="S192" i="14"/>
  <c r="R192" i="14"/>
  <c r="Q192" i="14"/>
  <c r="S191" i="14"/>
  <c r="Q191" i="14"/>
  <c r="S190" i="14"/>
  <c r="Q190" i="14"/>
  <c r="S189" i="14"/>
  <c r="Q189" i="14"/>
  <c r="S188" i="14"/>
  <c r="Q188" i="14"/>
  <c r="S187" i="14"/>
  <c r="Q187" i="14"/>
  <c r="S186" i="14"/>
  <c r="Q186" i="14"/>
  <c r="S185" i="14"/>
  <c r="Q185" i="14"/>
  <c r="S184" i="14"/>
  <c r="R184" i="14"/>
  <c r="Q184" i="14"/>
  <c r="P184" i="14"/>
  <c r="S183" i="14"/>
  <c r="Q183" i="14"/>
  <c r="P183" i="14"/>
  <c r="S182" i="14"/>
  <c r="Q182" i="14"/>
  <c r="S181" i="14"/>
  <c r="Q181" i="14"/>
  <c r="M193" i="14"/>
  <c r="K193" i="14"/>
  <c r="M192" i="14"/>
  <c r="L192" i="14"/>
  <c r="K192" i="14"/>
  <c r="M191" i="14"/>
  <c r="L191" i="14"/>
  <c r="K191" i="14"/>
  <c r="M190" i="14"/>
  <c r="K190" i="14"/>
  <c r="M189" i="14"/>
  <c r="K189" i="14"/>
  <c r="M188" i="14"/>
  <c r="K188" i="14"/>
  <c r="M187" i="14"/>
  <c r="K187" i="14"/>
  <c r="M186" i="14"/>
  <c r="K186" i="14"/>
  <c r="M185" i="14"/>
  <c r="M184" i="14"/>
  <c r="L184" i="14"/>
  <c r="K184" i="14"/>
  <c r="J184" i="14"/>
  <c r="M183" i="14"/>
  <c r="K183" i="14"/>
  <c r="M182" i="14"/>
  <c r="K182" i="14"/>
  <c r="K181" i="14"/>
  <c r="F192" i="14"/>
  <c r="D184" i="14"/>
  <c r="E182" i="14"/>
  <c r="G182" i="14"/>
  <c r="E183" i="14"/>
  <c r="G183" i="14"/>
  <c r="E184" i="14"/>
  <c r="G184" i="14"/>
  <c r="E185" i="14"/>
  <c r="G185" i="14"/>
  <c r="E186" i="14"/>
  <c r="G186" i="14"/>
  <c r="E187" i="14"/>
  <c r="G187" i="14"/>
  <c r="E188" i="14"/>
  <c r="G188" i="14"/>
  <c r="E189" i="14"/>
  <c r="G189" i="14"/>
  <c r="E190" i="14"/>
  <c r="G190" i="14"/>
  <c r="E191" i="14"/>
  <c r="G191" i="14"/>
  <c r="E192" i="14"/>
  <c r="G192" i="14"/>
  <c r="E193" i="14"/>
  <c r="G193" i="14"/>
  <c r="G181" i="14"/>
  <c r="D50" i="15" l="1"/>
  <c r="F7" i="19"/>
  <c r="E34" i="15"/>
  <c r="D133" i="15"/>
  <c r="E35" i="15"/>
  <c r="D134" i="15"/>
  <c r="E36" i="15"/>
  <c r="D135" i="15"/>
  <c r="F9" i="19"/>
  <c r="G122" i="19" s="1"/>
  <c r="I41" i="16"/>
  <c r="H9" i="19"/>
  <c r="G123" i="19" s="1"/>
  <c r="K40" i="16"/>
  <c r="G9" i="19" s="1"/>
  <c r="H123" i="19" s="1"/>
  <c r="E37" i="15"/>
  <c r="D136" i="15"/>
  <c r="D183" i="14"/>
  <c r="J191" i="14"/>
  <c r="J183" i="14"/>
  <c r="V191" i="14"/>
  <c r="H7" i="19"/>
  <c r="I133" i="15"/>
  <c r="G11" i="19" s="1"/>
  <c r="J41" i="16"/>
  <c r="D202" i="14"/>
  <c r="S194" i="14"/>
  <c r="O238" i="14" s="1"/>
  <c r="Y194" i="14"/>
  <c r="O239" i="14" s="1"/>
  <c r="E194" i="14"/>
  <c r="N236" i="14" s="1"/>
  <c r="G194" i="14"/>
  <c r="H121" i="19"/>
  <c r="P185" i="14"/>
  <c r="K194" i="14"/>
  <c r="N237" i="14" s="1"/>
  <c r="Q194" i="14"/>
  <c r="N238" i="14" s="1"/>
  <c r="M194" i="14"/>
  <c r="W194" i="14"/>
  <c r="N239" i="14" s="1"/>
  <c r="J188" i="14"/>
  <c r="P188" i="14"/>
  <c r="V190" i="14"/>
  <c r="J190" i="14"/>
  <c r="V189" i="14"/>
  <c r="V193" i="14"/>
  <c r="J186" i="14"/>
  <c r="V188" i="14"/>
  <c r="D182" i="14"/>
  <c r="D187" i="14"/>
  <c r="D185" i="14"/>
  <c r="J185" i="14"/>
  <c r="V185" i="14"/>
  <c r="P181" i="14"/>
  <c r="P190" i="14"/>
  <c r="D193" i="14"/>
  <c r="D189" i="14"/>
  <c r="D186" i="14"/>
  <c r="P182" i="14"/>
  <c r="P186" i="14"/>
  <c r="P187" i="14"/>
  <c r="P189" i="14"/>
  <c r="P193" i="14"/>
  <c r="V182" i="14"/>
  <c r="V186" i="14"/>
  <c r="V187" i="14"/>
  <c r="D190" i="14"/>
  <c r="D188" i="14"/>
  <c r="J181" i="14"/>
  <c r="J182" i="14"/>
  <c r="J187" i="14"/>
  <c r="J189" i="14"/>
  <c r="J193" i="14"/>
  <c r="D47" i="15"/>
  <c r="G47" i="15" s="1"/>
  <c r="K17" i="15"/>
  <c r="K18" i="15"/>
  <c r="K11" i="15"/>
  <c r="K19" i="15"/>
  <c r="K12" i="15"/>
  <c r="K20" i="15"/>
  <c r="K13" i="15"/>
  <c r="K21" i="15"/>
  <c r="K14" i="15"/>
  <c r="K22" i="15"/>
  <c r="K15" i="15"/>
  <c r="K23" i="15"/>
  <c r="K16" i="15"/>
  <c r="K24" i="15"/>
  <c r="E48" i="15"/>
  <c r="E47" i="15"/>
  <c r="D45" i="15"/>
  <c r="E52" i="15"/>
  <c r="G52" i="15"/>
  <c r="E50" i="15"/>
  <c r="G50" i="15"/>
  <c r="G46" i="15"/>
  <c r="D147" i="15"/>
  <c r="D148" i="15"/>
  <c r="D51" i="15"/>
  <c r="D150" i="15"/>
  <c r="D53" i="15"/>
  <c r="D152" i="15"/>
  <c r="D55" i="15"/>
  <c r="D154" i="15"/>
  <c r="D56" i="15"/>
  <c r="D149" i="15"/>
  <c r="D151" i="15"/>
  <c r="D153" i="15"/>
  <c r="D155" i="15"/>
  <c r="D57" i="15"/>
  <c r="D54" i="15"/>
  <c r="D49" i="15"/>
  <c r="V181" i="14"/>
  <c r="K41" i="16" l="1"/>
  <c r="F45" i="15"/>
  <c r="F10" i="19"/>
  <c r="F24" i="19" s="1"/>
  <c r="F12" i="19"/>
  <c r="H125" i="19"/>
  <c r="G13" i="19"/>
  <c r="H13" i="19" s="1"/>
  <c r="H14" i="19" s="1"/>
  <c r="H10" i="19"/>
  <c r="G118" i="19"/>
  <c r="G127" i="19" s="1"/>
  <c r="H12" i="19"/>
  <c r="G119" i="19"/>
  <c r="G128" i="19" s="1"/>
  <c r="Q238" i="14"/>
  <c r="Q239" i="14"/>
  <c r="Q236" i="14"/>
  <c r="V194" i="14"/>
  <c r="L239" i="14" s="1"/>
  <c r="P194" i="14"/>
  <c r="L238" i="14" s="1"/>
  <c r="D194" i="14"/>
  <c r="L236" i="14" s="1"/>
  <c r="J194" i="14"/>
  <c r="L237" i="14" s="1"/>
  <c r="E49" i="15"/>
  <c r="G49" i="15"/>
  <c r="E51" i="15"/>
  <c r="G51" i="15"/>
  <c r="G56" i="15"/>
  <c r="E56" i="15"/>
  <c r="E53" i="15"/>
  <c r="G53" i="15"/>
  <c r="G54" i="15"/>
  <c r="E54" i="15"/>
  <c r="E57" i="15"/>
  <c r="G57" i="15"/>
  <c r="E55" i="15"/>
  <c r="G55" i="15"/>
  <c r="V78" i="14"/>
  <c r="V59" i="14"/>
  <c r="Y214" i="14"/>
  <c r="V214" i="14"/>
  <c r="Y213" i="14"/>
  <c r="V213" i="14"/>
  <c r="Y212" i="14"/>
  <c r="V212" i="14"/>
  <c r="Y211" i="14"/>
  <c r="V211" i="14"/>
  <c r="V202" i="14"/>
  <c r="S214" i="14"/>
  <c r="P214" i="14"/>
  <c r="S213" i="14"/>
  <c r="P213" i="14"/>
  <c r="S212" i="14"/>
  <c r="P212" i="14"/>
  <c r="S211" i="14"/>
  <c r="P211" i="14"/>
  <c r="P202" i="14"/>
  <c r="P78" i="14"/>
  <c r="P59" i="14"/>
  <c r="G211" i="14"/>
  <c r="M214" i="14"/>
  <c r="J214" i="14"/>
  <c r="M213" i="14"/>
  <c r="J213" i="14"/>
  <c r="M212" i="14"/>
  <c r="J212" i="14"/>
  <c r="M211" i="14"/>
  <c r="J211" i="14"/>
  <c r="J202" i="14"/>
  <c r="J78" i="14"/>
  <c r="J59" i="14"/>
  <c r="D78" i="14"/>
  <c r="G10" i="19" l="1"/>
  <c r="G19" i="19" s="1"/>
  <c r="H19" i="19"/>
  <c r="H24" i="19" s="1"/>
  <c r="G24" i="19" s="1"/>
  <c r="G12" i="19"/>
  <c r="F14" i="19"/>
  <c r="G14" i="19" s="1"/>
  <c r="G7" i="19"/>
  <c r="H119" i="19" s="1"/>
  <c r="E202" i="14"/>
  <c r="Q64" i="14"/>
  <c r="Q63" i="14"/>
  <c r="K64" i="14"/>
  <c r="K63" i="14"/>
  <c r="W64" i="14"/>
  <c r="W63" i="14"/>
  <c r="O237" i="14"/>
  <c r="G212" i="14"/>
  <c r="G213" i="14"/>
  <c r="G214" i="14"/>
  <c r="D212" i="14"/>
  <c r="D213" i="14"/>
  <c r="D214" i="14"/>
  <c r="D211" i="14"/>
  <c r="AA38" i="14"/>
  <c r="AA37" i="14"/>
  <c r="AA36" i="14"/>
  <c r="AA35" i="14"/>
  <c r="AA34" i="14"/>
  <c r="AA33" i="14"/>
  <c r="AA32" i="14"/>
  <c r="AA31" i="14"/>
  <c r="AA30" i="14"/>
  <c r="Z45" i="14" s="1"/>
  <c r="Z44" i="14" s="1"/>
  <c r="AA29" i="14"/>
  <c r="AA28" i="14"/>
  <c r="AA27" i="14"/>
  <c r="AA26" i="14"/>
  <c r="W51" i="14" s="1"/>
  <c r="AA25" i="14"/>
  <c r="W50" i="14" s="1"/>
  <c r="U38" i="14"/>
  <c r="U37" i="14"/>
  <c r="U36" i="14"/>
  <c r="U35" i="14"/>
  <c r="U34" i="14"/>
  <c r="U33" i="14"/>
  <c r="U32" i="14"/>
  <c r="U31" i="14"/>
  <c r="U30" i="14"/>
  <c r="T45" i="14" s="1"/>
  <c r="T44" i="14" s="1"/>
  <c r="U29" i="14"/>
  <c r="U28" i="14"/>
  <c r="U27" i="14"/>
  <c r="U26" i="14"/>
  <c r="U25" i="14"/>
  <c r="Q50" i="14" s="1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J198" i="14" s="1"/>
  <c r="I25" i="14"/>
  <c r="I240" i="14"/>
  <c r="I241" i="14"/>
  <c r="I242" i="14"/>
  <c r="I239" i="14"/>
  <c r="I243" i="14"/>
  <c r="I38" i="14"/>
  <c r="I37" i="14"/>
  <c r="I36" i="14"/>
  <c r="I35" i="14"/>
  <c r="I34" i="14"/>
  <c r="I33" i="14"/>
  <c r="I32" i="14"/>
  <c r="I31" i="14"/>
  <c r="I30" i="14"/>
  <c r="H45" i="14" s="1"/>
  <c r="H44" i="14" s="1"/>
  <c r="I29" i="14"/>
  <c r="E218" i="14" s="1"/>
  <c r="I28" i="14"/>
  <c r="I27" i="14"/>
  <c r="I26" i="14"/>
  <c r="Q52" i="14" l="1"/>
  <c r="P200" i="14"/>
  <c r="Q53" i="14"/>
  <c r="P201" i="14"/>
  <c r="W52" i="14"/>
  <c r="V200" i="14"/>
  <c r="X61" i="14" s="1"/>
  <c r="Q51" i="14"/>
  <c r="P199" i="14"/>
  <c r="W53" i="14"/>
  <c r="V201" i="14"/>
  <c r="K51" i="14"/>
  <c r="K47" i="14" s="1"/>
  <c r="J199" i="14"/>
  <c r="K52" i="14"/>
  <c r="J200" i="14"/>
  <c r="E200" i="14" s="1"/>
  <c r="F200" i="14" s="1"/>
  <c r="E51" i="14"/>
  <c r="D199" i="14"/>
  <c r="E52" i="14"/>
  <c r="D200" i="14"/>
  <c r="E53" i="14"/>
  <c r="D201" i="14"/>
  <c r="E50" i="14"/>
  <c r="D198" i="14"/>
  <c r="E198" i="14" s="1"/>
  <c r="K198" i="14" s="1"/>
  <c r="L198" i="14" s="1"/>
  <c r="H128" i="19"/>
  <c r="K53" i="14"/>
  <c r="J201" i="14"/>
  <c r="K50" i="14"/>
  <c r="J61" i="14"/>
  <c r="O61" i="14" s="1"/>
  <c r="W47" i="14"/>
  <c r="E47" i="14"/>
  <c r="I244" i="14" s="1"/>
  <c r="Q47" i="14"/>
  <c r="Q237" i="14"/>
  <c r="N45" i="14"/>
  <c r="N44" i="14" s="1"/>
  <c r="J64" i="14"/>
  <c r="O64" i="14" s="1"/>
  <c r="E64" i="14"/>
  <c r="E63" i="14"/>
  <c r="P61" i="14"/>
  <c r="U61" i="14" s="1"/>
  <c r="D63" i="14"/>
  <c r="I63" i="14" s="1"/>
  <c r="D64" i="14"/>
  <c r="I64" i="14" s="1"/>
  <c r="J65" i="14"/>
  <c r="O65" i="14" s="1"/>
  <c r="K219" i="14"/>
  <c r="Q221" i="14"/>
  <c r="P67" i="14"/>
  <c r="U67" i="14" s="1"/>
  <c r="W223" i="14"/>
  <c r="V69" i="14"/>
  <c r="AA69" i="14" s="1"/>
  <c r="V220" i="14"/>
  <c r="J220" i="14"/>
  <c r="P220" i="14"/>
  <c r="E225" i="14"/>
  <c r="P225" i="14"/>
  <c r="V225" i="14"/>
  <c r="J225" i="14"/>
  <c r="K220" i="14"/>
  <c r="J66" i="14"/>
  <c r="O66" i="14" s="1"/>
  <c r="P68" i="14"/>
  <c r="U68" i="14" s="1"/>
  <c r="Q222" i="14"/>
  <c r="V70" i="14"/>
  <c r="AA70" i="14" s="1"/>
  <c r="W224" i="14"/>
  <c r="J73" i="14"/>
  <c r="O73" i="14" s="1"/>
  <c r="K226" i="14"/>
  <c r="W222" i="14"/>
  <c r="V68" i="14"/>
  <c r="AA68" i="14" s="1"/>
  <c r="E219" i="14"/>
  <c r="V219" i="14"/>
  <c r="J219" i="14"/>
  <c r="P219" i="14"/>
  <c r="E221" i="14"/>
  <c r="P221" i="14"/>
  <c r="V221" i="14"/>
  <c r="J221" i="14"/>
  <c r="P226" i="14"/>
  <c r="V226" i="14"/>
  <c r="J226" i="14"/>
  <c r="J67" i="14"/>
  <c r="O67" i="14" s="1"/>
  <c r="K221" i="14"/>
  <c r="Q223" i="14"/>
  <c r="P69" i="14"/>
  <c r="U69" i="14" s="1"/>
  <c r="W218" i="14"/>
  <c r="V62" i="14"/>
  <c r="V72" i="14"/>
  <c r="AA72" i="14" s="1"/>
  <c r="W225" i="14"/>
  <c r="V71" i="14"/>
  <c r="AA71" i="14" s="1"/>
  <c r="J68" i="14"/>
  <c r="O68" i="14" s="1"/>
  <c r="K222" i="14"/>
  <c r="Q224" i="14"/>
  <c r="P70" i="14"/>
  <c r="U70" i="14" s="1"/>
  <c r="V64" i="14"/>
  <c r="AA64" i="14" s="1"/>
  <c r="V63" i="14"/>
  <c r="AA63" i="14" s="1"/>
  <c r="W226" i="14"/>
  <c r="V73" i="14"/>
  <c r="AA73" i="14" s="1"/>
  <c r="V222" i="14"/>
  <c r="J222" i="14"/>
  <c r="L222" i="14" s="1"/>
  <c r="P222" i="14"/>
  <c r="K223" i="14"/>
  <c r="J69" i="14"/>
  <c r="O69" i="14" s="1"/>
  <c r="Q218" i="14"/>
  <c r="P62" i="14"/>
  <c r="Q225" i="14"/>
  <c r="P72" i="14"/>
  <c r="U72" i="14" s="1"/>
  <c r="P71" i="14"/>
  <c r="U71" i="14" s="1"/>
  <c r="W219" i="14"/>
  <c r="V65" i="14"/>
  <c r="AA65" i="14" s="1"/>
  <c r="F202" i="14"/>
  <c r="Q220" i="14"/>
  <c r="P66" i="14"/>
  <c r="U66" i="14" s="1"/>
  <c r="J63" i="14"/>
  <c r="O63" i="14" s="1"/>
  <c r="E224" i="14"/>
  <c r="J224" i="14"/>
  <c r="P224" i="14"/>
  <c r="V224" i="14"/>
  <c r="K224" i="14"/>
  <c r="J70" i="14"/>
  <c r="O70" i="14" s="1"/>
  <c r="P64" i="14"/>
  <c r="U64" i="14" s="1"/>
  <c r="P63" i="14"/>
  <c r="U63" i="14" s="1"/>
  <c r="P73" i="14"/>
  <c r="U73" i="14" s="1"/>
  <c r="Q226" i="14"/>
  <c r="V66" i="14"/>
  <c r="AA66" i="14" s="1"/>
  <c r="W220" i="14"/>
  <c r="P218" i="14"/>
  <c r="V218" i="14"/>
  <c r="J218" i="14"/>
  <c r="D218" i="14"/>
  <c r="E223" i="14"/>
  <c r="V223" i="14"/>
  <c r="J223" i="14"/>
  <c r="P223" i="14"/>
  <c r="K218" i="14"/>
  <c r="J62" i="14"/>
  <c r="J72" i="14"/>
  <c r="O72" i="14" s="1"/>
  <c r="J71" i="14"/>
  <c r="O71" i="14" s="1"/>
  <c r="K225" i="14"/>
  <c r="Q219" i="14"/>
  <c r="P65" i="14"/>
  <c r="U65" i="14" s="1"/>
  <c r="V61" i="14"/>
  <c r="AA61" i="14" s="1"/>
  <c r="V67" i="14"/>
  <c r="AA67" i="14" s="1"/>
  <c r="W221" i="14"/>
  <c r="D221" i="14"/>
  <c r="D222" i="14"/>
  <c r="D220" i="14"/>
  <c r="D61" i="14"/>
  <c r="I61" i="14" s="1"/>
  <c r="D226" i="14"/>
  <c r="D224" i="14"/>
  <c r="D223" i="14"/>
  <c r="D71" i="14"/>
  <c r="I71" i="14" s="1"/>
  <c r="D72" i="14"/>
  <c r="I72" i="14" s="1"/>
  <c r="D219" i="14"/>
  <c r="D225" i="14"/>
  <c r="D65" i="14"/>
  <c r="I65" i="14" s="1"/>
  <c r="D66" i="14"/>
  <c r="I66" i="14" s="1"/>
  <c r="D67" i="14"/>
  <c r="I67" i="14" s="1"/>
  <c r="E220" i="14"/>
  <c r="D69" i="14"/>
  <c r="I69" i="14" s="1"/>
  <c r="D62" i="14"/>
  <c r="I62" i="14" s="1"/>
  <c r="D68" i="14"/>
  <c r="I68" i="14" s="1"/>
  <c r="D73" i="14"/>
  <c r="I73" i="14" s="1"/>
  <c r="E222" i="14"/>
  <c r="E226" i="14"/>
  <c r="D70" i="14"/>
  <c r="I70" i="14" s="1"/>
  <c r="L218" i="14" l="1"/>
  <c r="R61" i="14"/>
  <c r="L61" i="14"/>
  <c r="E199" i="14"/>
  <c r="F61" i="14"/>
  <c r="L219" i="14"/>
  <c r="F217" i="14"/>
  <c r="E201" i="14"/>
  <c r="F201" i="14" s="1"/>
  <c r="S63" i="14"/>
  <c r="S64" i="14"/>
  <c r="K62" i="14"/>
  <c r="O62" i="14"/>
  <c r="O57" i="14" s="1"/>
  <c r="W62" i="14"/>
  <c r="AA62" i="14"/>
  <c r="Y63" i="14"/>
  <c r="Q62" i="14"/>
  <c r="U62" i="14"/>
  <c r="U57" i="14" s="1"/>
  <c r="I57" i="14"/>
  <c r="Y64" i="14"/>
  <c r="M63" i="14"/>
  <c r="M64" i="14"/>
  <c r="G63" i="14"/>
  <c r="J87" i="14"/>
  <c r="M87" i="14" s="1"/>
  <c r="L188" i="14"/>
  <c r="E83" i="14"/>
  <c r="E82" i="14"/>
  <c r="X218" i="14"/>
  <c r="V166" i="14" s="1"/>
  <c r="E62" i="14"/>
  <c r="M62" i="14"/>
  <c r="S62" i="14"/>
  <c r="F219" i="14"/>
  <c r="Y62" i="14"/>
  <c r="X219" i="14"/>
  <c r="G62" i="14"/>
  <c r="L221" i="14"/>
  <c r="J170" i="14" s="1"/>
  <c r="G64" i="14"/>
  <c r="X225" i="14"/>
  <c r="X191" i="14" s="1"/>
  <c r="X222" i="14"/>
  <c r="F218" i="14"/>
  <c r="D166" i="14" s="1"/>
  <c r="F221" i="14"/>
  <c r="D170" i="14" s="1"/>
  <c r="L220" i="14"/>
  <c r="L186" i="14" s="1"/>
  <c r="F224" i="14"/>
  <c r="D173" i="14" s="1"/>
  <c r="X224" i="14"/>
  <c r="F223" i="14"/>
  <c r="R218" i="14"/>
  <c r="P166" i="14" s="1"/>
  <c r="R221" i="14"/>
  <c r="P170" i="14" s="1"/>
  <c r="G69" i="14"/>
  <c r="E69" i="14"/>
  <c r="Y73" i="14"/>
  <c r="W73" i="14"/>
  <c r="M72" i="14"/>
  <c r="K72" i="14"/>
  <c r="G70" i="14"/>
  <c r="E70" i="14"/>
  <c r="E67" i="14"/>
  <c r="G67" i="14"/>
  <c r="Q202" i="14"/>
  <c r="R202" i="14" s="1"/>
  <c r="R217" i="14" s="1"/>
  <c r="P167" i="14" s="1"/>
  <c r="W202" i="14"/>
  <c r="X202" i="14" s="1"/>
  <c r="X217" i="14" s="1"/>
  <c r="K202" i="14"/>
  <c r="L202" i="14" s="1"/>
  <c r="L217" i="14" s="1"/>
  <c r="W71" i="14"/>
  <c r="Y71" i="14"/>
  <c r="M67" i="14"/>
  <c r="K67" i="14"/>
  <c r="R219" i="14"/>
  <c r="P168" i="14" s="1"/>
  <c r="R225" i="14"/>
  <c r="R191" i="14" s="1"/>
  <c r="W69" i="14"/>
  <c r="Y69" i="14"/>
  <c r="E72" i="14"/>
  <c r="G72" i="14"/>
  <c r="M73" i="14"/>
  <c r="K73" i="14"/>
  <c r="W198" i="14"/>
  <c r="X198" i="14" s="1"/>
  <c r="Q198" i="14"/>
  <c r="R198" i="14" s="1"/>
  <c r="L226" i="14"/>
  <c r="J175" i="14" s="1"/>
  <c r="Y70" i="14"/>
  <c r="W70" i="14"/>
  <c r="E65" i="14"/>
  <c r="G65" i="14"/>
  <c r="R223" i="14"/>
  <c r="F198" i="14"/>
  <c r="Y65" i="14"/>
  <c r="W65" i="14"/>
  <c r="Q70" i="14"/>
  <c r="S70" i="14"/>
  <c r="W72" i="14"/>
  <c r="Y72" i="14"/>
  <c r="X226" i="14"/>
  <c r="V175" i="14" s="1"/>
  <c r="R220" i="14"/>
  <c r="S67" i="14"/>
  <c r="Q67" i="14"/>
  <c r="E73" i="14"/>
  <c r="G73" i="14"/>
  <c r="F225" i="14"/>
  <c r="S65" i="14"/>
  <c r="Q65" i="14"/>
  <c r="L223" i="14"/>
  <c r="R222" i="14"/>
  <c r="R224" i="14"/>
  <c r="P173" i="14" s="1"/>
  <c r="R226" i="14"/>
  <c r="P175" i="14" s="1"/>
  <c r="Q68" i="14"/>
  <c r="S68" i="14"/>
  <c r="M71" i="14"/>
  <c r="K71" i="14"/>
  <c r="S73" i="14"/>
  <c r="Q73" i="14"/>
  <c r="W200" i="14"/>
  <c r="X200" i="14" s="1"/>
  <c r="K200" i="14"/>
  <c r="L200" i="14" s="1"/>
  <c r="Q200" i="14"/>
  <c r="R200" i="14" s="1"/>
  <c r="G71" i="14"/>
  <c r="E71" i="14"/>
  <c r="E66" i="14"/>
  <c r="G66" i="14"/>
  <c r="Y67" i="14"/>
  <c r="W67" i="14"/>
  <c r="K70" i="14"/>
  <c r="M70" i="14"/>
  <c r="X223" i="14"/>
  <c r="Y66" i="14"/>
  <c r="W66" i="14"/>
  <c r="S71" i="14"/>
  <c r="Q71" i="14"/>
  <c r="Y68" i="14"/>
  <c r="W68" i="14"/>
  <c r="K66" i="14"/>
  <c r="M66" i="14"/>
  <c r="X220" i="14"/>
  <c r="K69" i="14"/>
  <c r="M69" i="14"/>
  <c r="E68" i="14"/>
  <c r="G68" i="14"/>
  <c r="L225" i="14"/>
  <c r="L224" i="14"/>
  <c r="J173" i="14" s="1"/>
  <c r="S66" i="14"/>
  <c r="Q66" i="14"/>
  <c r="Q72" i="14"/>
  <c r="S72" i="14"/>
  <c r="K68" i="14"/>
  <c r="M68" i="14"/>
  <c r="Q69" i="14"/>
  <c r="S69" i="14"/>
  <c r="X221" i="14"/>
  <c r="V170" i="14" s="1"/>
  <c r="K65" i="14"/>
  <c r="M65" i="14"/>
  <c r="F220" i="14"/>
  <c r="F226" i="14"/>
  <c r="D175" i="14" s="1"/>
  <c r="F222" i="14"/>
  <c r="V173" i="14" l="1"/>
  <c r="X190" i="14" s="1"/>
  <c r="J166" i="14"/>
  <c r="L182" i="14" s="1"/>
  <c r="J81" i="14"/>
  <c r="O81" i="14" s="1"/>
  <c r="V168" i="14"/>
  <c r="X185" i="14" s="1"/>
  <c r="D168" i="14"/>
  <c r="F185" i="14" s="1"/>
  <c r="J168" i="14"/>
  <c r="L185" i="14" s="1"/>
  <c r="L183" i="14"/>
  <c r="J167" i="14"/>
  <c r="X183" i="14"/>
  <c r="V167" i="14"/>
  <c r="F183" i="14"/>
  <c r="D167" i="14"/>
  <c r="P81" i="14"/>
  <c r="U81" i="14" s="1"/>
  <c r="R182" i="14"/>
  <c r="V81" i="14"/>
  <c r="AA81" i="14" s="1"/>
  <c r="X182" i="14"/>
  <c r="W199" i="14"/>
  <c r="X199" i="14" s="1"/>
  <c r="K199" i="14"/>
  <c r="L199" i="14" s="1"/>
  <c r="Q199" i="14"/>
  <c r="R199" i="14" s="1"/>
  <c r="F199" i="14"/>
  <c r="E213" i="14" s="1"/>
  <c r="D81" i="14"/>
  <c r="I81" i="14" s="1"/>
  <c r="F182" i="14"/>
  <c r="P82" i="14"/>
  <c r="U82" i="14" s="1"/>
  <c r="R183" i="14"/>
  <c r="K201" i="14"/>
  <c r="L201" i="14" s="1"/>
  <c r="W201" i="14"/>
  <c r="X201" i="14" s="1"/>
  <c r="Q201" i="14"/>
  <c r="R201" i="14" s="1"/>
  <c r="AA57" i="14"/>
  <c r="K87" i="14"/>
  <c r="O87" i="14"/>
  <c r="D85" i="14"/>
  <c r="E85" i="14" s="1"/>
  <c r="F186" i="14"/>
  <c r="P87" i="14"/>
  <c r="R188" i="14"/>
  <c r="V85" i="14"/>
  <c r="AA85" i="14" s="1"/>
  <c r="X186" i="14"/>
  <c r="V90" i="14"/>
  <c r="AA90" i="14" s="1"/>
  <c r="V88" i="14"/>
  <c r="X189" i="14"/>
  <c r="J88" i="14"/>
  <c r="L189" i="14"/>
  <c r="P85" i="14"/>
  <c r="U85" i="14" s="1"/>
  <c r="R186" i="14"/>
  <c r="D87" i="14"/>
  <c r="I87" i="14" s="1"/>
  <c r="F188" i="14"/>
  <c r="V92" i="14"/>
  <c r="Y92" i="14" s="1"/>
  <c r="X193" i="14"/>
  <c r="P88" i="14"/>
  <c r="U88" i="14" s="1"/>
  <c r="R189" i="14"/>
  <c r="P84" i="14"/>
  <c r="U84" i="14" s="1"/>
  <c r="R185" i="14"/>
  <c r="J85" i="14"/>
  <c r="O85" i="14" s="1"/>
  <c r="V84" i="14"/>
  <c r="Y84" i="14" s="1"/>
  <c r="P89" i="14"/>
  <c r="U89" i="14" s="1"/>
  <c r="R190" i="14"/>
  <c r="D91" i="14"/>
  <c r="I91" i="14" s="1"/>
  <c r="F191" i="14"/>
  <c r="P86" i="14"/>
  <c r="U86" i="14" s="1"/>
  <c r="R187" i="14"/>
  <c r="V87" i="14"/>
  <c r="Y87" i="14" s="1"/>
  <c r="X188" i="14"/>
  <c r="J84" i="14"/>
  <c r="M84" i="14" s="1"/>
  <c r="D88" i="14"/>
  <c r="I88" i="14" s="1"/>
  <c r="F189" i="14"/>
  <c r="D84" i="14"/>
  <c r="I84" i="14" s="1"/>
  <c r="V86" i="14"/>
  <c r="W86" i="14" s="1"/>
  <c r="X187" i="14"/>
  <c r="J92" i="14"/>
  <c r="L193" i="14"/>
  <c r="V89" i="14"/>
  <c r="AA89" i="14" s="1"/>
  <c r="J89" i="14"/>
  <c r="O89" i="14" s="1"/>
  <c r="L190" i="14"/>
  <c r="D89" i="14"/>
  <c r="I89" i="14" s="1"/>
  <c r="F190" i="14"/>
  <c r="J86" i="14"/>
  <c r="L187" i="14"/>
  <c r="D92" i="14"/>
  <c r="I92" i="14" s="1"/>
  <c r="F193" i="14"/>
  <c r="P92" i="14"/>
  <c r="U92" i="14" s="1"/>
  <c r="R193" i="14"/>
  <c r="D86" i="14"/>
  <c r="I86" i="14" s="1"/>
  <c r="F187" i="14"/>
  <c r="V91" i="14"/>
  <c r="AA91" i="14" s="1"/>
  <c r="D83" i="14"/>
  <c r="I83" i="14" s="1"/>
  <c r="D82" i="14"/>
  <c r="I82" i="14" s="1"/>
  <c r="K82" i="14"/>
  <c r="K83" i="14"/>
  <c r="W83" i="14"/>
  <c r="W82" i="14"/>
  <c r="Q83" i="14"/>
  <c r="Q82" i="14"/>
  <c r="K81" i="14"/>
  <c r="D90" i="14"/>
  <c r="I90" i="14" s="1"/>
  <c r="M81" i="14"/>
  <c r="G88" i="14"/>
  <c r="P91" i="14"/>
  <c r="U91" i="14" s="1"/>
  <c r="P90" i="14"/>
  <c r="U90" i="14" s="1"/>
  <c r="J91" i="14"/>
  <c r="O91" i="14" s="1"/>
  <c r="J90" i="14"/>
  <c r="O90" i="14" s="1"/>
  <c r="G92" i="14" l="1"/>
  <c r="R80" i="14"/>
  <c r="Q81" i="14"/>
  <c r="S81" i="14"/>
  <c r="E81" i="14"/>
  <c r="F80" i="14"/>
  <c r="W213" i="14"/>
  <c r="X213" i="14" s="1"/>
  <c r="E212" i="14"/>
  <c r="Q213" i="14"/>
  <c r="R213" i="14" s="1"/>
  <c r="Y81" i="14"/>
  <c r="W81" i="14"/>
  <c r="E214" i="14"/>
  <c r="F214" i="14" s="1"/>
  <c r="E211" i="14"/>
  <c r="F211" i="14" s="1"/>
  <c r="H211" i="14" s="1"/>
  <c r="D162" i="14" s="1"/>
  <c r="Q214" i="14"/>
  <c r="R214" i="14" s="1"/>
  <c r="K212" i="14"/>
  <c r="L212" i="14" s="1"/>
  <c r="G81" i="14"/>
  <c r="S85" i="14"/>
  <c r="K85" i="14"/>
  <c r="K211" i="14"/>
  <c r="L211" i="14" s="1"/>
  <c r="L80" i="14"/>
  <c r="K214" i="14"/>
  <c r="L214" i="14" s="1"/>
  <c r="X80" i="14"/>
  <c r="K213" i="14"/>
  <c r="L213" i="14" s="1"/>
  <c r="W211" i="14"/>
  <c r="X211" i="14" s="1"/>
  <c r="W214" i="14"/>
  <c r="X214" i="14" s="1"/>
  <c r="Z214" i="14" s="1"/>
  <c r="V165" i="14" s="1"/>
  <c r="W212" i="14"/>
  <c r="X212" i="14" s="1"/>
  <c r="Q212" i="14"/>
  <c r="R212" i="14" s="1"/>
  <c r="Q211" i="14"/>
  <c r="R211" i="14" s="1"/>
  <c r="E92" i="14"/>
  <c r="W85" i="14"/>
  <c r="S84" i="14"/>
  <c r="Y85" i="14"/>
  <c r="E91" i="14"/>
  <c r="Q85" i="14"/>
  <c r="Y89" i="14"/>
  <c r="Q92" i="14"/>
  <c r="E84" i="14"/>
  <c r="Y90" i="14"/>
  <c r="W89" i="14"/>
  <c r="G86" i="14"/>
  <c r="S92" i="14"/>
  <c r="G87" i="14"/>
  <c r="W90" i="14"/>
  <c r="G91" i="14"/>
  <c r="E88" i="14"/>
  <c r="Q84" i="14"/>
  <c r="M89" i="14"/>
  <c r="E87" i="14"/>
  <c r="M85" i="14"/>
  <c r="S86" i="14"/>
  <c r="G84" i="14"/>
  <c r="E89" i="14"/>
  <c r="E86" i="14"/>
  <c r="G89" i="14"/>
  <c r="Y86" i="14"/>
  <c r="AA86" i="14"/>
  <c r="W87" i="14"/>
  <c r="AA87" i="14"/>
  <c r="W84" i="14"/>
  <c r="AA84" i="14"/>
  <c r="W92" i="14"/>
  <c r="AA92" i="14"/>
  <c r="W88" i="14"/>
  <c r="AA88" i="14"/>
  <c r="G85" i="14"/>
  <c r="I85" i="14"/>
  <c r="M92" i="14"/>
  <c r="O92" i="14"/>
  <c r="Q87" i="14"/>
  <c r="U87" i="14"/>
  <c r="Q89" i="14"/>
  <c r="M86" i="14"/>
  <c r="O86" i="14"/>
  <c r="S89" i="14"/>
  <c r="K84" i="14"/>
  <c r="O84" i="14"/>
  <c r="M88" i="14"/>
  <c r="O88" i="14"/>
  <c r="K88" i="14"/>
  <c r="Q88" i="14"/>
  <c r="S87" i="14"/>
  <c r="K89" i="14"/>
  <c r="Q86" i="14"/>
  <c r="K92" i="14"/>
  <c r="S88" i="14"/>
  <c r="Y91" i="14"/>
  <c r="Y88" i="14"/>
  <c r="K86" i="14"/>
  <c r="W91" i="14"/>
  <c r="P83" i="14"/>
  <c r="U83" i="14" s="1"/>
  <c r="V82" i="14"/>
  <c r="AA82" i="14" s="1"/>
  <c r="V83" i="14"/>
  <c r="AA83" i="14" s="1"/>
  <c r="E90" i="14"/>
  <c r="G90" i="14"/>
  <c r="F212" i="14"/>
  <c r="F213" i="14"/>
  <c r="G82" i="14"/>
  <c r="G83" i="14"/>
  <c r="S90" i="14"/>
  <c r="Q90" i="14"/>
  <c r="Q91" i="14"/>
  <c r="S91" i="14"/>
  <c r="M90" i="14"/>
  <c r="K90" i="14"/>
  <c r="M91" i="14"/>
  <c r="K91" i="14"/>
  <c r="H213" i="14" l="1"/>
  <c r="D164" i="14" s="1"/>
  <c r="T211" i="14"/>
  <c r="P162" i="14" s="1"/>
  <c r="Z212" i="14"/>
  <c r="V163" i="14" s="1"/>
  <c r="T213" i="14"/>
  <c r="P164" i="14" s="1"/>
  <c r="N211" i="14"/>
  <c r="J162" i="14" s="1"/>
  <c r="N214" i="14"/>
  <c r="J165" i="14" s="1"/>
  <c r="H212" i="14"/>
  <c r="D163" i="14" s="1"/>
  <c r="H214" i="14"/>
  <c r="D165" i="14" s="1"/>
  <c r="Z213" i="14"/>
  <c r="V164" i="14" s="1"/>
  <c r="Z211" i="14"/>
  <c r="V162" i="14" s="1"/>
  <c r="T212" i="14"/>
  <c r="P163" i="14" s="1"/>
  <c r="N213" i="14"/>
  <c r="J164" i="14" s="1"/>
  <c r="N212" i="14"/>
  <c r="J163" i="14" s="1"/>
  <c r="T214" i="14"/>
  <c r="P165" i="14" s="1"/>
  <c r="Y82" i="14"/>
  <c r="Y83" i="14"/>
  <c r="S83" i="14"/>
  <c r="S82" i="14"/>
  <c r="J30" i="10"/>
  <c r="J27" i="10"/>
  <c r="J28" i="10"/>
  <c r="K28" i="10"/>
  <c r="L28" i="10"/>
  <c r="M28" i="10"/>
  <c r="N28" i="10"/>
  <c r="O28" i="10"/>
  <c r="J29" i="10"/>
  <c r="K29" i="10"/>
  <c r="L29" i="10"/>
  <c r="M29" i="10"/>
  <c r="N29" i="10"/>
  <c r="O29" i="10"/>
  <c r="K30" i="10"/>
  <c r="L30" i="10"/>
  <c r="M30" i="10"/>
  <c r="N30" i="10"/>
  <c r="O30" i="10"/>
  <c r="O27" i="10"/>
  <c r="K27" i="10"/>
  <c r="L27" i="10"/>
  <c r="M27" i="10"/>
  <c r="N27" i="10"/>
  <c r="F181" i="14" l="1"/>
  <c r="F194" i="14" s="1"/>
  <c r="M236" i="14" s="1"/>
  <c r="P236" i="14" s="1"/>
  <c r="R181" i="14"/>
  <c r="R194" i="14" s="1"/>
  <c r="M238" i="14" s="1"/>
  <c r="P238" i="14" s="1"/>
  <c r="J80" i="14"/>
  <c r="O80" i="14" s="1"/>
  <c r="P80" i="14"/>
  <c r="U80" i="14" s="1"/>
  <c r="U77" i="14" s="1"/>
  <c r="S161" i="14" s="1"/>
  <c r="C9" i="14" s="1"/>
  <c r="L181" i="14"/>
  <c r="D80" i="14"/>
  <c r="I80" i="14" s="1"/>
  <c r="I77" i="14" s="1"/>
  <c r="G161" i="14" s="1"/>
  <c r="V80" i="14"/>
  <c r="X181" i="14"/>
  <c r="X194" i="14" s="1"/>
  <c r="M239" i="14" s="1"/>
  <c r="J5" i="10"/>
  <c r="K5" i="10"/>
  <c r="L5" i="10"/>
  <c r="M5" i="10"/>
  <c r="N5" i="10"/>
  <c r="O5" i="10"/>
  <c r="J6" i="10"/>
  <c r="D35" i="10" s="1"/>
  <c r="K6" i="10"/>
  <c r="L6" i="10"/>
  <c r="M6" i="10"/>
  <c r="G35" i="10" s="1"/>
  <c r="N6" i="10"/>
  <c r="O6" i="10"/>
  <c r="J7" i="10"/>
  <c r="K7" i="10"/>
  <c r="L7" i="10"/>
  <c r="M7" i="10"/>
  <c r="N7" i="10"/>
  <c r="O7" i="10"/>
  <c r="I35" i="10" s="1"/>
  <c r="J8" i="10"/>
  <c r="D36" i="10" s="1"/>
  <c r="K8" i="10"/>
  <c r="L8" i="10"/>
  <c r="M8" i="10"/>
  <c r="G36" i="10" s="1"/>
  <c r="N8" i="10"/>
  <c r="O8" i="10"/>
  <c r="J9" i="10"/>
  <c r="K9" i="10"/>
  <c r="L9" i="10"/>
  <c r="M9" i="10"/>
  <c r="N9" i="10"/>
  <c r="O9" i="10"/>
  <c r="J10" i="10"/>
  <c r="K10" i="10"/>
  <c r="L10" i="10"/>
  <c r="M10" i="10"/>
  <c r="N10" i="10"/>
  <c r="O10" i="10"/>
  <c r="J11" i="10"/>
  <c r="K11" i="10"/>
  <c r="L11" i="10"/>
  <c r="M11" i="10"/>
  <c r="N11" i="10"/>
  <c r="O11" i="10"/>
  <c r="J12" i="10"/>
  <c r="K12" i="10"/>
  <c r="L12" i="10"/>
  <c r="M12" i="10"/>
  <c r="N12" i="10"/>
  <c r="O12" i="10"/>
  <c r="J13" i="10"/>
  <c r="K13" i="10"/>
  <c r="L13" i="10"/>
  <c r="M13" i="10"/>
  <c r="N13" i="10"/>
  <c r="O13" i="10"/>
  <c r="J14" i="10"/>
  <c r="K14" i="10"/>
  <c r="L14" i="10"/>
  <c r="M14" i="10"/>
  <c r="N14" i="10"/>
  <c r="O14" i="10"/>
  <c r="J15" i="10"/>
  <c r="K15" i="10"/>
  <c r="L15" i="10"/>
  <c r="M15" i="10"/>
  <c r="N15" i="10"/>
  <c r="O15" i="10"/>
  <c r="J16" i="10"/>
  <c r="K16" i="10"/>
  <c r="L16" i="10"/>
  <c r="M16" i="10"/>
  <c r="N16" i="10"/>
  <c r="O16" i="10"/>
  <c r="J17" i="10"/>
  <c r="K17" i="10"/>
  <c r="L17" i="10"/>
  <c r="M17" i="10"/>
  <c r="N17" i="10"/>
  <c r="O17" i="10"/>
  <c r="O4" i="10"/>
  <c r="I34" i="10" s="1"/>
  <c r="I4" i="10"/>
  <c r="N4" i="10"/>
  <c r="H34" i="10" s="1"/>
  <c r="H4" i="10"/>
  <c r="M4" i="10"/>
  <c r="G34" i="10" s="1"/>
  <c r="G4" i="10"/>
  <c r="L4" i="10"/>
  <c r="F34" i="10" s="1"/>
  <c r="F4" i="10"/>
  <c r="F27" i="10" s="1"/>
  <c r="K4" i="10"/>
  <c r="E34" i="10" s="1"/>
  <c r="E4" i="10"/>
  <c r="J4" i="10"/>
  <c r="D34" i="10" s="1"/>
  <c r="D4" i="10"/>
  <c r="E5" i="10"/>
  <c r="F5" i="10"/>
  <c r="G5" i="10"/>
  <c r="H5" i="10"/>
  <c r="I5" i="10"/>
  <c r="E6" i="10"/>
  <c r="F6" i="10"/>
  <c r="F28" i="10" s="1"/>
  <c r="G6" i="10"/>
  <c r="G28" i="10" s="1"/>
  <c r="H6" i="10"/>
  <c r="I6" i="10"/>
  <c r="E7" i="10"/>
  <c r="F7" i="10"/>
  <c r="G7" i="10"/>
  <c r="H7" i="10"/>
  <c r="I7" i="10"/>
  <c r="E8" i="10"/>
  <c r="F8" i="10"/>
  <c r="G8" i="10"/>
  <c r="H8" i="10"/>
  <c r="I8" i="10"/>
  <c r="E9" i="10"/>
  <c r="F9" i="10"/>
  <c r="G9" i="10"/>
  <c r="H9" i="10"/>
  <c r="H29" i="10" s="1"/>
  <c r="I9" i="10"/>
  <c r="E10" i="10"/>
  <c r="F10" i="10"/>
  <c r="G10" i="10"/>
  <c r="H10" i="10"/>
  <c r="I10" i="10"/>
  <c r="E11" i="10"/>
  <c r="F11" i="10"/>
  <c r="G11" i="10"/>
  <c r="H11" i="10"/>
  <c r="I11" i="10"/>
  <c r="E12" i="10"/>
  <c r="F12" i="10"/>
  <c r="G12" i="10"/>
  <c r="H12" i="10"/>
  <c r="I12" i="10"/>
  <c r="E13" i="10"/>
  <c r="F13" i="10"/>
  <c r="G13" i="10"/>
  <c r="H13" i="10"/>
  <c r="I13" i="10"/>
  <c r="E14" i="10"/>
  <c r="F14" i="10"/>
  <c r="G14" i="10"/>
  <c r="H14" i="10"/>
  <c r="I14" i="10"/>
  <c r="E15" i="10"/>
  <c r="F15" i="10"/>
  <c r="G15" i="10"/>
  <c r="H15" i="10"/>
  <c r="I15" i="10"/>
  <c r="E16" i="10"/>
  <c r="F16" i="10"/>
  <c r="G16" i="10"/>
  <c r="H16" i="10"/>
  <c r="I16" i="10"/>
  <c r="E17" i="10"/>
  <c r="F17" i="10"/>
  <c r="G17" i="10"/>
  <c r="H17" i="10"/>
  <c r="I17" i="10"/>
  <c r="E19" i="10"/>
  <c r="D21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N7" i="9"/>
  <c r="S7" i="9" s="1"/>
  <c r="O7" i="9"/>
  <c r="P7" i="9"/>
  <c r="Q7" i="9"/>
  <c r="R7" i="9"/>
  <c r="R5" i="8"/>
  <c r="R106" i="8"/>
  <c r="Q106" i="8"/>
  <c r="P106" i="8"/>
  <c r="O106" i="8"/>
  <c r="N106" i="8"/>
  <c r="R105" i="8"/>
  <c r="Q105" i="8"/>
  <c r="P105" i="8"/>
  <c r="O105" i="8"/>
  <c r="N105" i="8"/>
  <c r="R104" i="8"/>
  <c r="Q104" i="8"/>
  <c r="P104" i="8"/>
  <c r="O104" i="8"/>
  <c r="N104" i="8"/>
  <c r="R103" i="8"/>
  <c r="Q103" i="8"/>
  <c r="P103" i="8"/>
  <c r="O103" i="8"/>
  <c r="N103" i="8"/>
  <c r="R102" i="8"/>
  <c r="Q102" i="8"/>
  <c r="P102" i="8"/>
  <c r="O102" i="8"/>
  <c r="N102" i="8"/>
  <c r="R101" i="8"/>
  <c r="Q101" i="8"/>
  <c r="P101" i="8"/>
  <c r="O101" i="8"/>
  <c r="N101" i="8"/>
  <c r="R100" i="8"/>
  <c r="Q100" i="8"/>
  <c r="P100" i="8"/>
  <c r="O100" i="8"/>
  <c r="N100" i="8"/>
  <c r="R99" i="8"/>
  <c r="Q99" i="8"/>
  <c r="P99" i="8"/>
  <c r="O99" i="8"/>
  <c r="N99" i="8"/>
  <c r="R98" i="8"/>
  <c r="Q98" i="8"/>
  <c r="P98" i="8"/>
  <c r="O98" i="8"/>
  <c r="N98" i="8"/>
  <c r="R97" i="8"/>
  <c r="Q97" i="8"/>
  <c r="P97" i="8"/>
  <c r="O97" i="8"/>
  <c r="N97" i="8"/>
  <c r="R96" i="8"/>
  <c r="Q96" i="8"/>
  <c r="P96" i="8"/>
  <c r="O96" i="8"/>
  <c r="N96" i="8"/>
  <c r="R95" i="8"/>
  <c r="Q95" i="8"/>
  <c r="P95" i="8"/>
  <c r="O95" i="8"/>
  <c r="N95" i="8"/>
  <c r="R94" i="8"/>
  <c r="Q94" i="8"/>
  <c r="P94" i="8"/>
  <c r="O94" i="8"/>
  <c r="N94" i="8"/>
  <c r="R93" i="8"/>
  <c r="Q93" i="8"/>
  <c r="P93" i="8"/>
  <c r="O93" i="8"/>
  <c r="N93" i="8"/>
  <c r="R92" i="8"/>
  <c r="Q92" i="8"/>
  <c r="P92" i="8"/>
  <c r="O92" i="8"/>
  <c r="N92" i="8"/>
  <c r="R91" i="8"/>
  <c r="Q91" i="8"/>
  <c r="P91" i="8"/>
  <c r="O91" i="8"/>
  <c r="N91" i="8"/>
  <c r="R90" i="8"/>
  <c r="Q90" i="8"/>
  <c r="P90" i="8"/>
  <c r="O90" i="8"/>
  <c r="N90" i="8"/>
  <c r="R89" i="8"/>
  <c r="Q89" i="8"/>
  <c r="P89" i="8"/>
  <c r="O89" i="8"/>
  <c r="N89" i="8"/>
  <c r="R88" i="8"/>
  <c r="Q88" i="8"/>
  <c r="P88" i="8"/>
  <c r="O88" i="8"/>
  <c r="N88" i="8"/>
  <c r="R87" i="8"/>
  <c r="Q87" i="8"/>
  <c r="P87" i="8"/>
  <c r="O87" i="8"/>
  <c r="N87" i="8"/>
  <c r="R86" i="8"/>
  <c r="Q86" i="8"/>
  <c r="P86" i="8"/>
  <c r="O86" i="8"/>
  <c r="N86" i="8"/>
  <c r="R85" i="8"/>
  <c r="Q85" i="8"/>
  <c r="P85" i="8"/>
  <c r="O85" i="8"/>
  <c r="N85" i="8"/>
  <c r="R84" i="8"/>
  <c r="Q84" i="8"/>
  <c r="P84" i="8"/>
  <c r="O84" i="8"/>
  <c r="N84" i="8"/>
  <c r="R83" i="8"/>
  <c r="Q83" i="8"/>
  <c r="P83" i="8"/>
  <c r="O83" i="8"/>
  <c r="N83" i="8"/>
  <c r="R82" i="8"/>
  <c r="Q82" i="8"/>
  <c r="P82" i="8"/>
  <c r="O82" i="8"/>
  <c r="N82" i="8"/>
  <c r="R81" i="8"/>
  <c r="Q81" i="8"/>
  <c r="P81" i="8"/>
  <c r="O81" i="8"/>
  <c r="N81" i="8"/>
  <c r="R80" i="8"/>
  <c r="Q80" i="8"/>
  <c r="P80" i="8"/>
  <c r="O80" i="8"/>
  <c r="N80" i="8"/>
  <c r="R79" i="8"/>
  <c r="Q79" i="8"/>
  <c r="P79" i="8"/>
  <c r="O79" i="8"/>
  <c r="N79" i="8"/>
  <c r="R78" i="8"/>
  <c r="Q78" i="8"/>
  <c r="P78" i="8"/>
  <c r="O78" i="8"/>
  <c r="N78" i="8"/>
  <c r="R77" i="8"/>
  <c r="Q77" i="8"/>
  <c r="P77" i="8"/>
  <c r="O77" i="8"/>
  <c r="N77" i="8"/>
  <c r="R76" i="8"/>
  <c r="Q76" i="8"/>
  <c r="P76" i="8"/>
  <c r="O76" i="8"/>
  <c r="N76" i="8"/>
  <c r="R75" i="8"/>
  <c r="Q75" i="8"/>
  <c r="P75" i="8"/>
  <c r="O75" i="8"/>
  <c r="N75" i="8"/>
  <c r="R74" i="8"/>
  <c r="Q74" i="8"/>
  <c r="P74" i="8"/>
  <c r="O74" i="8"/>
  <c r="N74" i="8"/>
  <c r="R73" i="8"/>
  <c r="Q73" i="8"/>
  <c r="P73" i="8"/>
  <c r="O73" i="8"/>
  <c r="N73" i="8"/>
  <c r="R72" i="8"/>
  <c r="Q72" i="8"/>
  <c r="P72" i="8"/>
  <c r="O72" i="8"/>
  <c r="N72" i="8"/>
  <c r="R71" i="8"/>
  <c r="Q71" i="8"/>
  <c r="P71" i="8"/>
  <c r="O71" i="8"/>
  <c r="N71" i="8"/>
  <c r="R70" i="8"/>
  <c r="Q70" i="8"/>
  <c r="P70" i="8"/>
  <c r="O70" i="8"/>
  <c r="N70" i="8"/>
  <c r="S70" i="8" s="1"/>
  <c r="R69" i="8"/>
  <c r="Q69" i="8"/>
  <c r="P69" i="8"/>
  <c r="O69" i="8"/>
  <c r="N69" i="8"/>
  <c r="R68" i="8"/>
  <c r="Q68" i="8"/>
  <c r="P68" i="8"/>
  <c r="O68" i="8"/>
  <c r="N68" i="8"/>
  <c r="R67" i="8"/>
  <c r="Q67" i="8"/>
  <c r="P67" i="8"/>
  <c r="O67" i="8"/>
  <c r="N67" i="8"/>
  <c r="R66" i="8"/>
  <c r="Q66" i="8"/>
  <c r="P66" i="8"/>
  <c r="O66" i="8"/>
  <c r="N66" i="8"/>
  <c r="R65" i="8"/>
  <c r="Q65" i="8"/>
  <c r="P65" i="8"/>
  <c r="O65" i="8"/>
  <c r="N65" i="8"/>
  <c r="R64" i="8"/>
  <c r="Q64" i="8"/>
  <c r="P64" i="8"/>
  <c r="O64" i="8"/>
  <c r="N64" i="8"/>
  <c r="R63" i="8"/>
  <c r="Q63" i="8"/>
  <c r="P63" i="8"/>
  <c r="O63" i="8"/>
  <c r="N63" i="8"/>
  <c r="R62" i="8"/>
  <c r="Q62" i="8"/>
  <c r="P62" i="8"/>
  <c r="O62" i="8"/>
  <c r="N62" i="8"/>
  <c r="S62" i="8" s="1"/>
  <c r="R61" i="8"/>
  <c r="S61" i="8" s="1"/>
  <c r="Q61" i="8"/>
  <c r="P61" i="8"/>
  <c r="O61" i="8"/>
  <c r="N61" i="8"/>
  <c r="R60" i="8"/>
  <c r="Q60" i="8"/>
  <c r="P60" i="8"/>
  <c r="O60" i="8"/>
  <c r="N60" i="8"/>
  <c r="R59" i="8"/>
  <c r="Q59" i="8"/>
  <c r="P59" i="8"/>
  <c r="O59" i="8"/>
  <c r="N59" i="8"/>
  <c r="S58" i="8"/>
  <c r="R58" i="8"/>
  <c r="Q58" i="8"/>
  <c r="P58" i="8"/>
  <c r="O58" i="8"/>
  <c r="N58" i="8"/>
  <c r="R57" i="8"/>
  <c r="Q57" i="8"/>
  <c r="P57" i="8"/>
  <c r="O57" i="8"/>
  <c r="N57" i="8"/>
  <c r="R56" i="8"/>
  <c r="Q56" i="8"/>
  <c r="P56" i="8"/>
  <c r="O56" i="8"/>
  <c r="N56" i="8"/>
  <c r="R55" i="8"/>
  <c r="Q55" i="8"/>
  <c r="P55" i="8"/>
  <c r="O55" i="8"/>
  <c r="N55" i="8"/>
  <c r="R54" i="8"/>
  <c r="Q54" i="8"/>
  <c r="P54" i="8"/>
  <c r="O54" i="8"/>
  <c r="N54" i="8"/>
  <c r="R53" i="8"/>
  <c r="Q53" i="8"/>
  <c r="P53" i="8"/>
  <c r="O53" i="8"/>
  <c r="N53" i="8"/>
  <c r="R52" i="8"/>
  <c r="Q52" i="8"/>
  <c r="P52" i="8"/>
  <c r="O52" i="8"/>
  <c r="N52" i="8"/>
  <c r="R51" i="8"/>
  <c r="Q51" i="8"/>
  <c r="P51" i="8"/>
  <c r="O51" i="8"/>
  <c r="N51" i="8"/>
  <c r="R50" i="8"/>
  <c r="Q50" i="8"/>
  <c r="P50" i="8"/>
  <c r="O50" i="8"/>
  <c r="N50" i="8"/>
  <c r="R49" i="8"/>
  <c r="Q49" i="8"/>
  <c r="P49" i="8"/>
  <c r="O49" i="8"/>
  <c r="N49" i="8"/>
  <c r="R48" i="8"/>
  <c r="Q48" i="8"/>
  <c r="P48" i="8"/>
  <c r="O48" i="8"/>
  <c r="N48" i="8"/>
  <c r="R47" i="8"/>
  <c r="Q47" i="8"/>
  <c r="P47" i="8"/>
  <c r="O47" i="8"/>
  <c r="N47" i="8"/>
  <c r="R46" i="8"/>
  <c r="Q46" i="8"/>
  <c r="P46" i="8"/>
  <c r="O46" i="8"/>
  <c r="N46" i="8"/>
  <c r="R45" i="8"/>
  <c r="Q45" i="8"/>
  <c r="P45" i="8"/>
  <c r="O45" i="8"/>
  <c r="N45" i="8"/>
  <c r="R44" i="8"/>
  <c r="Q44" i="8"/>
  <c r="P44" i="8"/>
  <c r="O44" i="8"/>
  <c r="N44" i="8"/>
  <c r="R43" i="8"/>
  <c r="Q43" i="8"/>
  <c r="P43" i="8"/>
  <c r="O43" i="8"/>
  <c r="N43" i="8"/>
  <c r="R42" i="8"/>
  <c r="Q42" i="8"/>
  <c r="P42" i="8"/>
  <c r="O42" i="8"/>
  <c r="N42" i="8"/>
  <c r="R41" i="8"/>
  <c r="Q41" i="8"/>
  <c r="P41" i="8"/>
  <c r="O41" i="8"/>
  <c r="N41" i="8"/>
  <c r="R40" i="8"/>
  <c r="Q40" i="8"/>
  <c r="P40" i="8"/>
  <c r="O40" i="8"/>
  <c r="N40" i="8"/>
  <c r="R39" i="8"/>
  <c r="Q39" i="8"/>
  <c r="P39" i="8"/>
  <c r="O39" i="8"/>
  <c r="N39" i="8"/>
  <c r="R38" i="8"/>
  <c r="Q38" i="8"/>
  <c r="P38" i="8"/>
  <c r="O38" i="8"/>
  <c r="S38" i="8" s="1"/>
  <c r="N38" i="8"/>
  <c r="R37" i="8"/>
  <c r="Q37" i="8"/>
  <c r="P37" i="8"/>
  <c r="O37" i="8"/>
  <c r="N37" i="8"/>
  <c r="R36" i="8"/>
  <c r="Q36" i="8"/>
  <c r="P36" i="8"/>
  <c r="O36" i="8"/>
  <c r="N36" i="8"/>
  <c r="R35" i="8"/>
  <c r="Q35" i="8"/>
  <c r="P35" i="8"/>
  <c r="O35" i="8"/>
  <c r="N35" i="8"/>
  <c r="R34" i="8"/>
  <c r="Q34" i="8"/>
  <c r="P34" i="8"/>
  <c r="O34" i="8"/>
  <c r="N34" i="8"/>
  <c r="R33" i="8"/>
  <c r="Q33" i="8"/>
  <c r="P33" i="8"/>
  <c r="O33" i="8"/>
  <c r="N33" i="8"/>
  <c r="R32" i="8"/>
  <c r="Q32" i="8"/>
  <c r="P32" i="8"/>
  <c r="O32" i="8"/>
  <c r="N32" i="8"/>
  <c r="R31" i="8"/>
  <c r="Q31" i="8"/>
  <c r="P31" i="8"/>
  <c r="O31" i="8"/>
  <c r="N31" i="8"/>
  <c r="R30" i="8"/>
  <c r="Q30" i="8"/>
  <c r="P30" i="8"/>
  <c r="O30" i="8"/>
  <c r="N30" i="8"/>
  <c r="R29" i="8"/>
  <c r="Q29" i="8"/>
  <c r="P29" i="8"/>
  <c r="O29" i="8"/>
  <c r="N29" i="8"/>
  <c r="R28" i="8"/>
  <c r="Q28" i="8"/>
  <c r="P28" i="8"/>
  <c r="O28" i="8"/>
  <c r="N28" i="8"/>
  <c r="R27" i="8"/>
  <c r="Q27" i="8"/>
  <c r="P27" i="8"/>
  <c r="O27" i="8"/>
  <c r="N27" i="8"/>
  <c r="R26" i="8"/>
  <c r="Q26" i="8"/>
  <c r="P26" i="8"/>
  <c r="O26" i="8"/>
  <c r="N26" i="8"/>
  <c r="S26" i="8" s="1"/>
  <c r="R25" i="8"/>
  <c r="Q25" i="8"/>
  <c r="P25" i="8"/>
  <c r="O25" i="8"/>
  <c r="N25" i="8"/>
  <c r="R24" i="8"/>
  <c r="Q24" i="8"/>
  <c r="P24" i="8"/>
  <c r="O24" i="8"/>
  <c r="S24" i="8" s="1"/>
  <c r="N24" i="8"/>
  <c r="R23" i="8"/>
  <c r="Q23" i="8"/>
  <c r="P23" i="8"/>
  <c r="O23" i="8"/>
  <c r="N23" i="8"/>
  <c r="R22" i="8"/>
  <c r="Q22" i="8"/>
  <c r="P22" i="8"/>
  <c r="O22" i="8"/>
  <c r="N22" i="8"/>
  <c r="R21" i="8"/>
  <c r="Q21" i="8"/>
  <c r="P21" i="8"/>
  <c r="O21" i="8"/>
  <c r="N21" i="8"/>
  <c r="R20" i="8"/>
  <c r="Q20" i="8"/>
  <c r="P20" i="8"/>
  <c r="O20" i="8"/>
  <c r="N20" i="8"/>
  <c r="R19" i="8"/>
  <c r="Q19" i="8"/>
  <c r="P19" i="8"/>
  <c r="O19" i="8"/>
  <c r="N19" i="8"/>
  <c r="R18" i="8"/>
  <c r="Q18" i="8"/>
  <c r="P18" i="8"/>
  <c r="O18" i="8"/>
  <c r="N18" i="8"/>
  <c r="R17" i="8"/>
  <c r="S17" i="8" s="1"/>
  <c r="Q17" i="8"/>
  <c r="P17" i="8"/>
  <c r="O17" i="8"/>
  <c r="N17" i="8"/>
  <c r="R16" i="8"/>
  <c r="Q16" i="8"/>
  <c r="P16" i="8"/>
  <c r="O16" i="8"/>
  <c r="S16" i="8" s="1"/>
  <c r="N16" i="8"/>
  <c r="R15" i="8"/>
  <c r="Q15" i="8"/>
  <c r="P15" i="8"/>
  <c r="O15" i="8"/>
  <c r="N15" i="8"/>
  <c r="S15" i="8" s="1"/>
  <c r="R14" i="8"/>
  <c r="Q14" i="8"/>
  <c r="P14" i="8"/>
  <c r="O14" i="8"/>
  <c r="N14" i="8"/>
  <c r="R13" i="8"/>
  <c r="Q13" i="8"/>
  <c r="P13" i="8"/>
  <c r="O13" i="8"/>
  <c r="N13" i="8"/>
  <c r="R12" i="8"/>
  <c r="Q12" i="8"/>
  <c r="P12" i="8"/>
  <c r="O12" i="8"/>
  <c r="N12" i="8"/>
  <c r="R11" i="8"/>
  <c r="Q11" i="8"/>
  <c r="P11" i="8"/>
  <c r="O11" i="8"/>
  <c r="N11" i="8"/>
  <c r="R10" i="8"/>
  <c r="Q10" i="8"/>
  <c r="P10" i="8"/>
  <c r="O10" i="8"/>
  <c r="N10" i="8"/>
  <c r="S10" i="8" s="1"/>
  <c r="R9" i="8"/>
  <c r="Q9" i="8"/>
  <c r="P9" i="8"/>
  <c r="O9" i="8"/>
  <c r="N9" i="8"/>
  <c r="R8" i="8"/>
  <c r="Q8" i="8"/>
  <c r="P8" i="8"/>
  <c r="O8" i="8"/>
  <c r="N8" i="8"/>
  <c r="R7" i="8"/>
  <c r="Q7" i="8"/>
  <c r="P7" i="8"/>
  <c r="O7" i="8"/>
  <c r="N7" i="8"/>
  <c r="S7" i="8" s="1"/>
  <c r="R6" i="8"/>
  <c r="S6" i="8" s="1"/>
  <c r="Q6" i="8"/>
  <c r="P6" i="8"/>
  <c r="O6" i="8"/>
  <c r="N6" i="8"/>
  <c r="Q5" i="8"/>
  <c r="P5" i="8"/>
  <c r="O5" i="8"/>
  <c r="N5" i="8"/>
  <c r="S5" i="8" s="1"/>
  <c r="N6" i="9"/>
  <c r="O6" i="9"/>
  <c r="P6" i="9"/>
  <c r="Q6" i="9"/>
  <c r="R6" i="9"/>
  <c r="N8" i="9"/>
  <c r="O8" i="9"/>
  <c r="P8" i="9"/>
  <c r="Q8" i="9"/>
  <c r="R8" i="9"/>
  <c r="N9" i="9"/>
  <c r="O9" i="9"/>
  <c r="P9" i="9"/>
  <c r="Q9" i="9"/>
  <c r="R9" i="9"/>
  <c r="N10" i="9"/>
  <c r="O10" i="9"/>
  <c r="P10" i="9"/>
  <c r="Q10" i="9"/>
  <c r="R10" i="9"/>
  <c r="N11" i="9"/>
  <c r="O11" i="9"/>
  <c r="P11" i="9"/>
  <c r="Q11" i="9"/>
  <c r="R11" i="9"/>
  <c r="N12" i="9"/>
  <c r="O12" i="9"/>
  <c r="P12" i="9"/>
  <c r="Q12" i="9"/>
  <c r="R12" i="9"/>
  <c r="N13" i="9"/>
  <c r="O13" i="9"/>
  <c r="P13" i="9"/>
  <c r="Q13" i="9"/>
  <c r="R13" i="9"/>
  <c r="N14" i="9"/>
  <c r="O14" i="9"/>
  <c r="P14" i="9"/>
  <c r="Q14" i="9"/>
  <c r="R14" i="9"/>
  <c r="N15" i="9"/>
  <c r="O15" i="9"/>
  <c r="P15" i="9"/>
  <c r="Q15" i="9"/>
  <c r="R15" i="9"/>
  <c r="N16" i="9"/>
  <c r="O16" i="9"/>
  <c r="P16" i="9"/>
  <c r="Q16" i="9"/>
  <c r="R16" i="9"/>
  <c r="N17" i="9"/>
  <c r="O17" i="9"/>
  <c r="P17" i="9"/>
  <c r="Q17" i="9"/>
  <c r="R17" i="9"/>
  <c r="N18" i="9"/>
  <c r="O18" i="9"/>
  <c r="P18" i="9"/>
  <c r="Q18" i="9"/>
  <c r="R18" i="9"/>
  <c r="N19" i="9"/>
  <c r="O19" i="9"/>
  <c r="P19" i="9"/>
  <c r="Q19" i="9"/>
  <c r="R19" i="9"/>
  <c r="N20" i="9"/>
  <c r="O20" i="9"/>
  <c r="P20" i="9"/>
  <c r="S20" i="9" s="1"/>
  <c r="Q20" i="9"/>
  <c r="R20" i="9"/>
  <c r="N21" i="9"/>
  <c r="O21" i="9"/>
  <c r="P21" i="9"/>
  <c r="Q21" i="9"/>
  <c r="R21" i="9"/>
  <c r="S21" i="9"/>
  <c r="N22" i="9"/>
  <c r="O22" i="9"/>
  <c r="P22" i="9"/>
  <c r="Q22" i="9"/>
  <c r="R22" i="9"/>
  <c r="N23" i="9"/>
  <c r="O23" i="9"/>
  <c r="P23" i="9"/>
  <c r="Q23" i="9"/>
  <c r="R23" i="9"/>
  <c r="N24" i="9"/>
  <c r="O24" i="9"/>
  <c r="P24" i="9"/>
  <c r="Q24" i="9"/>
  <c r="R24" i="9"/>
  <c r="N25" i="9"/>
  <c r="S25" i="9" s="1"/>
  <c r="O25" i="9"/>
  <c r="P25" i="9"/>
  <c r="Q25" i="9"/>
  <c r="R25" i="9"/>
  <c r="N26" i="9"/>
  <c r="O26" i="9"/>
  <c r="P26" i="9"/>
  <c r="Q26" i="9"/>
  <c r="R26" i="9"/>
  <c r="N27" i="9"/>
  <c r="O27" i="9"/>
  <c r="P27" i="9"/>
  <c r="Q27" i="9"/>
  <c r="R27" i="9"/>
  <c r="N28" i="9"/>
  <c r="O28" i="9"/>
  <c r="P28" i="9"/>
  <c r="Q28" i="9"/>
  <c r="R28" i="9"/>
  <c r="N29" i="9"/>
  <c r="O29" i="9"/>
  <c r="P29" i="9"/>
  <c r="Q29" i="9"/>
  <c r="R29" i="9"/>
  <c r="N30" i="9"/>
  <c r="O30" i="9"/>
  <c r="P30" i="9"/>
  <c r="Q30" i="9"/>
  <c r="R30" i="9"/>
  <c r="N31" i="9"/>
  <c r="O31" i="9"/>
  <c r="P31" i="9"/>
  <c r="Q31" i="9"/>
  <c r="R31" i="9"/>
  <c r="N32" i="9"/>
  <c r="O32" i="9"/>
  <c r="P32" i="9"/>
  <c r="Q32" i="9"/>
  <c r="R32" i="9"/>
  <c r="N33" i="9"/>
  <c r="O33" i="9"/>
  <c r="P33" i="9"/>
  <c r="Q33" i="9"/>
  <c r="R33" i="9"/>
  <c r="N34" i="9"/>
  <c r="O34" i="9"/>
  <c r="P34" i="9"/>
  <c r="Q34" i="9"/>
  <c r="R34" i="9"/>
  <c r="N35" i="9"/>
  <c r="O35" i="9"/>
  <c r="P35" i="9"/>
  <c r="Q35" i="9"/>
  <c r="R35" i="9"/>
  <c r="N36" i="9"/>
  <c r="O36" i="9"/>
  <c r="P36" i="9"/>
  <c r="Q36" i="9"/>
  <c r="R36" i="9"/>
  <c r="N37" i="9"/>
  <c r="O37" i="9"/>
  <c r="P37" i="9"/>
  <c r="Q37" i="9"/>
  <c r="R37" i="9"/>
  <c r="N38" i="9"/>
  <c r="O38" i="9"/>
  <c r="P38" i="9"/>
  <c r="Q38" i="9"/>
  <c r="R38" i="9"/>
  <c r="N39" i="9"/>
  <c r="O39" i="9"/>
  <c r="P39" i="9"/>
  <c r="Q39" i="9"/>
  <c r="R39" i="9"/>
  <c r="N40" i="9"/>
  <c r="O40" i="9"/>
  <c r="P40" i="9"/>
  <c r="Q40" i="9"/>
  <c r="R40" i="9"/>
  <c r="N41" i="9"/>
  <c r="O41" i="9"/>
  <c r="P41" i="9"/>
  <c r="Q41" i="9"/>
  <c r="R41" i="9"/>
  <c r="N42" i="9"/>
  <c r="O42" i="9"/>
  <c r="P42" i="9"/>
  <c r="Q42" i="9"/>
  <c r="R42" i="9"/>
  <c r="N43" i="9"/>
  <c r="O43" i="9"/>
  <c r="P43" i="9"/>
  <c r="Q43" i="9"/>
  <c r="R43" i="9"/>
  <c r="N44" i="9"/>
  <c r="O44" i="9"/>
  <c r="P44" i="9"/>
  <c r="Q44" i="9"/>
  <c r="R44" i="9"/>
  <c r="N45" i="9"/>
  <c r="O45" i="9"/>
  <c r="P45" i="9"/>
  <c r="Q45" i="9"/>
  <c r="R45" i="9"/>
  <c r="N46" i="9"/>
  <c r="O46" i="9"/>
  <c r="P46" i="9"/>
  <c r="Q46" i="9"/>
  <c r="R46" i="9"/>
  <c r="N47" i="9"/>
  <c r="O47" i="9"/>
  <c r="P47" i="9"/>
  <c r="Q47" i="9"/>
  <c r="R47" i="9"/>
  <c r="N48" i="9"/>
  <c r="O48" i="9"/>
  <c r="P48" i="9"/>
  <c r="Q48" i="9"/>
  <c r="R48" i="9"/>
  <c r="N49" i="9"/>
  <c r="O49" i="9"/>
  <c r="P49" i="9"/>
  <c r="Q49" i="9"/>
  <c r="R49" i="9"/>
  <c r="N50" i="9"/>
  <c r="O50" i="9"/>
  <c r="P50" i="9"/>
  <c r="Q50" i="9"/>
  <c r="R50" i="9"/>
  <c r="N51" i="9"/>
  <c r="O51" i="9"/>
  <c r="P51" i="9"/>
  <c r="Q51" i="9"/>
  <c r="R51" i="9"/>
  <c r="N52" i="9"/>
  <c r="O52" i="9"/>
  <c r="P52" i="9"/>
  <c r="Q52" i="9"/>
  <c r="R52" i="9"/>
  <c r="N53" i="9"/>
  <c r="O53" i="9"/>
  <c r="S53" i="9" s="1"/>
  <c r="P53" i="9"/>
  <c r="Q53" i="9"/>
  <c r="R53" i="9"/>
  <c r="N54" i="9"/>
  <c r="O54" i="9"/>
  <c r="P54" i="9"/>
  <c r="Q54" i="9"/>
  <c r="R54" i="9"/>
  <c r="N55" i="9"/>
  <c r="O55" i="9"/>
  <c r="P55" i="9"/>
  <c r="Q55" i="9"/>
  <c r="R55" i="9"/>
  <c r="N56" i="9"/>
  <c r="O56" i="9"/>
  <c r="P56" i="9"/>
  <c r="Q56" i="9"/>
  <c r="R56" i="9"/>
  <c r="N57" i="9"/>
  <c r="O57" i="9"/>
  <c r="P57" i="9"/>
  <c r="Q57" i="9"/>
  <c r="R57" i="9"/>
  <c r="N58" i="9"/>
  <c r="O58" i="9"/>
  <c r="P58" i="9"/>
  <c r="Q58" i="9"/>
  <c r="R58" i="9"/>
  <c r="N59" i="9"/>
  <c r="O59" i="9"/>
  <c r="P59" i="9"/>
  <c r="Q59" i="9"/>
  <c r="R59" i="9"/>
  <c r="N60" i="9"/>
  <c r="O60" i="9"/>
  <c r="P60" i="9"/>
  <c r="Q60" i="9"/>
  <c r="R60" i="9"/>
  <c r="N61" i="9"/>
  <c r="O61" i="9"/>
  <c r="P61" i="9"/>
  <c r="Q61" i="9"/>
  <c r="R61" i="9"/>
  <c r="N62" i="9"/>
  <c r="O62" i="9"/>
  <c r="P62" i="9"/>
  <c r="Q62" i="9"/>
  <c r="R62" i="9"/>
  <c r="N63" i="9"/>
  <c r="O63" i="9"/>
  <c r="P63" i="9"/>
  <c r="Q63" i="9"/>
  <c r="R63" i="9"/>
  <c r="N64" i="9"/>
  <c r="O64" i="9"/>
  <c r="P64" i="9"/>
  <c r="Q64" i="9"/>
  <c r="R64" i="9"/>
  <c r="N65" i="9"/>
  <c r="O65" i="9"/>
  <c r="P65" i="9"/>
  <c r="Q65" i="9"/>
  <c r="R65" i="9"/>
  <c r="N66" i="9"/>
  <c r="O66" i="9"/>
  <c r="P66" i="9"/>
  <c r="Q66" i="9"/>
  <c r="R66" i="9"/>
  <c r="N67" i="9"/>
  <c r="O67" i="9"/>
  <c r="P67" i="9"/>
  <c r="Q67" i="9"/>
  <c r="R67" i="9"/>
  <c r="N68" i="9"/>
  <c r="O68" i="9"/>
  <c r="P68" i="9"/>
  <c r="Q68" i="9"/>
  <c r="R68" i="9"/>
  <c r="N69" i="9"/>
  <c r="O69" i="9"/>
  <c r="P69" i="9"/>
  <c r="Q69" i="9"/>
  <c r="R69" i="9"/>
  <c r="N70" i="9"/>
  <c r="O70" i="9"/>
  <c r="P70" i="9"/>
  <c r="Q70" i="9"/>
  <c r="R70" i="9"/>
  <c r="N71" i="9"/>
  <c r="O71" i="9"/>
  <c r="P71" i="9"/>
  <c r="Q71" i="9"/>
  <c r="R71" i="9"/>
  <c r="N72" i="9"/>
  <c r="O72" i="9"/>
  <c r="P72" i="9"/>
  <c r="Q72" i="9"/>
  <c r="R72" i="9"/>
  <c r="N73" i="9"/>
  <c r="O73" i="9"/>
  <c r="P73" i="9"/>
  <c r="Q73" i="9"/>
  <c r="R73" i="9"/>
  <c r="N74" i="9"/>
  <c r="O74" i="9"/>
  <c r="P74" i="9"/>
  <c r="Q74" i="9"/>
  <c r="R74" i="9"/>
  <c r="N75" i="9"/>
  <c r="O75" i="9"/>
  <c r="P75" i="9"/>
  <c r="Q75" i="9"/>
  <c r="R75" i="9"/>
  <c r="N76" i="9"/>
  <c r="O76" i="9"/>
  <c r="P76" i="9"/>
  <c r="Q76" i="9"/>
  <c r="R76" i="9"/>
  <c r="N77" i="9"/>
  <c r="O77" i="9"/>
  <c r="P77" i="9"/>
  <c r="Q77" i="9"/>
  <c r="R77" i="9"/>
  <c r="N78" i="9"/>
  <c r="O78" i="9"/>
  <c r="P78" i="9"/>
  <c r="Q78" i="9"/>
  <c r="R78" i="9"/>
  <c r="N79" i="9"/>
  <c r="O79" i="9"/>
  <c r="P79" i="9"/>
  <c r="Q79" i="9"/>
  <c r="R79" i="9"/>
  <c r="N80" i="9"/>
  <c r="O80" i="9"/>
  <c r="P80" i="9"/>
  <c r="Q80" i="9"/>
  <c r="R80" i="9"/>
  <c r="N81" i="9"/>
  <c r="O81" i="9"/>
  <c r="P81" i="9"/>
  <c r="Q81" i="9"/>
  <c r="R81" i="9"/>
  <c r="N82" i="9"/>
  <c r="O82" i="9"/>
  <c r="P82" i="9"/>
  <c r="Q82" i="9"/>
  <c r="R82" i="9"/>
  <c r="N83" i="9"/>
  <c r="O83" i="9"/>
  <c r="P83" i="9"/>
  <c r="Q83" i="9"/>
  <c r="R83" i="9"/>
  <c r="N84" i="9"/>
  <c r="O84" i="9"/>
  <c r="P84" i="9"/>
  <c r="Q84" i="9"/>
  <c r="R84" i="9"/>
  <c r="N85" i="9"/>
  <c r="S85" i="9" s="1"/>
  <c r="O85" i="9"/>
  <c r="P85" i="9"/>
  <c r="Q85" i="9"/>
  <c r="R85" i="9"/>
  <c r="N86" i="9"/>
  <c r="O86" i="9"/>
  <c r="P86" i="9"/>
  <c r="Q86" i="9"/>
  <c r="R86" i="9"/>
  <c r="N87" i="9"/>
  <c r="O87" i="9"/>
  <c r="P87" i="9"/>
  <c r="Q87" i="9"/>
  <c r="R87" i="9"/>
  <c r="N88" i="9"/>
  <c r="O88" i="9"/>
  <c r="P88" i="9"/>
  <c r="Q88" i="9"/>
  <c r="R88" i="9"/>
  <c r="N89" i="9"/>
  <c r="O89" i="9"/>
  <c r="P89" i="9"/>
  <c r="Q89" i="9"/>
  <c r="R89" i="9"/>
  <c r="N90" i="9"/>
  <c r="O90" i="9"/>
  <c r="P90" i="9"/>
  <c r="Q90" i="9"/>
  <c r="R90" i="9"/>
  <c r="N91" i="9"/>
  <c r="O91" i="9"/>
  <c r="P91" i="9"/>
  <c r="Q91" i="9"/>
  <c r="R91" i="9"/>
  <c r="N92" i="9"/>
  <c r="O92" i="9"/>
  <c r="P92" i="9"/>
  <c r="Q92" i="9"/>
  <c r="R92" i="9"/>
  <c r="N93" i="9"/>
  <c r="O93" i="9"/>
  <c r="P93" i="9"/>
  <c r="S93" i="9" s="1"/>
  <c r="Q93" i="9"/>
  <c r="R93" i="9"/>
  <c r="N94" i="9"/>
  <c r="O94" i="9"/>
  <c r="P94" i="9"/>
  <c r="Q94" i="9"/>
  <c r="R94" i="9"/>
  <c r="N95" i="9"/>
  <c r="S95" i="9" s="1"/>
  <c r="O95" i="9"/>
  <c r="P95" i="9"/>
  <c r="Q95" i="9"/>
  <c r="R95" i="9"/>
  <c r="N96" i="9"/>
  <c r="O96" i="9"/>
  <c r="P96" i="9"/>
  <c r="Q96" i="9"/>
  <c r="S96" i="9" s="1"/>
  <c r="R96" i="9"/>
  <c r="N97" i="9"/>
  <c r="O97" i="9"/>
  <c r="P97" i="9"/>
  <c r="Q97" i="9"/>
  <c r="R97" i="9"/>
  <c r="N98" i="9"/>
  <c r="O98" i="9"/>
  <c r="P98" i="9"/>
  <c r="Q98" i="9"/>
  <c r="R98" i="9"/>
  <c r="N99" i="9"/>
  <c r="O99" i="9"/>
  <c r="P99" i="9"/>
  <c r="Q99" i="9"/>
  <c r="R99" i="9"/>
  <c r="N100" i="9"/>
  <c r="O100" i="9"/>
  <c r="P100" i="9"/>
  <c r="Q100" i="9"/>
  <c r="R100" i="9"/>
  <c r="N101" i="9"/>
  <c r="O101" i="9"/>
  <c r="P101" i="9"/>
  <c r="Q101" i="9"/>
  <c r="R101" i="9"/>
  <c r="N102" i="9"/>
  <c r="O102" i="9"/>
  <c r="P102" i="9"/>
  <c r="Q102" i="9"/>
  <c r="R102" i="9"/>
  <c r="N103" i="9"/>
  <c r="O103" i="9"/>
  <c r="P103" i="9"/>
  <c r="Q103" i="9"/>
  <c r="R103" i="9"/>
  <c r="N104" i="9"/>
  <c r="O104" i="9"/>
  <c r="P104" i="9"/>
  <c r="Q104" i="9"/>
  <c r="R104" i="9"/>
  <c r="N105" i="9"/>
  <c r="O105" i="9"/>
  <c r="P105" i="9"/>
  <c r="Q105" i="9"/>
  <c r="R105" i="9"/>
  <c r="N106" i="9"/>
  <c r="O106" i="9"/>
  <c r="P106" i="9"/>
  <c r="Q106" i="9"/>
  <c r="R106" i="9"/>
  <c r="O5" i="9"/>
  <c r="P5" i="9"/>
  <c r="Q5" i="9"/>
  <c r="R5" i="9"/>
  <c r="N5" i="9"/>
  <c r="R236" i="14" l="1"/>
  <c r="L194" i="14"/>
  <c r="M237" i="14" s="1"/>
  <c r="P237" i="14" s="1"/>
  <c r="R238" i="14"/>
  <c r="AA80" i="14"/>
  <c r="AA77" i="14" s="1"/>
  <c r="Y161" i="14" s="1"/>
  <c r="C10" i="14" s="1"/>
  <c r="P239" i="14"/>
  <c r="R239" i="14"/>
  <c r="J83" i="14"/>
  <c r="O83" i="14" s="1"/>
  <c r="J82" i="14"/>
  <c r="O82" i="14" s="1"/>
  <c r="O77" i="14" s="1"/>
  <c r="M161" i="14" s="1"/>
  <c r="G30" i="10"/>
  <c r="I29" i="10"/>
  <c r="G27" i="10"/>
  <c r="D29" i="10"/>
  <c r="F37" i="10"/>
  <c r="E28" i="10"/>
  <c r="E27" i="10"/>
  <c r="D28" i="10"/>
  <c r="J35" i="10" s="1"/>
  <c r="H30" i="10"/>
  <c r="D37" i="10"/>
  <c r="H36" i="10"/>
  <c r="E35" i="10"/>
  <c r="K35" i="10" s="1"/>
  <c r="F30" i="10"/>
  <c r="L37" i="10" s="1"/>
  <c r="F36" i="10"/>
  <c r="E20" i="10"/>
  <c r="F19" i="10" s="1"/>
  <c r="F20" i="10" s="1"/>
  <c r="G19" i="10" s="1"/>
  <c r="G20" i="10" s="1"/>
  <c r="H19" i="10" s="1"/>
  <c r="H20" i="10" s="1"/>
  <c r="I19" i="10" s="1"/>
  <c r="I20" i="10" s="1"/>
  <c r="E30" i="10"/>
  <c r="G29" i="10"/>
  <c r="M36" i="10" s="1"/>
  <c r="I28" i="10"/>
  <c r="E37" i="10"/>
  <c r="I37" i="10"/>
  <c r="E36" i="10"/>
  <c r="F29" i="10"/>
  <c r="H28" i="10"/>
  <c r="H37" i="10"/>
  <c r="E29" i="10"/>
  <c r="D27" i="10"/>
  <c r="H27" i="10"/>
  <c r="N34" i="10" s="1"/>
  <c r="G37" i="10"/>
  <c r="M37" i="10" s="1"/>
  <c r="H35" i="10"/>
  <c r="D30" i="10"/>
  <c r="J37" i="10" s="1"/>
  <c r="I30" i="10"/>
  <c r="I27" i="10"/>
  <c r="O34" i="10" s="1"/>
  <c r="I36" i="10"/>
  <c r="O36" i="10" s="1"/>
  <c r="F35" i="10"/>
  <c r="L35" i="10" s="1"/>
  <c r="M34" i="10"/>
  <c r="J36" i="10"/>
  <c r="L34" i="10"/>
  <c r="M35" i="10"/>
  <c r="K34" i="10"/>
  <c r="N36" i="10"/>
  <c r="O35" i="10"/>
  <c r="J34" i="10"/>
  <c r="S46" i="8"/>
  <c r="S54" i="8"/>
  <c r="S66" i="8"/>
  <c r="S18" i="8"/>
  <c r="S48" i="8"/>
  <c r="S49" i="8"/>
  <c r="S56" i="8"/>
  <c r="S42" i="8"/>
  <c r="S81" i="8"/>
  <c r="S89" i="8"/>
  <c r="S97" i="8"/>
  <c r="S105" i="8"/>
  <c r="S34" i="8"/>
  <c r="S39" i="8"/>
  <c r="S47" i="8"/>
  <c r="S50" i="8"/>
  <c r="S74" i="8"/>
  <c r="S80" i="8"/>
  <c r="S88" i="8"/>
  <c r="S96" i="8"/>
  <c r="S104" i="8"/>
  <c r="S106" i="8"/>
  <c r="S14" i="8"/>
  <c r="S22" i="8"/>
  <c r="S29" i="8"/>
  <c r="S71" i="8"/>
  <c r="S30" i="8"/>
  <c r="S23" i="8"/>
  <c r="S32" i="8"/>
  <c r="S33" i="8"/>
  <c r="S55" i="8"/>
  <c r="S64" i="8"/>
  <c r="S65" i="8"/>
  <c r="S76" i="8"/>
  <c r="S84" i="8"/>
  <c r="S92" i="8"/>
  <c r="S100" i="8"/>
  <c r="S11" i="8"/>
  <c r="S20" i="8"/>
  <c r="S21" i="8"/>
  <c r="S43" i="8"/>
  <c r="S52" i="8"/>
  <c r="S53" i="8"/>
  <c r="S75" i="8"/>
  <c r="S78" i="8"/>
  <c r="S83" i="8"/>
  <c r="S86" i="8"/>
  <c r="S91" i="8"/>
  <c r="S94" i="8"/>
  <c r="S99" i="8"/>
  <c r="S102" i="8"/>
  <c r="S8" i="8"/>
  <c r="S9" i="8"/>
  <c r="S31" i="8"/>
  <c r="S40" i="8"/>
  <c r="S41" i="8"/>
  <c r="S63" i="8"/>
  <c r="S72" i="8"/>
  <c r="S73" i="8"/>
  <c r="S19" i="8"/>
  <c r="S28" i="8"/>
  <c r="S51" i="8"/>
  <c r="S60" i="8"/>
  <c r="S27" i="8"/>
  <c r="S36" i="8"/>
  <c r="S37" i="8"/>
  <c r="S59" i="8"/>
  <c r="S68" i="8"/>
  <c r="S69" i="8"/>
  <c r="S79" i="8"/>
  <c r="S82" i="8"/>
  <c r="S87" i="8"/>
  <c r="S90" i="8"/>
  <c r="S95" i="8"/>
  <c r="S98" i="8"/>
  <c r="S103" i="8"/>
  <c r="S25" i="8"/>
  <c r="S57" i="8"/>
  <c r="S12" i="8"/>
  <c r="S13" i="8"/>
  <c r="S35" i="8"/>
  <c r="S44" i="8"/>
  <c r="S45" i="8"/>
  <c r="S67" i="8"/>
  <c r="S77" i="8"/>
  <c r="S85" i="8"/>
  <c r="S93" i="8"/>
  <c r="S101" i="8"/>
  <c r="S98" i="9"/>
  <c r="S101" i="9"/>
  <c r="S66" i="9"/>
  <c r="S31" i="9"/>
  <c r="S77" i="9"/>
  <c r="S69" i="9"/>
  <c r="S34" i="9"/>
  <c r="S5" i="9"/>
  <c r="S91" i="9"/>
  <c r="S73" i="9"/>
  <c r="S45" i="9"/>
  <c r="S40" i="9"/>
  <c r="S37" i="9"/>
  <c r="S61" i="9"/>
  <c r="S59" i="9"/>
  <c r="S41" i="9"/>
  <c r="S13" i="9"/>
  <c r="S8" i="9"/>
  <c r="S63" i="9"/>
  <c r="S29" i="9"/>
  <c r="S105" i="9"/>
  <c r="S48" i="9"/>
  <c r="S97" i="9"/>
  <c r="S94" i="9"/>
  <c r="S81" i="9"/>
  <c r="S89" i="9"/>
  <c r="S65" i="9"/>
  <c r="S62" i="9"/>
  <c r="S49" i="9"/>
  <c r="S27" i="9"/>
  <c r="S9" i="9"/>
  <c r="S57" i="9"/>
  <c r="S52" i="9"/>
  <c r="S33" i="9"/>
  <c r="S30" i="9"/>
  <c r="S17" i="9"/>
  <c r="S75" i="9"/>
  <c r="S43" i="9"/>
  <c r="S11" i="9"/>
  <c r="S90" i="9"/>
  <c r="S88" i="9"/>
  <c r="S87" i="9"/>
  <c r="S76" i="9"/>
  <c r="S58" i="9"/>
  <c r="S55" i="9"/>
  <c r="S44" i="9"/>
  <c r="S26" i="9"/>
  <c r="S23" i="9"/>
  <c r="S46" i="9"/>
  <c r="S14" i="9"/>
  <c r="S102" i="9"/>
  <c r="S100" i="9"/>
  <c r="S99" i="9"/>
  <c r="S70" i="9"/>
  <c r="S67" i="9"/>
  <c r="S56" i="9"/>
  <c r="S38" i="9"/>
  <c r="S35" i="9"/>
  <c r="S24" i="9"/>
  <c r="S12" i="9"/>
  <c r="S78" i="9"/>
  <c r="S64" i="9"/>
  <c r="S32" i="9"/>
  <c r="S82" i="9"/>
  <c r="S80" i="9"/>
  <c r="S79" i="9"/>
  <c r="S68" i="9"/>
  <c r="S50" i="9"/>
  <c r="S47" i="9"/>
  <c r="S36" i="9"/>
  <c r="S18" i="9"/>
  <c r="S15" i="9"/>
  <c r="S106" i="9"/>
  <c r="S104" i="9"/>
  <c r="S103" i="9"/>
  <c r="S74" i="9"/>
  <c r="S71" i="9"/>
  <c r="S60" i="9"/>
  <c r="S42" i="9"/>
  <c r="S39" i="9"/>
  <c r="S28" i="9"/>
  <c r="S16" i="9"/>
  <c r="S10" i="9"/>
  <c r="S6" i="9"/>
  <c r="S92" i="9"/>
  <c r="S86" i="9"/>
  <c r="S84" i="9"/>
  <c r="S83" i="9"/>
  <c r="S72" i="9"/>
  <c r="S54" i="9"/>
  <c r="S51" i="9"/>
  <c r="S22" i="9"/>
  <c r="S19" i="9"/>
  <c r="R237" i="14" l="1"/>
  <c r="C8" i="14"/>
  <c r="C7" i="14"/>
  <c r="M83" i="14"/>
  <c r="M82" i="14"/>
  <c r="K36" i="10"/>
  <c r="N37" i="10"/>
  <c r="K37" i="10"/>
  <c r="L36" i="10"/>
  <c r="N35" i="10"/>
  <c r="O37" i="10"/>
</calcChain>
</file>

<file path=xl/sharedStrings.xml><?xml version="1.0" encoding="utf-8"?>
<sst xmlns="http://schemas.openxmlformats.org/spreadsheetml/2006/main" count="1733" uniqueCount="428">
  <si>
    <t>Bygningsmasse</t>
  </si>
  <si>
    <t>Referanse</t>
  </si>
  <si>
    <t>Prosjekt</t>
  </si>
  <si>
    <t>Infrastruktur</t>
  </si>
  <si>
    <t>Landskap</t>
  </si>
  <si>
    <t>Transport</t>
  </si>
  <si>
    <t>Alternativ 1</t>
  </si>
  <si>
    <t>SUM</t>
  </si>
  <si>
    <t>Spesifikk plassering</t>
  </si>
  <si>
    <t>Generalisert plassering</t>
  </si>
  <si>
    <t>Drammen</t>
  </si>
  <si>
    <t>m2</t>
  </si>
  <si>
    <t>Boligblokk</t>
  </si>
  <si>
    <t>Barnehage</t>
  </si>
  <si>
    <t>Kontorbygning, ikke publikumsattraktiv</t>
  </si>
  <si>
    <t>Skolebygning</t>
  </si>
  <si>
    <t>Universitet/høgskole</t>
  </si>
  <si>
    <t>Sykehus</t>
  </si>
  <si>
    <t>Sykehjem</t>
  </si>
  <si>
    <t>Hotell</t>
  </si>
  <si>
    <t>Idrettsbygning</t>
  </si>
  <si>
    <t>Forretningsbygning, dagligvarer</t>
  </si>
  <si>
    <t>Forretningsbygning, utvalgsvarer</t>
  </si>
  <si>
    <t>Kulturbygning</t>
  </si>
  <si>
    <t>Kontorbygning</t>
  </si>
  <si>
    <t>Nybygg</t>
  </si>
  <si>
    <t>Eksisterende på tomt, rives</t>
  </si>
  <si>
    <t>Eksisterende på tomt, rehabilitert (totalrehab)</t>
  </si>
  <si>
    <t>Eksisterende på tomt, rehabilitert (ombygging)</t>
  </si>
  <si>
    <t>Antall boenheter</t>
  </si>
  <si>
    <t>Antall elever</t>
  </si>
  <si>
    <t>Eksisterende bygg på tomt, forblir uendret</t>
  </si>
  <si>
    <t>Areal per ansatt (m2 BTA, inkl. fellesarealer og teknisk rom)</t>
  </si>
  <si>
    <t>Referanselokalisering</t>
  </si>
  <si>
    <t>Gjennomsnittlig str. per boenhet</t>
  </si>
  <si>
    <t>Kontor</t>
  </si>
  <si>
    <t>Enebolig</t>
  </si>
  <si>
    <t>Tomannsbolig</t>
  </si>
  <si>
    <t>Rekkehus, kjedehus og andre småhus</t>
  </si>
  <si>
    <t>Type bolig</t>
  </si>
  <si>
    <t>Bosatte per bolig</t>
  </si>
  <si>
    <t>https://www.ssb.no/befolkning/statistikker/fobbolig</t>
  </si>
  <si>
    <t>Kontorareal per ansatt, normtall</t>
  </si>
  <si>
    <t>https://dok.statsbygg.no/wp-content/uploads/2021/02/PA-0502-Areal-og-volum.pdf</t>
  </si>
  <si>
    <t>Oslo</t>
  </si>
  <si>
    <t>Asker</t>
  </si>
  <si>
    <t>Bærum</t>
  </si>
  <si>
    <t>Lillestrøm</t>
  </si>
  <si>
    <t>Nordre Follo</t>
  </si>
  <si>
    <t>05940: Boligbygg, etter region, bygningstype, statistikkvariabel og år</t>
  </si>
  <si>
    <t>Igangsatte boliger</t>
  </si>
  <si>
    <t>Fullførte boliger</t>
  </si>
  <si>
    <t>2017</t>
  </si>
  <si>
    <t>2018</t>
  </si>
  <si>
    <t>2019</t>
  </si>
  <si>
    <t>2020</t>
  </si>
  <si>
    <t>2021</t>
  </si>
  <si>
    <t>K-3005 Drammen</t>
  </si>
  <si>
    <t>111 Enebolig</t>
  </si>
  <si>
    <t>112 Enebolig med hybelleilighet, sokkelleilighet o.l.</t>
  </si>
  <si>
    <t>113 Våningshus</t>
  </si>
  <si>
    <t>121 Del av tomannsbolig, vertikaldelt</t>
  </si>
  <si>
    <t>122 Tomannsbolig, horisontaldelt</t>
  </si>
  <si>
    <t>123 Del av våninghus  tomannsbustad, vertikaltdelt</t>
  </si>
  <si>
    <t>124 Våningshus tomannsbolig, horisontaltdelt</t>
  </si>
  <si>
    <t>131 Rekkehus</t>
  </si>
  <si>
    <t>133 Kjedehus inkl.atriumhus</t>
  </si>
  <si>
    <t>135 Terrassehus</t>
  </si>
  <si>
    <t>136 Andre småhus med 3 boliger eller flere</t>
  </si>
  <si>
    <t>141 Store frittliggende boligbygg på 2 etasjer</t>
  </si>
  <si>
    <t>142 Store frittliggende boligbygg på 3 og 4 etasjer</t>
  </si>
  <si>
    <t>143 Store frittliggende boligbygg på 5 etasjer eller over</t>
  </si>
  <si>
    <t>144 Stort sammenbygd boligbygg på 2 etasjer</t>
  </si>
  <si>
    <t>145 Stort sammenbygd boligbygg på 3 og 4 etasjer</t>
  </si>
  <si>
    <t>146 Stort sammenbygd boligbygg på 5 etasjer eller over</t>
  </si>
  <si>
    <t>K-3020 Nordre Follo</t>
  </si>
  <si>
    <t>K-3024 Bærum</t>
  </si>
  <si>
    <t>K-3025 Asker</t>
  </si>
  <si>
    <t>K-3030 Lillestrøm</t>
  </si>
  <si>
    <t>K-0301 Oslo</t>
  </si>
  <si>
    <t>region:</t>
  </si>
  <si>
    <t>&lt;a href='https://www.ssb.no/offentlig-sektor/kommunekatalog/endringer-i-de-regionale-inndelingene' target='footnote'&gt;&lt;b&gt;Se liste over endringer i de regionale inndelingene.&lt;/b&gt;&lt;/a&gt;</t>
  </si>
  <si>
    <t>Nordre Follo:</t>
  </si>
  <si>
    <t>Før 2020 er tall for Tandbergløkka (del av grunnkrets Østensjø) regnet med under K-3020 Ås. Fra 2020 tilhører området 3020 Nordre Follo.</t>
  </si>
  <si>
    <t>Lillestrøm:</t>
  </si>
  <si>
    <t>Før 2020 er tall for grunnkrets Rånåsfoss og deler av Hellesjø regnet med under K-3030 Lillestrøm. Fra 2020 tilhører områdene 3034 Nes.</t>
  </si>
  <si>
    <t>Sist endret:</t>
  </si>
  <si>
    <t>Igangsatte boliger:</t>
  </si>
  <si>
    <t>20220215 08:00</t>
  </si>
  <si>
    <t>Fullførte boliger:</t>
  </si>
  <si>
    <t>Kilde:</t>
  </si>
  <si>
    <t>Statistisk sentralbyrå</t>
  </si>
  <si>
    <t>Kontakt:</t>
  </si>
  <si>
    <t>Magnus Espeland, Statistisk sentralbyrå</t>
  </si>
  <si>
    <t xml:space="preserve"> +47 40 81 14 51</t>
  </si>
  <si>
    <t>epd@ssb.no</t>
  </si>
  <si>
    <t>Jens Mathiesen, Statistisk sentralbyrå</t>
  </si>
  <si>
    <t xml:space="preserve"> +47 40 81 13 98</t>
  </si>
  <si>
    <t>jma@ssb.no</t>
  </si>
  <si>
    <t>Copyright</t>
  </si>
  <si>
    <t>Måleenhet:</t>
  </si>
  <si>
    <t>boliger</t>
  </si>
  <si>
    <t>Målemetode:</t>
  </si>
  <si>
    <t>Forløp (periodesum)</t>
  </si>
  <si>
    <t>Referansetid:</t>
  </si>
  <si>
    <t>31.12.</t>
  </si>
  <si>
    <t>Database:</t>
  </si>
  <si>
    <t>Ekstern PRODUKSJON</t>
  </si>
  <si>
    <t>Intern referansekode:</t>
  </si>
  <si>
    <t>Igangsatte</t>
  </si>
  <si>
    <t>Bruksareal igangsatte boliger (m²)</t>
  </si>
  <si>
    <t>Bruksareal fullførte boliger (m²)</t>
  </si>
  <si>
    <t>Bruksareal igangsatte boliger (m²):</t>
  </si>
  <si>
    <t>Bruksareal fullførte boliger (m²):</t>
  </si>
  <si>
    <t>m²</t>
  </si>
  <si>
    <t>BruksarealIgang</t>
  </si>
  <si>
    <t>SNITT</t>
  </si>
  <si>
    <t>Antall boliger utbygget per år i snitt, 2017-21</t>
  </si>
  <si>
    <t>Boligareal (m2) utbygget per år i snitt, 2017-21</t>
  </si>
  <si>
    <t>Kommune</t>
  </si>
  <si>
    <t>Forretningsbygning</t>
  </si>
  <si>
    <t>ALTERNATIV 1</t>
  </si>
  <si>
    <t>ALTERNATIV 2</t>
  </si>
  <si>
    <t>ALTERNATIV 3</t>
  </si>
  <si>
    <t>ALTERNATIV 4</t>
  </si>
  <si>
    <t>Nøkkelinformasjon</t>
  </si>
  <si>
    <t>kun ett alternativ</t>
  </si>
  <si>
    <t>Arealbehov annet sted</t>
  </si>
  <si>
    <t>Behov oppfylt på tomten</t>
  </si>
  <si>
    <t>%-fordeling, antall boliger utbygget per år i snitt, 2017-21</t>
  </si>
  <si>
    <t>Fordeling boligutbygging referanselokalisering</t>
  </si>
  <si>
    <t xml:space="preserve">Gjennomsnittlig boligstørrelse (m2 BRA) </t>
  </si>
  <si>
    <t>Gjennomsnittlig boligstørrelse (m2 BRA)</t>
  </si>
  <si>
    <t>BRA/BTA</t>
  </si>
  <si>
    <t>Høyeste behov, alle alternativ</t>
  </si>
  <si>
    <t>Behov annet sted, BTA</t>
  </si>
  <si>
    <t>Fordeling, brukere på referanselokalisering</t>
  </si>
  <si>
    <t>Behov, boenheter, referanselokalisering</t>
  </si>
  <si>
    <t>Behov annet sted</t>
  </si>
  <si>
    <t>Rekke-, kjede- og andre småhus</t>
  </si>
  <si>
    <t>Bygningsbrukere på tomt</t>
  </si>
  <si>
    <t>Arbeidsplasser, kontor</t>
  </si>
  <si>
    <t>(sum på området)</t>
  </si>
  <si>
    <t>BTA</t>
  </si>
  <si>
    <t>Kontorbygning, publikumsattraktiv</t>
  </si>
  <si>
    <t>Antall ansatte</t>
  </si>
  <si>
    <t>Antall bosatte</t>
  </si>
  <si>
    <t>Andre brukere</t>
  </si>
  <si>
    <t>Kapasitet, barnehagebarn</t>
  </si>
  <si>
    <t>Antall ansatte x 1,4</t>
  </si>
  <si>
    <t>Antall ansatte x 0,7</t>
  </si>
  <si>
    <t>Kapasitet, elever</t>
  </si>
  <si>
    <t>Kapasitet, studenter</t>
  </si>
  <si>
    <t>Antall "varme senger" x 1</t>
  </si>
  <si>
    <t>Antall "varme senger" x 0,25</t>
  </si>
  <si>
    <t>Antall senger</t>
  </si>
  <si>
    <t>Antall fullstørrelse spillebaner x 109</t>
  </si>
  <si>
    <t>100 x BTA/100</t>
  </si>
  <si>
    <t>50 x BTA/100</t>
  </si>
  <si>
    <t>30 x BTA/100</t>
  </si>
  <si>
    <t>Beregningsgrunnlag, andre brukere</t>
  </si>
  <si>
    <t>Bygningstype</t>
  </si>
  <si>
    <t>Antall "varme senger"</t>
  </si>
  <si>
    <t>Antall fullstørrelse spillebaner</t>
  </si>
  <si>
    <t>Verdi</t>
  </si>
  <si>
    <t>Enhet</t>
  </si>
  <si>
    <t>Spesifikk lokalisering</t>
  </si>
  <si>
    <t xml:space="preserve">Indre Oslo </t>
  </si>
  <si>
    <t>Oslo kommune</t>
  </si>
  <si>
    <t>Oslo vest</t>
  </si>
  <si>
    <t>Oslo nordøst</t>
  </si>
  <si>
    <t>Oslo sør</t>
  </si>
  <si>
    <t xml:space="preserve">Asker og Bærum </t>
  </si>
  <si>
    <t>Nedre Romerike</t>
  </si>
  <si>
    <t>Øvre Romerike</t>
  </si>
  <si>
    <t>Follo</t>
  </si>
  <si>
    <t xml:space="preserve">Drammen </t>
  </si>
  <si>
    <t>0 - 1 km fra T-banestasjonene Brynseng, Helsfyr, Nydalen, Ryen og Storo samt jernbanestasjonen på Skøyen.</t>
  </si>
  <si>
    <t>Sandvika/Stabekk/Bekkestua</t>
  </si>
  <si>
    <t>Lysaker/Fornebu</t>
  </si>
  <si>
    <t>0 - 1 km fra jernbanestasjonene i Asker, Lysaker, Sandvika</t>
  </si>
  <si>
    <t xml:space="preserve">Resten av Bærum </t>
  </si>
  <si>
    <t>Gamle Asker kommune</t>
  </si>
  <si>
    <t xml:space="preserve">Røyken/Hurum </t>
  </si>
  <si>
    <t>Bybåndet i Nedre Romerike</t>
  </si>
  <si>
    <t>0 - 1 km fra jernbanestasjonen i Lillestrøm og sentrum i Lørenskog</t>
  </si>
  <si>
    <t>Resten av Nedre Romerike</t>
  </si>
  <si>
    <t>Ullensaker kommune</t>
  </si>
  <si>
    <t>Resten av Øvre Romerike</t>
  </si>
  <si>
    <t>0 - 1 km fra jernbanestasjonene i Kolbotn og Ski</t>
  </si>
  <si>
    <t>Togbåndet i Follo</t>
  </si>
  <si>
    <t xml:space="preserve">Resten av Follo </t>
  </si>
  <si>
    <t xml:space="preserve">Drammen sentrum </t>
  </si>
  <si>
    <t>Drammen nord</t>
  </si>
  <si>
    <t>Drammen sør/Konnerud</t>
  </si>
  <si>
    <t>Drammen vest (Nedre Eiker)</t>
  </si>
  <si>
    <t>På tomt</t>
  </si>
  <si>
    <t>Andre steder</t>
  </si>
  <si>
    <t>Ferdigstillelsesår</t>
  </si>
  <si>
    <t>Nybygg på tomt</t>
  </si>
  <si>
    <t>Nybygg annet sted</t>
  </si>
  <si>
    <t>Nøkkeltall for beregning av ansatte og andre brukere</t>
  </si>
  <si>
    <t>andre steder</t>
  </si>
  <si>
    <t>Boligblokk*</t>
  </si>
  <si>
    <t>**Legg inn arealverdi for den kategorien som passer for hoveddelen av kontorbygg på området (velg én kategori)</t>
  </si>
  <si>
    <t>***Legg inn arealverdi for den kategorien som passer for hoveddelen av forretningsbygg på området (velg én kategori)</t>
  </si>
  <si>
    <t>*Sum av beboere, alle boligkategorier</t>
  </si>
  <si>
    <t>**, ***Tilsvarende som for bygningsmasse på tomt, velg én kategori</t>
  </si>
  <si>
    <t>Kontorbygning, publikumsattraktiv**</t>
  </si>
  <si>
    <t>Kontorbygning, ikke publikumsattraktiv**</t>
  </si>
  <si>
    <t>Forretningsbygning, dagligvarer***</t>
  </si>
  <si>
    <t>Forretningsbygning, utvalgsvarer***</t>
  </si>
  <si>
    <t>Bolig</t>
  </si>
  <si>
    <t>Reduksjon lagt til grunn for beregninger</t>
  </si>
  <si>
    <t>Spesifikt reduksjonsmål</t>
  </si>
  <si>
    <t>Areal for eksisterende, revet, rehabilitert og ny bygningsmasse på området</t>
  </si>
  <si>
    <t>Mål for reduksjon av utslipp fra bygningsmassen (A1-A5, B1-B6, C1-C4), sammenliknet med standard nybygg</t>
  </si>
  <si>
    <t>Budsjett</t>
  </si>
  <si>
    <t>Eksisterende bygg, forblir uendret</t>
  </si>
  <si>
    <t>Eksisterende bygg, rehabilitert (ombygging)</t>
  </si>
  <si>
    <t>Eksisterende bygg, rives</t>
  </si>
  <si>
    <t>Eksisterende bygg, rehabilitert (totalrehab)</t>
  </si>
  <si>
    <t>SUM, areal på tomt</t>
  </si>
  <si>
    <t>Harde dekker, nye</t>
  </si>
  <si>
    <t>Transport av masser</t>
  </si>
  <si>
    <t>Transportdistanse</t>
  </si>
  <si>
    <t>km</t>
  </si>
  <si>
    <t>Andel ombrukte materialer</t>
  </si>
  <si>
    <t>%</t>
  </si>
  <si>
    <t>Materialbruk i harde dekker, konstruksjoner og utemøbler</t>
  </si>
  <si>
    <t>Volum av masser transportert ut av området</t>
  </si>
  <si>
    <t>Volum av masser tilført til området</t>
  </si>
  <si>
    <t>Kjøretøy</t>
  </si>
  <si>
    <t>Lastebil, fossil diesel</t>
  </si>
  <si>
    <t>Lastebil, biodiesel</t>
  </si>
  <si>
    <t>Lastebil, biogass</t>
  </si>
  <si>
    <t>Elektrisk lastebil</t>
  </si>
  <si>
    <t>Annet</t>
  </si>
  <si>
    <t>Eksisterende harde dekker som bevares</t>
  </si>
  <si>
    <t>Grøntarealer</t>
  </si>
  <si>
    <t>Beplantet areal tilført</t>
  </si>
  <si>
    <t>Eksisterende beplantet areal som bygges ned</t>
  </si>
  <si>
    <t>Inndata til ZERO-T</t>
  </si>
  <si>
    <t>Bygningsmasse, inkl. byggefase og energibruk i drift</t>
  </si>
  <si>
    <t>Transport i drift</t>
  </si>
  <si>
    <t>Veiinfrastruktur</t>
  </si>
  <si>
    <t>Energiinfrastruktur</t>
  </si>
  <si>
    <t>Ny G/S-vei etablert</t>
  </si>
  <si>
    <t>G/S-vei rehabilitert</t>
  </si>
  <si>
    <t>Ny bilvei etablert</t>
  </si>
  <si>
    <t>Bilvei rehabilitert</t>
  </si>
  <si>
    <r>
      <t>m</t>
    </r>
    <r>
      <rPr>
        <vertAlign val="superscript"/>
        <sz val="10"/>
        <color theme="3"/>
        <rFont val="Arial Nova Light"/>
        <family val="2"/>
      </rPr>
      <t>3</t>
    </r>
  </si>
  <si>
    <r>
      <t>m</t>
    </r>
    <r>
      <rPr>
        <vertAlign val="superscript"/>
        <sz val="10"/>
        <color theme="3"/>
        <rFont val="Arial Nova Light"/>
        <family val="2"/>
      </rPr>
      <t>2</t>
    </r>
  </si>
  <si>
    <r>
      <t xml:space="preserve">Konstruksjoner og utemøbler </t>
    </r>
    <r>
      <rPr>
        <i/>
        <sz val="10"/>
        <color theme="3"/>
        <rFont val="Arial Nova Light"/>
        <family val="2"/>
      </rPr>
      <t>- kvalitativ beskrivelse</t>
    </r>
  </si>
  <si>
    <t>Budsjettert utslippsreduksjon</t>
  </si>
  <si>
    <t>Klimabudsjett</t>
  </si>
  <si>
    <t>VA-infrastruktur</t>
  </si>
  <si>
    <t>Transport i drift, beregnet</t>
  </si>
  <si>
    <t>Massehåndtering på området</t>
  </si>
  <si>
    <t>SUM, beregnede klimagassutslipp fra landskap</t>
  </si>
  <si>
    <t>Reduksjon</t>
  </si>
  <si>
    <t xml:space="preserve"> opptak angis med negativ verdi</t>
  </si>
  <si>
    <t>Klimagassutslipp fra massehåndtering</t>
  </si>
  <si>
    <t>Klimagassutslipp fra harde dekker, inkl. utskifting</t>
  </si>
  <si>
    <t>Klimagassutslipp fra konstruksjoner og utemøbler, inkl. utskifting</t>
  </si>
  <si>
    <t>Klimagassutslipp fra nedbygging av grøntarealer</t>
  </si>
  <si>
    <t>Klimagassutslipp per areal</t>
  </si>
  <si>
    <t>Opptak fra etablering av nye grøntarealer</t>
  </si>
  <si>
    <t>Byggetrinn som beregnes</t>
  </si>
  <si>
    <t>Beregninger gjøres for ferdigstilt prosjekt (sum av alle byggetrinn)</t>
  </si>
  <si>
    <t>Oversikt per byggetrinn</t>
  </si>
  <si>
    <t>Byggetrinn 1</t>
  </si>
  <si>
    <t>Byggetrinn 2</t>
  </si>
  <si>
    <t>Byggetrinn 3</t>
  </si>
  <si>
    <t>Byggetrinn 4</t>
  </si>
  <si>
    <t>Byggetrinn 5</t>
  </si>
  <si>
    <t>Anleggsmaskiner</t>
  </si>
  <si>
    <t>Fossil diesel</t>
  </si>
  <si>
    <t>Biodiesel</t>
  </si>
  <si>
    <t>Elektrisk</t>
  </si>
  <si>
    <t>m</t>
  </si>
  <si>
    <r>
      <rPr>
        <sz val="10"/>
        <color theme="3"/>
        <rFont val="Arial Nova"/>
        <family val="2"/>
      </rPr>
      <t>Redegjør for hvordan utslippsreduksjon skal oppnås</t>
    </r>
    <r>
      <rPr>
        <sz val="10"/>
        <color theme="3"/>
        <rFont val="Arial Nova Light"/>
        <family val="2"/>
      </rPr>
      <t xml:space="preserve"> 
(planlagte grep/løsningsvalg)</t>
    </r>
  </si>
  <si>
    <r>
      <rPr>
        <sz val="10"/>
        <color theme="3"/>
        <rFont val="Arial Nova Cond"/>
        <family val="2"/>
      </rPr>
      <t>Redegjør for hvordan utslippsreduksjon skal oppnås</t>
    </r>
    <r>
      <rPr>
        <sz val="10"/>
        <color theme="3"/>
        <rFont val="Arial Nova Light"/>
        <family val="2"/>
      </rPr>
      <t xml:space="preserve"> 
(planlagte grep/løsningsvalg)</t>
    </r>
  </si>
  <si>
    <t xml:space="preserve"> ekskl. masser</t>
  </si>
  <si>
    <t>Referanse*</t>
  </si>
  <si>
    <t>*Referanse regnes ut fra dagens situasjon, dvs. ingen endring</t>
  </si>
  <si>
    <t>Areal, landskap på området</t>
  </si>
  <si>
    <t>Klimagassutslipp fra ny/rehabilitert veiinfrastruktur</t>
  </si>
  <si>
    <t>Klimagassutslipp fra ny/rehabilitert energiinfrastruktur</t>
  </si>
  <si>
    <t>Klimagassutslipp fra ny/rehabilitert VA-infrastruktur</t>
  </si>
  <si>
    <t>SUM, beregnede klimagassutslipp fra infrastruktur</t>
  </si>
  <si>
    <t>SUM, alle byggetrinn</t>
  </si>
  <si>
    <t>Lengde, nye vannledninger</t>
  </si>
  <si>
    <t>Lengde, rehabiliterte vannledninger</t>
  </si>
  <si>
    <t>Lengde, nye avløpsledninger</t>
  </si>
  <si>
    <t>Lengde, rehabiliterte avløpsledninger</t>
  </si>
  <si>
    <t>Antall byggetrinn i prosjektet</t>
  </si>
  <si>
    <t>på området</t>
  </si>
  <si>
    <t>Referanseplassering</t>
  </si>
  <si>
    <t xml:space="preserve">Tidligere Akershus fylke </t>
  </si>
  <si>
    <t xml:space="preserve">Tidligere Buskerud fylke </t>
  </si>
  <si>
    <t>Sum, bygningsmasse</t>
  </si>
  <si>
    <t>Sum, transport</t>
  </si>
  <si>
    <t>Sum, total</t>
  </si>
  <si>
    <t>Feilteller, alt 1</t>
  </si>
  <si>
    <t>Feilteller, alt 2</t>
  </si>
  <si>
    <t>Feilteller, alt 3</t>
  </si>
  <si>
    <t>Feilteller, alt 4</t>
  </si>
  <si>
    <t>Start</t>
  </si>
  <si>
    <t>Slutt</t>
  </si>
  <si>
    <t>Prosjekt start</t>
  </si>
  <si>
    <t>Prosjekt slutt</t>
  </si>
  <si>
    <t>Antall alternativeutviklingsforslag som vurderes</t>
  </si>
  <si>
    <t>Grunnlag for andre brukere</t>
  </si>
  <si>
    <t>Kan angis dersom spesifikk informasjon foreligger. Dersom ingenting angis, vil nøkkeltall legges til grunn i beregningene (se celle M8:Q19)</t>
  </si>
  <si>
    <t>Sammenlikning av alternative utviklingsforslag</t>
  </si>
  <si>
    <t>Slik bruker du verktøyet</t>
  </si>
  <si>
    <t>angi nummer</t>
  </si>
  <si>
    <t>Bygningsmasse og transport</t>
  </si>
  <si>
    <t>Sammenlikning utviklingsforslag</t>
  </si>
  <si>
    <t>Utslippsfaktorer</t>
  </si>
  <si>
    <t>Fane i verktøyet</t>
  </si>
  <si>
    <t>Beskrivelse</t>
  </si>
  <si>
    <t>Dersom alternative utviklingsforslag vurderes, skal det gjennomføres beregninger ved bruk av denne fanen.</t>
  </si>
  <si>
    <t>Her finner du utslippsfaktorer som ligger til grunn for beregning av klimagassutslipp for bygningsmasse.</t>
  </si>
  <si>
    <t>Beregninger av klimagassutslipp fra infrastruktur som endres/etableres på området skal gjøres utenfor verktøyet, og dokumenteres i denne fanen.</t>
  </si>
  <si>
    <r>
      <t>tonn CO</t>
    </r>
    <r>
      <rPr>
        <vertAlign val="subscript"/>
        <sz val="10"/>
        <color theme="3"/>
        <rFont val="Arial Nova Light"/>
        <family val="2"/>
      </rPr>
      <t>2</t>
    </r>
    <r>
      <rPr>
        <sz val="10"/>
        <color theme="3"/>
        <rFont val="Arial Nova Light"/>
        <family val="2"/>
      </rPr>
      <t>e</t>
    </r>
  </si>
  <si>
    <t>Reduksjon skal vurderes sammenliknet med standard nybygg, både for nybygg og rehab</t>
  </si>
  <si>
    <t>Transport i drift, med 50 % reduksjon iht. ZERO-T</t>
  </si>
  <si>
    <t>Denne fanen sammenstiller resultater fra fanene Bygningsmasse og transport, infrastruktur og landskap. Her kan du også sammenstille klimabudsjett for flere byggetrinn.</t>
  </si>
  <si>
    <t xml:space="preserve"> anvendes til å angi referanseplassering</t>
  </si>
  <si>
    <t xml:space="preserve"> prosjektets faktiske plassering i kommunen</t>
  </si>
  <si>
    <r>
      <rPr>
        <b/>
        <sz val="10"/>
        <color theme="3"/>
        <rFont val="Arial Nova"/>
        <family val="2"/>
      </rPr>
      <t>Beregninger av klimagassutslipp fra infrastruktur som endres/etableres på området skal gjøres utenfor verktøyet</t>
    </r>
    <r>
      <rPr>
        <sz val="10"/>
        <color theme="3"/>
        <rFont val="Arial Nova Light"/>
        <family val="2"/>
      </rPr>
      <t>, og dokumenteres i denne fanen.</t>
    </r>
  </si>
  <si>
    <r>
      <t>Beregninger av klimagassutslipp fra bygningsmasse på området som rives/rehabiliteres/oppføres skal gjøres i denne fanen.</t>
    </r>
    <r>
      <rPr>
        <b/>
        <sz val="10"/>
        <color theme="3"/>
        <rFont val="Arial Nova"/>
        <family val="2"/>
      </rPr>
      <t xml:space="preserve"> Klimagassutslipp fra transport i drift skal beregnes med eget verktøy for ZERO-T</t>
    </r>
    <r>
      <rPr>
        <sz val="10"/>
        <color theme="3"/>
        <rFont val="Arial Nova Light"/>
        <family val="2"/>
      </rPr>
      <t>, og resultater benyttes inn i beregningene i denne fanen.</t>
    </r>
  </si>
  <si>
    <r>
      <t xml:space="preserve">Dette verktøyet skal benyttes for å systematisere klimagassberegninger for et område. Beregningene skal omfatte bygningsmasse (inkludert byggefase og energibruk i drift, transport i drift, infrastruktur og landskap. Verktøyet ledsager dokumentet "FutureBuilt ZERO-O: Metodikk for klimagassberegninger på områdenivå", som beskriver metodikk for å gjennomføre klimagassberegninger på områdenivå i FutureBuilt-prosjekter. </t>
    </r>
    <r>
      <rPr>
        <b/>
        <sz val="10"/>
        <color theme="3"/>
        <rFont val="Arial Nova"/>
        <family val="2"/>
      </rPr>
      <t>Metodedokumentet gir veiledning for bruk av beregningsverktøyet - les dette før du tar i bruk verktøyet.</t>
    </r>
    <r>
      <rPr>
        <sz val="10"/>
        <color theme="3"/>
        <rFont val="Arial Nova Light"/>
        <family val="2"/>
      </rPr>
      <t xml:space="preserve">
</t>
    </r>
  </si>
  <si>
    <t>Verdier fra NS 3720</t>
  </si>
  <si>
    <t>Beregning av antall ansatte/beboere og andre brukere (besøkende) knyttet til bygningene</t>
  </si>
  <si>
    <t xml:space="preserve">Beregnet antall ansatte/beboere og andre brukere som skal anvendes til beregning av klimagassutslipp med beregningsverktøy for FB ZERO-T </t>
  </si>
  <si>
    <t>**, ***Tilsvarende som for bygninger på området, velg én kategori</t>
  </si>
  <si>
    <t>Beskrivelse av infrastruktur som ligger til grunn for beregninger</t>
  </si>
  <si>
    <t>Beskrivelse av landskap/utomhusområder som ligger til grunn for beregninger</t>
  </si>
  <si>
    <t>Hentes fra annen beregningsmodell</t>
  </si>
  <si>
    <t>Medregnes ikke utslipp</t>
  </si>
  <si>
    <t>Utslipp fra materialbruk regnet tilsvarende 1/3 av FB ZERO nybygg, energibruk regnet tilsvarende FB ZERO nybygg</t>
  </si>
  <si>
    <t>Utslipp fra materialbruk regnet tilsvarende 1/6 av FB ZERO nybygg, energibruk regnet tilsvarende nybygg iht. dagens praksis</t>
  </si>
  <si>
    <t>Utslipp regnet tilsvarende FB ZERO nybygg</t>
  </si>
  <si>
    <t>Utslipp regnet tilsvarende nybygg iht. dagens praksis</t>
  </si>
  <si>
    <t>Utslipp regnet tilsvarende avhendingsfasen for nybygg iht. dagens praksis</t>
  </si>
  <si>
    <r>
      <rPr>
        <b/>
        <sz val="10"/>
        <color theme="3"/>
        <rFont val="Arial Nova"/>
        <family val="2"/>
      </rPr>
      <t>Beregninger av klimagassutslipp fra landskap som endres/etableres på området skal gjøres utenfor verktøyet</t>
    </r>
    <r>
      <rPr>
        <sz val="10"/>
        <color theme="3"/>
        <rFont val="Arial Nova"/>
        <family val="2"/>
      </rPr>
      <t>,</t>
    </r>
    <r>
      <rPr>
        <sz val="10"/>
        <color theme="3"/>
        <rFont val="Arial Nova Light"/>
        <family val="2"/>
      </rPr>
      <t xml:space="preserve"> og dokumenteres i denne fanen.</t>
    </r>
  </si>
  <si>
    <t>Klimagassutslipp fra ny/rehabilitert renovasjonsinfrastruktur</t>
  </si>
  <si>
    <t>Klimagassutslipp fra ny/rehabilitert IKT-infrastruktur</t>
  </si>
  <si>
    <t>Klimagassutslipp fra ny/rehabilitert annen infrastruktur</t>
  </si>
  <si>
    <t>Transport av masser (sum, all infrastruktur på området)</t>
  </si>
  <si>
    <t>Hybrid</t>
  </si>
  <si>
    <t>Bruk av anleggsmaskiner til masssehåndtering</t>
  </si>
  <si>
    <r>
      <t xml:space="preserve">Ny/omlagt/utvidet infrastruktur for energiforsyning og -distribusjon </t>
    </r>
    <r>
      <rPr>
        <i/>
        <sz val="10"/>
        <color theme="3"/>
        <rFont val="Arial Nova Light"/>
        <family val="2"/>
      </rPr>
      <t>- kvalitativ beskrivelse</t>
    </r>
  </si>
  <si>
    <t>Renovasjonsinfrastruktur</t>
  </si>
  <si>
    <r>
      <t xml:space="preserve">Ny/omlagt/utvidet infrastruktur for renovasjon </t>
    </r>
    <r>
      <rPr>
        <i/>
        <sz val="10"/>
        <color theme="3"/>
        <rFont val="Arial Nova Light"/>
        <family val="2"/>
      </rPr>
      <t>- kvalitativ beskrivelse</t>
    </r>
  </si>
  <si>
    <t>Annen infrastruktur</t>
  </si>
  <si>
    <r>
      <t xml:space="preserve">Ny/omlagt/utvidet infrastruktur for andre formål på området </t>
    </r>
    <r>
      <rPr>
        <i/>
        <sz val="10"/>
        <color theme="3"/>
        <rFont val="Arial Nova Light"/>
        <family val="2"/>
      </rPr>
      <t>- kvalitativ beskrivelse</t>
    </r>
  </si>
  <si>
    <r>
      <t xml:space="preserve">Areal per ansatt </t>
    </r>
    <r>
      <rPr>
        <i/>
        <sz val="10"/>
        <color theme="3"/>
        <rFont val="Arial Nova"/>
        <family val="2"/>
      </rPr>
      <t>(m</t>
    </r>
    <r>
      <rPr>
        <i/>
        <vertAlign val="superscript"/>
        <sz val="10"/>
        <color theme="3"/>
        <rFont val="Arial Nova"/>
        <family val="2"/>
      </rPr>
      <t>2</t>
    </r>
    <r>
      <rPr>
        <i/>
        <sz val="10"/>
        <color theme="3"/>
        <rFont val="Arial Nova"/>
        <family val="2"/>
      </rPr>
      <t xml:space="preserve"> BTA, inkl. fellesarealer og teknisk rom. Benytt 23 m</t>
    </r>
    <r>
      <rPr>
        <i/>
        <vertAlign val="superscript"/>
        <sz val="10"/>
        <color theme="3"/>
        <rFont val="Arial Nova"/>
        <family val="2"/>
      </rPr>
      <t>2</t>
    </r>
    <r>
      <rPr>
        <i/>
        <sz val="10"/>
        <color theme="3"/>
        <rFont val="Arial Nova"/>
        <family val="2"/>
      </rPr>
      <t xml:space="preserve"> dersom ikke kjent/fastsatt)</t>
    </r>
  </si>
  <si>
    <r>
      <t>Nøkkeltall per 100 m</t>
    </r>
    <r>
      <rPr>
        <vertAlign val="superscript"/>
        <sz val="10"/>
        <color theme="2"/>
        <rFont val="Arial Nova Cond"/>
        <family val="2"/>
      </rPr>
      <t>2</t>
    </r>
    <r>
      <rPr>
        <sz val="10"/>
        <color theme="2"/>
        <rFont val="Arial Nova Cond"/>
        <family val="2"/>
      </rPr>
      <t xml:space="preserve"> BTA</t>
    </r>
  </si>
  <si>
    <r>
      <t>kg CO</t>
    </r>
    <r>
      <rPr>
        <vertAlign val="subscript"/>
        <sz val="10"/>
        <color theme="3"/>
        <rFont val="Arial Nova Light"/>
        <family val="2"/>
      </rPr>
      <t>2</t>
    </r>
    <r>
      <rPr>
        <sz val="10"/>
        <color theme="3"/>
        <rFont val="Arial Nova Light"/>
        <family val="2"/>
      </rPr>
      <t>e/m</t>
    </r>
    <r>
      <rPr>
        <vertAlign val="superscript"/>
        <sz val="10"/>
        <color theme="3"/>
        <rFont val="Arial Nova Light"/>
        <family val="2"/>
      </rPr>
      <t>2</t>
    </r>
  </si>
  <si>
    <r>
      <t>kg CO</t>
    </r>
    <r>
      <rPr>
        <vertAlign val="subscript"/>
        <sz val="10"/>
        <color theme="2"/>
        <rFont val="Arial Nova"/>
        <family val="2"/>
      </rPr>
      <t>2</t>
    </r>
    <r>
      <rPr>
        <sz val="10"/>
        <color theme="2"/>
        <rFont val="Arial Nova"/>
        <family val="2"/>
      </rPr>
      <t>e/m</t>
    </r>
    <r>
      <rPr>
        <vertAlign val="superscript"/>
        <sz val="10"/>
        <color theme="2"/>
        <rFont val="Arial Nova"/>
        <family val="2"/>
      </rPr>
      <t>2</t>
    </r>
    <r>
      <rPr>
        <sz val="10"/>
        <color theme="2"/>
        <rFont val="Arial Nova"/>
        <family val="2"/>
      </rPr>
      <t xml:space="preserve"> BTA</t>
    </r>
  </si>
  <si>
    <t>Eksisterende bygg, rehabilitert (totalrehab)*</t>
  </si>
  <si>
    <t>Eksisterende bygg, rehabilitert (ombygging)*</t>
  </si>
  <si>
    <t>*Ved transformasjon av eksisterende bygningsmasse til en annen bygningstype, skal areal angis for bygningstypen etter transformasjon</t>
  </si>
  <si>
    <t>Versjonslogg</t>
  </si>
  <si>
    <t>Versjon</t>
  </si>
  <si>
    <t>Endret av</t>
  </si>
  <si>
    <t>1.0</t>
  </si>
  <si>
    <t xml:space="preserve">Opprinnelig versjon </t>
  </si>
  <si>
    <t>Dato</t>
  </si>
  <si>
    <t>06.10.22</t>
  </si>
  <si>
    <t>1.1</t>
  </si>
  <si>
    <t>19.12.22</t>
  </si>
  <si>
    <t>MF</t>
  </si>
  <si>
    <t>IW, MF</t>
  </si>
  <si>
    <t>Faner som er påvirket av endringer</t>
  </si>
  <si>
    <t>Nøkkelinfo og veiledning, Klimabudsjett, Sammenlikning utviklingsforslag, Bygningsmasse og transport</t>
  </si>
  <si>
    <t>Feilretting, introdusert versjonslogg</t>
  </si>
  <si>
    <t>Versjonslogg for endringer</t>
  </si>
  <si>
    <t>1.2</t>
  </si>
  <si>
    <t>01.09.23</t>
  </si>
  <si>
    <t>Feilretting, endret utslippsfaktorer fra per BRA til per BTA</t>
  </si>
  <si>
    <t>IW</t>
  </si>
  <si>
    <t xml:space="preserve">Dette er en faktor som i praksis vil variere med bygningstype og valgte løsninger, men anses for tilstrekkelig i tidlig fase hvor detaljnivået er lavt. </t>
  </si>
  <si>
    <r>
      <t>For å gå fra utslippsfaktorer i kg CO</t>
    </r>
    <r>
      <rPr>
        <vertAlign val="subscript"/>
        <sz val="10"/>
        <color theme="3"/>
        <rFont val="Arial Nova Light"/>
        <family val="2"/>
      </rPr>
      <t>2</t>
    </r>
    <r>
      <rPr>
        <sz val="10"/>
        <color theme="3"/>
        <rFont val="Arial Nova Light"/>
        <family val="2"/>
      </rPr>
      <t>e/m</t>
    </r>
    <r>
      <rPr>
        <vertAlign val="superscript"/>
        <sz val="10"/>
        <color theme="3"/>
        <rFont val="Arial Nova Light"/>
        <family val="2"/>
      </rPr>
      <t>2</t>
    </r>
    <r>
      <rPr>
        <sz val="10"/>
        <color theme="3"/>
        <rFont val="Arial Nova Light"/>
        <family val="2"/>
      </rPr>
      <t xml:space="preserve"> BRA til kg CO</t>
    </r>
    <r>
      <rPr>
        <vertAlign val="subscript"/>
        <sz val="10"/>
        <color theme="3"/>
        <rFont val="Arial Nova Light"/>
        <family val="2"/>
      </rPr>
      <t>2</t>
    </r>
    <r>
      <rPr>
        <sz val="10"/>
        <color theme="3"/>
        <rFont val="Arial Nova Light"/>
        <family val="2"/>
      </rPr>
      <t>e/m</t>
    </r>
    <r>
      <rPr>
        <vertAlign val="superscript"/>
        <sz val="10"/>
        <color theme="3"/>
        <rFont val="Arial Nova Light"/>
        <family val="2"/>
      </rPr>
      <t xml:space="preserve">2 </t>
    </r>
    <r>
      <rPr>
        <sz val="10"/>
        <color theme="3"/>
        <rFont val="Arial Nova Light"/>
        <family val="2"/>
      </rPr>
      <t xml:space="preserve">BTA er det brukt faktor 1,15 for å følge FutureBuilt ZERO sin skjønnsmessige vurdering. </t>
    </r>
  </si>
  <si>
    <t>Samtlige</t>
  </si>
  <si>
    <t>Utslippsfaktorer for bygninger; materialer, byggefase og energibruk i drift over livsløpet (50 år)</t>
  </si>
  <si>
    <t>Resultater fra klimagasberegninger for landskap, 50 års beregningsperiode</t>
  </si>
  <si>
    <t>Resultater fra klimagasberegninger for infrastruktur, 50 års beregningsperiode</t>
  </si>
  <si>
    <r>
      <t>tonn CO</t>
    </r>
    <r>
      <rPr>
        <vertAlign val="subscript"/>
        <sz val="10"/>
        <color theme="3"/>
        <rFont val="Arial Nova"/>
        <family val="2"/>
      </rPr>
      <t>2</t>
    </r>
    <r>
      <rPr>
        <sz val="10"/>
        <color theme="3"/>
        <rFont val="Arial Nova"/>
        <family val="2"/>
      </rPr>
      <t>-ekvivalenter, 50 års beregningsperiode</t>
    </r>
  </si>
  <si>
    <r>
      <t>Klimagassutslipp (tonn CO</t>
    </r>
    <r>
      <rPr>
        <vertAlign val="subscript"/>
        <sz val="10"/>
        <color theme="2"/>
        <rFont val="Arial Nova Cond"/>
        <family val="2"/>
      </rPr>
      <t>2</t>
    </r>
    <r>
      <rPr>
        <sz val="10"/>
        <color theme="2"/>
        <rFont val="Arial Nova Cond"/>
        <family val="2"/>
      </rPr>
      <t>e, 50 år)</t>
    </r>
  </si>
  <si>
    <t>Klimagassutslipp (tonn CO2e, 50 år)</t>
  </si>
  <si>
    <t>Småhus</t>
  </si>
  <si>
    <t>Skolebygg</t>
  </si>
  <si>
    <t>Universitet/ høyskole</t>
  </si>
  <si>
    <t>Hotellbygning</t>
  </si>
  <si>
    <t>Idrettsbygning/ flerbrukshall</t>
  </si>
  <si>
    <t>Forretning/ næring</t>
  </si>
  <si>
    <t>Lett industri/ verksted</t>
  </si>
  <si>
    <t>Material</t>
  </si>
  <si>
    <t>Energi</t>
  </si>
  <si>
    <t>Total</t>
  </si>
  <si>
    <t>2.0</t>
  </si>
  <si>
    <t>Universitet/
Høgskole</t>
  </si>
  <si>
    <t>Idrettsbygg</t>
  </si>
  <si>
    <t>Forretningsbygg</t>
  </si>
  <si>
    <t>Kulturbygg</t>
  </si>
  <si>
    <t>Medregnes ikke, bygningsmassene er utenfor systemgrensen</t>
  </si>
  <si>
    <r>
      <t>kg CO</t>
    </r>
    <r>
      <rPr>
        <vertAlign val="subscript"/>
        <sz val="10"/>
        <color theme="2"/>
        <rFont val="Arial Nova"/>
        <family val="2"/>
      </rPr>
      <t>2</t>
    </r>
    <r>
      <rPr>
        <sz val="10"/>
        <color theme="2"/>
        <rFont val="Arial Nova"/>
        <family val="2"/>
      </rPr>
      <t>e/m</t>
    </r>
    <r>
      <rPr>
        <vertAlign val="superscript"/>
        <sz val="10"/>
        <color theme="2"/>
        <rFont val="Arial Nova"/>
        <family val="2"/>
      </rPr>
      <t>2</t>
    </r>
    <r>
      <rPr>
        <sz val="10"/>
        <color theme="2"/>
        <rFont val="Arial Nova"/>
        <family val="2"/>
      </rPr>
      <t xml:space="preserve"> BRA</t>
    </r>
  </si>
  <si>
    <t>Klimagassutslipp (A1-A5, B1-B6, C1-C4), kg CO2e, 50 år</t>
  </si>
  <si>
    <t>01.04.24</t>
  </si>
  <si>
    <r>
      <t>Areal (m</t>
    </r>
    <r>
      <rPr>
        <vertAlign val="superscript"/>
        <sz val="14"/>
        <color theme="3"/>
        <rFont val="Arial Nova"/>
        <family val="2"/>
      </rPr>
      <t>2</t>
    </r>
    <r>
      <rPr>
        <sz val="14"/>
        <color theme="3"/>
        <rFont val="Arial Nova"/>
        <family val="2"/>
      </rPr>
      <t xml:space="preserve"> BTA) utbygget</t>
    </r>
  </si>
  <si>
    <t xml:space="preserve">Klimagass-resultater legges inn i hvite celler i tabellen under. FB ZERO-T er pt. under revisjon for å endres fra 60 til 50 års levetid. </t>
  </si>
  <si>
    <t>Faktor BRA til BTA</t>
  </si>
  <si>
    <t xml:space="preserve">Endret levetid fra 60 til 50 år. Utslipp fordelt på bygningskategori. Feilretting. </t>
  </si>
  <si>
    <t>Verktøyversjon 2.0</t>
  </si>
  <si>
    <t>SAMMENLIKNING (tonn CO2e, 50 år)</t>
  </si>
  <si>
    <t>Utslippsfaktorene er avledet fra referansenivå (dagens praksis) fra FutureBuilt ZERO, med forutsetninger for utslipp som beskrevet i kriteriesettet: https://futurebuilt-zero.web.app/</t>
  </si>
  <si>
    <t xml:space="preserve">Beregninger av klimagassutslipp fra infrastruktur som endres/etableres på området skal gjøres utenfor verktøyet, og dokumenteres i denne fanen. Grunn og fundamenter skal også inngå her, som beskrevet i kriteriesettet for ZERO-B. </t>
  </si>
  <si>
    <t xml:space="preserve">NB: Utslipp fra grunn og fundamenter skal inngå i "Infrastruktur" og er ikke inkludert i utslippsfaktorene for bygningsmasse. </t>
  </si>
  <si>
    <t>For budsjett</t>
  </si>
  <si>
    <t>Verdiene for referanse (dagens praksis) og budsjettert utslippsreduksjon gir til sammen klimabudsjettet for prosjektet for det byggetrinnet man har angitt at beregningene gjelder.</t>
  </si>
  <si>
    <t xml:space="preserve">Klimabudsjettet er et forventet estimat på utslippene fra prosjektets valgte byggetrinn. </t>
  </si>
  <si>
    <t xml:space="preserve">Prosjektet kan selv legge inn forventet utslippsreduksjon fra de ulike bygningstypene og rehabiliteringsstegene. Det bør hensyntas f.eks hvor mange forbildebygg som planlegges for hvert byggetrinn. </t>
  </si>
  <si>
    <t xml:space="preserve">Referansen tilsvarer utslippene dersom det fulle arealbehovet ble dekket med dagens praksis. Klimabudsjettet tar hensyn til rehbilitering og har for nybygg ett 50 % lavere utslipp, tilsvarende kravet til FB ZERO-B.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</si>
</sst>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\+0\ %;\-0\ %;"/>
  </numFmts>
  <fonts count="65">
    <font>
      <sz val="10"/>
      <color theme="1"/>
      <name val="Futura PT Book"/>
      <family val="2"/>
    </font>
    <font>
      <sz val="10"/>
      <color theme="1"/>
      <name val="Avenir Next LT Pro"/>
      <family val="2"/>
      <scheme val="minor"/>
    </font>
    <font>
      <sz val="10"/>
      <color theme="1"/>
      <name val="Futura PT Book"/>
      <family val="2"/>
    </font>
    <font>
      <sz val="10"/>
      <color theme="1"/>
      <name val="Avenir Next LT Pro Demi"/>
      <family val="2"/>
    </font>
    <font>
      <sz val="10"/>
      <color theme="3"/>
      <name val="Avenir Next LT Pro"/>
      <family val="2"/>
      <scheme val="minor"/>
    </font>
    <font>
      <u/>
      <sz val="10"/>
      <color theme="10"/>
      <name val="Futura PT Book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Futura PT Book"/>
    </font>
    <font>
      <sz val="10"/>
      <color rgb="FF000000"/>
      <name val="Avenir Next LT Pro"/>
      <family val="2"/>
      <scheme val="minor"/>
    </font>
    <font>
      <sz val="10"/>
      <color theme="1"/>
      <name val="Arial Nova Light"/>
      <family val="2"/>
    </font>
    <font>
      <sz val="10"/>
      <color theme="3"/>
      <name val="Arial Nova Light"/>
      <family val="2"/>
    </font>
    <font>
      <sz val="11"/>
      <color theme="3"/>
      <name val="Arial Nova Light"/>
      <family val="2"/>
    </font>
    <font>
      <sz val="10"/>
      <color theme="3"/>
      <name val="Arial Nova"/>
      <family val="2"/>
    </font>
    <font>
      <sz val="10"/>
      <color theme="2"/>
      <name val="Arial Nova Cond"/>
      <family val="2"/>
    </font>
    <font>
      <sz val="14"/>
      <color theme="3"/>
      <name val="Arial Nova"/>
      <family val="2"/>
    </font>
    <font>
      <i/>
      <sz val="9"/>
      <color theme="3"/>
      <name val="Arial Nova Light"/>
      <family val="2"/>
    </font>
    <font>
      <i/>
      <sz val="10"/>
      <color theme="3"/>
      <name val="Arial Nova"/>
      <family val="2"/>
    </font>
    <font>
      <i/>
      <sz val="14"/>
      <color theme="3"/>
      <name val="Arial Nova"/>
      <family val="2"/>
    </font>
    <font>
      <i/>
      <sz val="10"/>
      <color theme="1"/>
      <name val="Arial Nova Light"/>
      <family val="2"/>
    </font>
    <font>
      <sz val="9"/>
      <name val="Arial"/>
      <family val="2"/>
    </font>
    <font>
      <sz val="9"/>
      <name val="Arial Nova Light"/>
      <family val="2"/>
    </font>
    <font>
      <sz val="8"/>
      <name val="Futura PT Book"/>
      <family val="2"/>
    </font>
    <font>
      <sz val="10"/>
      <color theme="2"/>
      <name val="Arial Nova"/>
      <family val="2"/>
    </font>
    <font>
      <i/>
      <sz val="10"/>
      <color rgb="FFFF0000"/>
      <name val="Arial Nova Light"/>
      <family val="2"/>
    </font>
    <font>
      <sz val="10"/>
      <color theme="3"/>
      <name val="Arial Nova Cond"/>
      <family val="2"/>
    </font>
    <font>
      <sz val="10"/>
      <color theme="2"/>
      <name val="Arial Nova Light"/>
      <family val="2"/>
    </font>
    <font>
      <sz val="16"/>
      <color theme="3"/>
      <name val="Arial Nova"/>
      <family val="2"/>
    </font>
    <font>
      <i/>
      <sz val="10"/>
      <color theme="3"/>
      <name val="Arial Nova Light"/>
      <family val="2"/>
    </font>
    <font>
      <sz val="12"/>
      <color theme="3"/>
      <name val="Arial Nova"/>
      <family val="2"/>
    </font>
    <font>
      <vertAlign val="superscript"/>
      <sz val="10"/>
      <color theme="3"/>
      <name val="Arial Nova Light"/>
      <family val="2"/>
    </font>
    <font>
      <vertAlign val="subscript"/>
      <sz val="10"/>
      <color theme="3"/>
      <name val="Arial Nova Light"/>
      <family val="2"/>
    </font>
    <font>
      <sz val="10"/>
      <color rgb="FFFF0000"/>
      <name val="Arial Nova"/>
      <family val="2"/>
    </font>
    <font>
      <sz val="10"/>
      <color theme="3"/>
      <name val="Avenir Next LT Pro Demi"/>
      <family val="2"/>
    </font>
    <font>
      <sz val="10"/>
      <color theme="0"/>
      <name val="Arial Nova"/>
      <family val="2"/>
    </font>
    <font>
      <sz val="10"/>
      <color theme="0"/>
      <name val="Arial Nova Light"/>
      <family val="2"/>
    </font>
    <font>
      <i/>
      <sz val="12"/>
      <color theme="3"/>
      <name val="Arial Nova"/>
      <family val="2"/>
    </font>
    <font>
      <sz val="12"/>
      <color theme="3"/>
      <name val="Arial Nova Light"/>
      <family val="2"/>
    </font>
    <font>
      <b/>
      <sz val="10"/>
      <color theme="3"/>
      <name val="Arial Nova"/>
      <family val="2"/>
    </font>
    <font>
      <vertAlign val="subscript"/>
      <sz val="10"/>
      <color theme="3"/>
      <name val="Arial Nova"/>
      <family val="2"/>
    </font>
    <font>
      <vertAlign val="subscript"/>
      <sz val="10"/>
      <color theme="2"/>
      <name val="Arial Nova Cond"/>
      <family val="2"/>
    </font>
    <font>
      <i/>
      <vertAlign val="superscript"/>
      <sz val="10"/>
      <color theme="3"/>
      <name val="Arial Nova"/>
      <family val="2"/>
    </font>
    <font>
      <vertAlign val="superscript"/>
      <sz val="10"/>
      <color theme="2"/>
      <name val="Arial Nova Cond"/>
      <family val="2"/>
    </font>
    <font>
      <vertAlign val="subscript"/>
      <sz val="10"/>
      <color theme="2"/>
      <name val="Arial Nova"/>
      <family val="2"/>
    </font>
    <font>
      <vertAlign val="superscript"/>
      <sz val="10"/>
      <color theme="2"/>
      <name val="Arial Nova"/>
      <family val="2"/>
    </font>
    <font>
      <sz val="10"/>
      <color theme="6"/>
      <name val="Arial Nova Light"/>
      <family val="2"/>
    </font>
    <font>
      <b/>
      <sz val="11"/>
      <color theme="3"/>
      <name val="Arial Nova"/>
      <family val="2"/>
    </font>
    <font>
      <sz val="10"/>
      <color theme="2"/>
      <name val="Futura PT Book"/>
      <family val="2"/>
    </font>
    <font>
      <sz val="10"/>
      <name val="Arial Nova Light"/>
      <family val="2"/>
    </font>
    <font>
      <sz val="10"/>
      <name val="Arial Nova"/>
      <family val="2"/>
    </font>
    <font>
      <i/>
      <sz val="10"/>
      <name val="Arial Nova Light"/>
      <family val="2"/>
    </font>
    <font>
      <i/>
      <sz val="9"/>
      <name val="Arial Nova Light"/>
      <family val="2"/>
    </font>
    <font>
      <sz val="10"/>
      <color rgb="FFFF0000"/>
      <name val="Arial Nova Light"/>
      <family val="2"/>
    </font>
    <font>
      <b/>
      <sz val="10"/>
      <color theme="2"/>
      <name val="Arial Nova Cond"/>
      <family val="2"/>
    </font>
    <font>
      <sz val="11"/>
      <color theme="9"/>
      <name val="Calibri"/>
      <family val="2"/>
    </font>
    <font>
      <sz val="10"/>
      <color theme="9"/>
      <name val="Arial Nova Light"/>
      <family val="2"/>
    </font>
    <font>
      <vertAlign val="superscript"/>
      <sz val="14"/>
      <color theme="3"/>
      <name val="Arial Nova"/>
      <family val="2"/>
    </font>
    <font>
      <sz val="9"/>
      <color theme="3"/>
      <name val="Arial Nova Light"/>
      <family val="2"/>
    </font>
    <font>
      <i/>
      <sz val="9"/>
      <color theme="2"/>
      <name val="Arial Nova Light"/>
      <family val="2"/>
    </font>
    <font>
      <sz val="11"/>
      <color theme="2"/>
      <name val="Arial Nova Light"/>
      <family val="2"/>
    </font>
    <font>
      <u/>
      <sz val="10"/>
      <color theme="2"/>
      <name val="Futura PT Book"/>
      <family val="2"/>
    </font>
    <font>
      <b/>
      <sz val="9"/>
      <color theme="2"/>
      <name val="Arial Nova Light"/>
      <family val="2"/>
    </font>
    <font>
      <sz val="9"/>
      <color theme="2"/>
      <name val="Arial Nova Light"/>
      <family val="2"/>
    </font>
    <font>
      <u/>
      <sz val="10"/>
      <color theme="2"/>
      <name val="Arial Nova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Border="0"/>
    <xf numFmtId="43" fontId="2" fillId="0" borderId="0" applyFont="0" applyFill="0" applyBorder="0" applyAlignment="0" applyProtection="0"/>
  </cellStyleXfs>
  <cellXfs count="244">
    <xf numFmtId="0" fontId="0" fillId="0" borderId="0" xfId="0"/>
    <xf numFmtId="0" fontId="1" fillId="0" borderId="0" xfId="0" applyFont="1"/>
    <xf numFmtId="9" fontId="1" fillId="0" borderId="0" xfId="1" applyFont="1"/>
    <xf numFmtId="1" fontId="1" fillId="0" borderId="0" xfId="0" applyNumberFormat="1" applyFont="1"/>
    <xf numFmtId="0" fontId="4" fillId="0" borderId="0" xfId="0" applyFont="1"/>
    <xf numFmtId="0" fontId="6" fillId="0" borderId="0" xfId="3"/>
    <xf numFmtId="0" fontId="8" fillId="0" borderId="0" xfId="3" applyFont="1"/>
    <xf numFmtId="1" fontId="6" fillId="0" borderId="0" xfId="3" applyNumberFormat="1"/>
    <xf numFmtId="0" fontId="7" fillId="0" borderId="0" xfId="3" applyFont="1"/>
    <xf numFmtId="1" fontId="0" fillId="0" borderId="0" xfId="0" applyNumberFormat="1"/>
    <xf numFmtId="1" fontId="9" fillId="0" borderId="0" xfId="0" applyNumberFormat="1" applyFont="1"/>
    <xf numFmtId="0" fontId="1" fillId="0" borderId="0" xfId="0" quotePrefix="1" applyFont="1"/>
    <xf numFmtId="0" fontId="10" fillId="0" borderId="0" xfId="3" applyFont="1"/>
    <xf numFmtId="0" fontId="3" fillId="0" borderId="0" xfId="0" applyFont="1"/>
    <xf numFmtId="0" fontId="11" fillId="3" borderId="0" xfId="0" applyFont="1" applyFill="1"/>
    <xf numFmtId="0" fontId="11" fillId="0" borderId="0" xfId="0" applyFont="1"/>
    <xf numFmtId="0" fontId="12" fillId="0" borderId="0" xfId="0" applyFont="1"/>
    <xf numFmtId="0" fontId="12" fillId="3" borderId="0" xfId="0" applyFont="1" applyFill="1"/>
    <xf numFmtId="0" fontId="13" fillId="3" borderId="0" xfId="0" applyFont="1" applyFill="1" applyAlignment="1">
      <alignment vertical="center"/>
    </xf>
    <xf numFmtId="0" fontId="12" fillId="6" borderId="0" xfId="0" applyFont="1" applyFill="1"/>
    <xf numFmtId="0" fontId="16" fillId="3" borderId="0" xfId="0" applyFont="1" applyFill="1" applyAlignment="1">
      <alignment vertical="center"/>
    </xf>
    <xf numFmtId="0" fontId="12" fillId="3" borderId="0" xfId="0" applyFont="1" applyFill="1" applyAlignment="1">
      <alignment horizontal="right" indent="1"/>
    </xf>
    <xf numFmtId="0" fontId="12" fillId="3" borderId="0" xfId="0" applyFont="1" applyFill="1" applyAlignment="1">
      <alignment horizontal="right" vertical="center" indent="1"/>
    </xf>
    <xf numFmtId="0" fontId="17" fillId="3" borderId="0" xfId="0" applyFont="1" applyFill="1"/>
    <xf numFmtId="0" fontId="12" fillId="0" borderId="0" xfId="0" applyFont="1" applyAlignment="1">
      <alignment horizontal="center" vertical="center" wrapText="1"/>
    </xf>
    <xf numFmtId="0" fontId="15" fillId="6" borderId="8" xfId="0" applyFont="1" applyFill="1" applyBorder="1"/>
    <xf numFmtId="0" fontId="11" fillId="3" borderId="3" xfId="0" applyFont="1" applyFill="1" applyBorder="1"/>
    <xf numFmtId="0" fontId="11" fillId="3" borderId="13" xfId="0" applyFont="1" applyFill="1" applyBorder="1"/>
    <xf numFmtId="0" fontId="12" fillId="3" borderId="13" xfId="0" applyFont="1" applyFill="1" applyBorder="1"/>
    <xf numFmtId="2" fontId="11" fillId="3" borderId="13" xfId="0" applyNumberFormat="1" applyFont="1" applyFill="1" applyBorder="1"/>
    <xf numFmtId="0" fontId="11" fillId="3" borderId="6" xfId="0" applyFont="1" applyFill="1" applyBorder="1"/>
    <xf numFmtId="0" fontId="11" fillId="3" borderId="10" xfId="0" applyFont="1" applyFill="1" applyBorder="1"/>
    <xf numFmtId="0" fontId="12" fillId="3" borderId="10" xfId="0" applyFont="1" applyFill="1" applyBorder="1"/>
    <xf numFmtId="0" fontId="12" fillId="3" borderId="0" xfId="0" applyFont="1" applyFill="1" applyAlignment="1">
      <alignment horizontal="center"/>
    </xf>
    <xf numFmtId="0" fontId="15" fillId="6" borderId="12" xfId="0" applyFont="1" applyFill="1" applyBorder="1"/>
    <xf numFmtId="0" fontId="15" fillId="6" borderId="11" xfId="0" applyFont="1" applyFill="1" applyBorder="1"/>
    <xf numFmtId="0" fontId="15" fillId="6" borderId="14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/>
    </xf>
    <xf numFmtId="0" fontId="12" fillId="3" borderId="4" xfId="0" applyFont="1" applyFill="1" applyBorder="1"/>
    <xf numFmtId="0" fontId="12" fillId="3" borderId="7" xfId="0" applyFont="1" applyFill="1" applyBorder="1"/>
    <xf numFmtId="0" fontId="15" fillId="6" borderId="5" xfId="0" applyFont="1" applyFill="1" applyBorder="1"/>
    <xf numFmtId="0" fontId="12" fillId="6" borderId="11" xfId="0" applyFont="1" applyFill="1" applyBorder="1"/>
    <xf numFmtId="0" fontId="12" fillId="8" borderId="0" xfId="0" applyFont="1" applyFill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5" fillId="3" borderId="0" xfId="0" applyFont="1" applyFill="1"/>
    <xf numFmtId="0" fontId="26" fillId="4" borderId="8" xfId="0" applyFont="1" applyFill="1" applyBorder="1"/>
    <xf numFmtId="0" fontId="26" fillId="4" borderId="8" xfId="0" applyFont="1" applyFill="1" applyBorder="1" applyAlignment="1">
      <alignment wrapText="1"/>
    </xf>
    <xf numFmtId="0" fontId="26" fillId="4" borderId="5" xfId="0" applyFont="1" applyFill="1" applyBorder="1"/>
    <xf numFmtId="9" fontId="12" fillId="3" borderId="0" xfId="0" applyNumberFormat="1" applyFont="1" applyFill="1"/>
    <xf numFmtId="9" fontId="12" fillId="3" borderId="0" xfId="1" applyFont="1" applyFill="1"/>
    <xf numFmtId="0" fontId="28" fillId="3" borderId="0" xfId="0" applyFont="1" applyFill="1" applyAlignment="1">
      <alignment vertical="center"/>
    </xf>
    <xf numFmtId="0" fontId="12" fillId="3" borderId="9" xfId="0" applyFont="1" applyFill="1" applyBorder="1"/>
    <xf numFmtId="0" fontId="15" fillId="6" borderId="15" xfId="0" applyFont="1" applyFill="1" applyBorder="1"/>
    <xf numFmtId="0" fontId="11" fillId="3" borderId="1" xfId="0" applyFont="1" applyFill="1" applyBorder="1"/>
    <xf numFmtId="0" fontId="12" fillId="3" borderId="15" xfId="0" applyFont="1" applyFill="1" applyBorder="1"/>
    <xf numFmtId="0" fontId="12" fillId="3" borderId="2" xfId="0" applyFont="1" applyFill="1" applyBorder="1"/>
    <xf numFmtId="0" fontId="12" fillId="3" borderId="3" xfId="0" applyFont="1" applyFill="1" applyBorder="1"/>
    <xf numFmtId="2" fontId="12" fillId="3" borderId="13" xfId="0" applyNumberFormat="1" applyFont="1" applyFill="1" applyBorder="1"/>
    <xf numFmtId="0" fontId="12" fillId="3" borderId="6" xfId="0" applyFont="1" applyFill="1" applyBorder="1"/>
    <xf numFmtId="0" fontId="30" fillId="3" borderId="0" xfId="0" applyFont="1" applyFill="1" applyAlignment="1">
      <alignment vertical="center"/>
    </xf>
    <xf numFmtId="0" fontId="11" fillId="3" borderId="8" xfId="0" applyFont="1" applyFill="1" applyBorder="1"/>
    <xf numFmtId="0" fontId="12" fillId="3" borderId="0" xfId="0" applyFont="1" applyFill="1" applyAlignment="1">
      <alignment vertical="center"/>
    </xf>
    <xf numFmtId="0" fontId="14" fillId="3" borderId="8" xfId="0" applyFont="1" applyFill="1" applyBorder="1"/>
    <xf numFmtId="0" fontId="12" fillId="0" borderId="3" xfId="0" applyFont="1" applyBorder="1"/>
    <xf numFmtId="0" fontId="14" fillId="3" borderId="4" xfId="0" applyFont="1" applyFill="1" applyBorder="1"/>
    <xf numFmtId="0" fontId="12" fillId="0" borderId="6" xfId="0" applyFont="1" applyBorder="1"/>
    <xf numFmtId="0" fontId="12" fillId="0" borderId="9" xfId="0" applyFont="1" applyBorder="1"/>
    <xf numFmtId="0" fontId="14" fillId="3" borderId="7" xfId="0" applyFont="1" applyFill="1" applyBorder="1"/>
    <xf numFmtId="0" fontId="12" fillId="0" borderId="10" xfId="0" applyFont="1" applyBorder="1"/>
    <xf numFmtId="0" fontId="15" fillId="6" borderId="0" xfId="0" applyFont="1" applyFill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29" fillId="3" borderId="3" xfId="0" applyFont="1" applyFill="1" applyBorder="1"/>
    <xf numFmtId="0" fontId="29" fillId="3" borderId="3" xfId="0" applyFont="1" applyFill="1" applyBorder="1" applyAlignment="1">
      <alignment wrapText="1"/>
    </xf>
    <xf numFmtId="0" fontId="29" fillId="3" borderId="6" xfId="0" applyFont="1" applyFill="1" applyBorder="1" applyAlignment="1">
      <alignment wrapText="1"/>
    </xf>
    <xf numFmtId="0" fontId="12" fillId="0" borderId="13" xfId="0" applyFont="1" applyBorder="1"/>
    <xf numFmtId="0" fontId="15" fillId="2" borderId="14" xfId="0" applyFont="1" applyFill="1" applyBorder="1" applyAlignment="1">
      <alignment horizontal="center" vertical="center"/>
    </xf>
    <xf numFmtId="0" fontId="12" fillId="0" borderId="7" xfId="0" applyFont="1" applyBorder="1"/>
    <xf numFmtId="0" fontId="15" fillId="6" borderId="6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2" fillId="0" borderId="4" xfId="0" applyFont="1" applyBorder="1"/>
    <xf numFmtId="0" fontId="15" fillId="2" borderId="10" xfId="0" applyFont="1" applyFill="1" applyBorder="1" applyAlignment="1">
      <alignment horizontal="center" vertical="center"/>
    </xf>
    <xf numFmtId="0" fontId="12" fillId="7" borderId="0" xfId="0" applyFont="1" applyFill="1"/>
    <xf numFmtId="0" fontId="12" fillId="7" borderId="9" xfId="0" applyFont="1" applyFill="1" applyBorder="1"/>
    <xf numFmtId="0" fontId="20" fillId="3" borderId="3" xfId="0" applyFont="1" applyFill="1" applyBorder="1"/>
    <xf numFmtId="0" fontId="20" fillId="3" borderId="3" xfId="0" applyFont="1" applyFill="1" applyBorder="1" applyAlignment="1">
      <alignment wrapText="1"/>
    </xf>
    <xf numFmtId="0" fontId="20" fillId="3" borderId="6" xfId="0" applyFont="1" applyFill="1" applyBorder="1" applyAlignment="1">
      <alignment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 indent="1"/>
    </xf>
    <xf numFmtId="0" fontId="12" fillId="0" borderId="0" xfId="0" applyFont="1" applyAlignment="1">
      <alignment vertical="center"/>
    </xf>
    <xf numFmtId="9" fontId="11" fillId="0" borderId="0" xfId="1" applyFont="1"/>
    <xf numFmtId="0" fontId="14" fillId="3" borderId="0" xfId="0" applyFont="1" applyFill="1" applyAlignment="1">
      <alignment horizontal="right" vertical="center" indent="1"/>
    </xf>
    <xf numFmtId="164" fontId="12" fillId="3" borderId="8" xfId="4" applyNumberFormat="1" applyFont="1" applyFill="1" applyBorder="1"/>
    <xf numFmtId="164" fontId="12" fillId="3" borderId="10" xfId="4" applyNumberFormat="1" applyFont="1" applyFill="1" applyBorder="1"/>
    <xf numFmtId="164" fontId="14" fillId="3" borderId="10" xfId="4" applyNumberFormat="1" applyFont="1" applyFill="1" applyBorder="1"/>
    <xf numFmtId="164" fontId="12" fillId="3" borderId="8" xfId="0" applyNumberFormat="1" applyFont="1" applyFill="1" applyBorder="1"/>
    <xf numFmtId="164" fontId="12" fillId="3" borderId="8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left"/>
    </xf>
    <xf numFmtId="0" fontId="26" fillId="3" borderId="0" xfId="0" applyFont="1" applyFill="1"/>
    <xf numFmtId="0" fontId="14" fillId="3" borderId="0" xfId="0" applyFont="1" applyFill="1"/>
    <xf numFmtId="9" fontId="14" fillId="3" borderId="8" xfId="1" applyFont="1" applyFill="1" applyBorder="1"/>
    <xf numFmtId="0" fontId="29" fillId="3" borderId="0" xfId="0" applyFont="1" applyFill="1"/>
    <xf numFmtId="0" fontId="29" fillId="3" borderId="0" xfId="0" applyFont="1" applyFill="1" applyAlignment="1">
      <alignment horizontal="left"/>
    </xf>
    <xf numFmtId="9" fontId="14" fillId="3" borderId="0" xfId="1" applyFont="1" applyFill="1" applyBorder="1"/>
    <xf numFmtId="0" fontId="33" fillId="3" borderId="0" xfId="0" applyFont="1" applyFill="1"/>
    <xf numFmtId="1" fontId="12" fillId="3" borderId="3" xfId="0" applyNumberFormat="1" applyFont="1" applyFill="1" applyBorder="1"/>
    <xf numFmtId="1" fontId="12" fillId="3" borderId="0" xfId="0" applyNumberFormat="1" applyFont="1" applyFill="1"/>
    <xf numFmtId="0" fontId="27" fillId="3" borderId="0" xfId="0" applyFont="1" applyFill="1"/>
    <xf numFmtId="0" fontId="14" fillId="3" borderId="15" xfId="0" applyFont="1" applyFill="1" applyBorder="1" applyAlignment="1">
      <alignment horizontal="right" vertical="center" indent="1"/>
    </xf>
    <xf numFmtId="0" fontId="12" fillId="9" borderId="8" xfId="0" applyFont="1" applyFill="1" applyBorder="1"/>
    <xf numFmtId="1" fontId="12" fillId="3" borderId="8" xfId="0" applyNumberFormat="1" applyFont="1" applyFill="1" applyBorder="1"/>
    <xf numFmtId="1" fontId="12" fillId="9" borderId="8" xfId="0" applyNumberFormat="1" applyFont="1" applyFill="1" applyBorder="1"/>
    <xf numFmtId="164" fontId="12" fillId="0" borderId="3" xfId="4" applyNumberFormat="1" applyFont="1" applyFill="1" applyBorder="1"/>
    <xf numFmtId="164" fontId="12" fillId="0" borderId="0" xfId="4" applyNumberFormat="1" applyFont="1" applyFill="1" applyBorder="1"/>
    <xf numFmtId="164" fontId="14" fillId="3" borderId="4" xfId="4" applyNumberFormat="1" applyFont="1" applyFill="1" applyBorder="1"/>
    <xf numFmtId="164" fontId="12" fillId="0" borderId="6" xfId="4" applyNumberFormat="1" applyFont="1" applyFill="1" applyBorder="1"/>
    <xf numFmtId="164" fontId="12" fillId="0" borderId="9" xfId="4" applyNumberFormat="1" applyFont="1" applyFill="1" applyBorder="1"/>
    <xf numFmtId="164" fontId="14" fillId="3" borderId="7" xfId="4" applyNumberFormat="1" applyFont="1" applyFill="1" applyBorder="1"/>
    <xf numFmtId="164" fontId="12" fillId="3" borderId="3" xfId="4" applyNumberFormat="1" applyFont="1" applyFill="1" applyBorder="1"/>
    <xf numFmtId="164" fontId="12" fillId="7" borderId="0" xfId="4" applyNumberFormat="1" applyFont="1" applyFill="1" applyBorder="1"/>
    <xf numFmtId="164" fontId="12" fillId="3" borderId="0" xfId="4" applyNumberFormat="1" applyFont="1" applyFill="1" applyBorder="1"/>
    <xf numFmtId="164" fontId="12" fillId="3" borderId="6" xfId="4" applyNumberFormat="1" applyFont="1" applyFill="1" applyBorder="1"/>
    <xf numFmtId="164" fontId="12" fillId="3" borderId="9" xfId="4" applyNumberFormat="1" applyFont="1" applyFill="1" applyBorder="1"/>
    <xf numFmtId="164" fontId="12" fillId="7" borderId="9" xfId="4" applyNumberFormat="1" applyFont="1" applyFill="1" applyBorder="1"/>
    <xf numFmtId="9" fontId="11" fillId="9" borderId="0" xfId="1" applyFont="1" applyFill="1"/>
    <xf numFmtId="0" fontId="34" fillId="3" borderId="0" xfId="0" applyFont="1" applyFill="1"/>
    <xf numFmtId="0" fontId="12" fillId="10" borderId="0" xfId="0" applyFont="1" applyFill="1"/>
    <xf numFmtId="0" fontId="12" fillId="5" borderId="0" xfId="0" applyFont="1" applyFill="1"/>
    <xf numFmtId="0" fontId="12" fillId="11" borderId="0" xfId="0" applyFont="1" applyFill="1"/>
    <xf numFmtId="0" fontId="12" fillId="3" borderId="0" xfId="0" applyFont="1" applyFill="1" applyAlignment="1">
      <alignment vertical="top"/>
    </xf>
    <xf numFmtId="0" fontId="14" fillId="10" borderId="0" xfId="0" applyFont="1" applyFill="1"/>
    <xf numFmtId="0" fontId="14" fillId="11" borderId="0" xfId="0" applyFont="1" applyFill="1"/>
    <xf numFmtId="0" fontId="14" fillId="5" borderId="0" xfId="0" applyFont="1" applyFill="1"/>
    <xf numFmtId="0" fontId="35" fillId="6" borderId="0" xfId="0" applyFont="1" applyFill="1"/>
    <xf numFmtId="0" fontId="36" fillId="6" borderId="0" xfId="0" applyFont="1" applyFill="1"/>
    <xf numFmtId="0" fontId="30" fillId="3" borderId="0" xfId="0" applyFont="1" applyFill="1" applyAlignment="1">
      <alignment vertical="top"/>
    </xf>
    <xf numFmtId="0" fontId="37" fillId="3" borderId="0" xfId="0" applyFont="1" applyFill="1"/>
    <xf numFmtId="164" fontId="12" fillId="0" borderId="0" xfId="0" applyNumberFormat="1" applyFont="1"/>
    <xf numFmtId="164" fontId="12" fillId="0" borderId="0" xfId="0" applyNumberFormat="1" applyFont="1" applyAlignment="1">
      <alignment vertical="center"/>
    </xf>
    <xf numFmtId="164" fontId="14" fillId="3" borderId="15" xfId="4" applyNumberFormat="1" applyFont="1" applyFill="1" applyBorder="1"/>
    <xf numFmtId="1" fontId="12" fillId="0" borderId="10" xfId="0" applyNumberFormat="1" applyFont="1" applyBorder="1"/>
    <xf numFmtId="0" fontId="38" fillId="3" borderId="0" xfId="0" applyFont="1" applyFill="1" applyAlignment="1">
      <alignment vertical="center"/>
    </xf>
    <xf numFmtId="0" fontId="13" fillId="3" borderId="0" xfId="0" applyFont="1" applyFill="1"/>
    <xf numFmtId="0" fontId="16" fillId="3" borderId="0" xfId="0" applyFont="1" applyFill="1"/>
    <xf numFmtId="0" fontId="19" fillId="3" borderId="0" xfId="0" applyFont="1" applyFill="1" applyAlignment="1">
      <alignment vertical="center"/>
    </xf>
    <xf numFmtId="0" fontId="11" fillId="9" borderId="0" xfId="0" applyFont="1" applyFill="1"/>
    <xf numFmtId="0" fontId="12" fillId="9" borderId="0" xfId="0" applyFont="1" applyFill="1"/>
    <xf numFmtId="0" fontId="28" fillId="3" borderId="0" xfId="0" applyFont="1" applyFill="1"/>
    <xf numFmtId="165" fontId="12" fillId="3" borderId="8" xfId="1" applyNumberFormat="1" applyFont="1" applyFill="1" applyBorder="1" applyAlignment="1">
      <alignment vertical="center"/>
    </xf>
    <xf numFmtId="165" fontId="12" fillId="3" borderId="9" xfId="1" applyNumberFormat="1" applyFont="1" applyFill="1" applyBorder="1" applyAlignment="1">
      <alignment vertical="center"/>
    </xf>
    <xf numFmtId="165" fontId="14" fillId="3" borderId="9" xfId="1" applyNumberFormat="1" applyFont="1" applyFill="1" applyBorder="1" applyAlignment="1">
      <alignment vertical="center"/>
    </xf>
    <xf numFmtId="165" fontId="12" fillId="3" borderId="12" xfId="1" applyNumberFormat="1" applyFont="1" applyFill="1" applyBorder="1" applyAlignment="1">
      <alignment vertical="center"/>
    </xf>
    <xf numFmtId="165" fontId="12" fillId="0" borderId="0" xfId="1" applyNumberFormat="1" applyFont="1" applyFill="1" applyBorder="1" applyAlignment="1">
      <alignment vertical="center"/>
    </xf>
    <xf numFmtId="165" fontId="14" fillId="3" borderId="15" xfId="1" applyNumberFormat="1" applyFont="1" applyFill="1" applyBorder="1" applyAlignment="1">
      <alignment vertical="center"/>
    </xf>
    <xf numFmtId="0" fontId="17" fillId="3" borderId="0" xfId="0" applyFont="1" applyFill="1" applyAlignment="1">
      <alignment vertical="top"/>
    </xf>
    <xf numFmtId="9" fontId="46" fillId="3" borderId="0" xfId="1" applyFont="1" applyFill="1" applyBorder="1"/>
    <xf numFmtId="0" fontId="47" fillId="3" borderId="0" xfId="0" applyFont="1" applyFill="1"/>
    <xf numFmtId="0" fontId="48" fillId="3" borderId="0" xfId="0" applyFont="1" applyFill="1"/>
    <xf numFmtId="164" fontId="12" fillId="0" borderId="10" xfId="0" applyNumberFormat="1" applyFont="1" applyBorder="1"/>
    <xf numFmtId="0" fontId="27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vertical="center"/>
    </xf>
    <xf numFmtId="9" fontId="27" fillId="3" borderId="0" xfId="1" applyFont="1" applyFill="1"/>
    <xf numFmtId="0" fontId="26" fillId="3" borderId="5" xfId="0" applyFont="1" applyFill="1" applyBorder="1"/>
    <xf numFmtId="0" fontId="15" fillId="6" borderId="14" xfId="0" applyFont="1" applyFill="1" applyBorder="1" applyAlignment="1">
      <alignment horizontal="left" vertical="center" wrapText="1"/>
    </xf>
    <xf numFmtId="49" fontId="26" fillId="4" borderId="5" xfId="0" applyNumberFormat="1" applyFont="1" applyFill="1" applyBorder="1"/>
    <xf numFmtId="49" fontId="26" fillId="3" borderId="5" xfId="0" applyNumberFormat="1" applyFont="1" applyFill="1" applyBorder="1"/>
    <xf numFmtId="0" fontId="49" fillId="3" borderId="0" xfId="0" applyFont="1" applyFill="1"/>
    <xf numFmtId="0" fontId="49" fillId="3" borderId="0" xfId="0" applyFont="1" applyFill="1" applyAlignment="1">
      <alignment horizontal="right" indent="1"/>
    </xf>
    <xf numFmtId="1" fontId="49" fillId="3" borderId="0" xfId="0" applyNumberFormat="1" applyFont="1" applyFill="1"/>
    <xf numFmtId="0" fontId="49" fillId="0" borderId="0" xfId="0" applyFont="1"/>
    <xf numFmtId="0" fontId="51" fillId="3" borderId="0" xfId="0" applyFont="1" applyFill="1"/>
    <xf numFmtId="0" fontId="49" fillId="3" borderId="3" xfId="0" applyFont="1" applyFill="1" applyBorder="1"/>
    <xf numFmtId="0" fontId="49" fillId="7" borderId="0" xfId="0" applyFont="1" applyFill="1"/>
    <xf numFmtId="0" fontId="49" fillId="0" borderId="4" xfId="0" applyFont="1" applyBorder="1"/>
    <xf numFmtId="0" fontId="49" fillId="3" borderId="6" xfId="0" applyFont="1" applyFill="1" applyBorder="1"/>
    <xf numFmtId="0" fontId="49" fillId="3" borderId="9" xfId="0" applyFont="1" applyFill="1" applyBorder="1"/>
    <xf numFmtId="0" fontId="49" fillId="7" borderId="9" xfId="0" applyFont="1" applyFill="1" applyBorder="1"/>
    <xf numFmtId="0" fontId="49" fillId="0" borderId="7" xfId="0" applyFont="1" applyBorder="1"/>
    <xf numFmtId="0" fontId="52" fillId="3" borderId="0" xfId="0" applyFont="1" applyFill="1"/>
    <xf numFmtId="0" fontId="52" fillId="3" borderId="0" xfId="0" applyFont="1" applyFill="1" applyAlignment="1">
      <alignment horizontal="left"/>
    </xf>
    <xf numFmtId="1" fontId="49" fillId="3" borderId="3" xfId="0" applyNumberFormat="1" applyFont="1" applyFill="1" applyBorder="1"/>
    <xf numFmtId="0" fontId="53" fillId="3" borderId="0" xfId="0" applyFont="1" applyFill="1"/>
    <xf numFmtId="0" fontId="0" fillId="6" borderId="0" xfId="0" applyFill="1"/>
    <xf numFmtId="0" fontId="55" fillId="9" borderId="0" xfId="3" applyFont="1" applyFill="1" applyBorder="1"/>
    <xf numFmtId="0" fontId="56" fillId="3" borderId="0" xfId="0" applyFont="1" applyFill="1"/>
    <xf numFmtId="2" fontId="11" fillId="0" borderId="0" xfId="0" applyNumberFormat="1" applyFont="1"/>
    <xf numFmtId="0" fontId="58" fillId="3" borderId="0" xfId="0" applyFont="1" applyFill="1" applyAlignment="1">
      <alignment vertical="top" wrapText="1"/>
    </xf>
    <xf numFmtId="0" fontId="12" fillId="3" borderId="0" xfId="0" applyFont="1" applyFill="1" applyAlignment="1">
      <alignment horizontal="left" vertical="top" wrapText="1"/>
    </xf>
    <xf numFmtId="0" fontId="27" fillId="3" borderId="0" xfId="0" applyFont="1" applyFill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/>
    </xf>
    <xf numFmtId="0" fontId="50" fillId="4" borderId="15" xfId="0" applyFont="1" applyFill="1" applyBorder="1" applyAlignment="1">
      <alignment horizontal="center" vertical="center"/>
    </xf>
    <xf numFmtId="0" fontId="50" fillId="4" borderId="2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left" vertical="center" wrapText="1"/>
    </xf>
    <xf numFmtId="0" fontId="15" fillId="6" borderId="1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25" fillId="3" borderId="0" xfId="0" applyFont="1" applyFill="1" applyAlignment="1">
      <alignment horizontal="left" wrapText="1"/>
    </xf>
    <xf numFmtId="0" fontId="12" fillId="0" borderId="0" xfId="0" applyFont="1" applyAlignment="1">
      <alignment horizontal="left" vertical="top"/>
    </xf>
    <xf numFmtId="0" fontId="12" fillId="3" borderId="0" xfId="0" applyFont="1" applyFill="1" applyAlignment="1">
      <alignment horizontal="left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5" fillId="9" borderId="0" xfId="3" applyFont="1" applyFill="1" applyBorder="1"/>
    <xf numFmtId="0" fontId="24" fillId="6" borderId="8" xfId="0" applyFont="1" applyFill="1" applyBorder="1" applyAlignment="1">
      <alignment horizontal="center" vertical="center"/>
    </xf>
    <xf numFmtId="0" fontId="54" fillId="6" borderId="14" xfId="0" applyFont="1" applyFill="1" applyBorder="1" applyAlignment="1">
      <alignment horizontal="center" vertical="center" wrapText="1"/>
    </xf>
    <xf numFmtId="0" fontId="54" fillId="6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3"/>
    <xf numFmtId="0" fontId="9" fillId="0" borderId="0" xfId="0" applyFont="1" applyAlignment="1">
      <alignment horizontal="center"/>
    </xf>
    <xf numFmtId="0" fontId="59" fillId="3" borderId="0" xfId="0" applyFont="1" applyFill="1" applyAlignment="1">
      <alignment horizontal="left"/>
    </xf>
    <xf numFmtId="0" fontId="27" fillId="3" borderId="0" xfId="0" applyFont="1" applyFill="1" applyAlignment="1">
      <alignment horizontal="right" indent="1"/>
    </xf>
    <xf numFmtId="0" fontId="60" fillId="3" borderId="0" xfId="0" applyFont="1" applyFill="1" applyAlignment="1">
      <alignment vertical="center"/>
    </xf>
    <xf numFmtId="0" fontId="27" fillId="3" borderId="0" xfId="0" applyFont="1" applyFill="1" applyAlignment="1">
      <alignment horizontal="right"/>
    </xf>
    <xf numFmtId="0" fontId="27" fillId="0" borderId="0" xfId="0" applyFont="1"/>
    <xf numFmtId="0" fontId="15" fillId="3" borderId="0" xfId="0" applyFont="1" applyFill="1" applyAlignment="1">
      <alignment horizontal="center" vertical="center" wrapText="1"/>
    </xf>
    <xf numFmtId="0" fontId="27" fillId="3" borderId="0" xfId="0" applyFont="1" applyFill="1" applyAlignment="1">
      <alignment horizontal="right" vertical="center" wrapText="1"/>
    </xf>
    <xf numFmtId="0" fontId="27" fillId="3" borderId="0" xfId="0" applyFont="1" applyFill="1" applyAlignment="1">
      <alignment horizontal="center"/>
    </xf>
    <xf numFmtId="0" fontId="27" fillId="3" borderId="0" xfId="0" applyFont="1" applyFill="1" applyAlignment="1">
      <alignment horizontal="center"/>
    </xf>
    <xf numFmtId="0" fontId="27" fillId="3" borderId="0" xfId="0" applyFont="1" applyFill="1" applyAlignment="1">
      <alignment horizontal="right" vertical="center" indent="1"/>
    </xf>
    <xf numFmtId="0" fontId="27" fillId="3" borderId="0" xfId="0" applyFont="1" applyFill="1" applyAlignment="1">
      <alignment wrapText="1"/>
    </xf>
    <xf numFmtId="9" fontId="27" fillId="3" borderId="0" xfId="1" applyFont="1" applyFill="1" applyBorder="1"/>
    <xf numFmtId="1" fontId="27" fillId="3" borderId="0" xfId="0" applyNumberFormat="1" applyFont="1" applyFill="1"/>
    <xf numFmtId="0" fontId="61" fillId="3" borderId="0" xfId="2" applyFont="1" applyFill="1" applyBorder="1"/>
    <xf numFmtId="0" fontId="27" fillId="3" borderId="0" xfId="0" applyFont="1" applyFill="1" applyAlignment="1">
      <alignment horizontal="left" vertical="center"/>
    </xf>
    <xf numFmtId="0" fontId="62" fillId="3" borderId="0" xfId="0" applyFont="1" applyFill="1"/>
    <xf numFmtId="0" fontId="63" fillId="3" borderId="0" xfId="0" applyFont="1" applyFill="1" applyAlignment="1">
      <alignment horizontal="left"/>
    </xf>
    <xf numFmtId="164" fontId="27" fillId="3" borderId="0" xfId="0" applyNumberFormat="1" applyFont="1" applyFill="1"/>
    <xf numFmtId="0" fontId="48" fillId="0" borderId="0" xfId="0" applyFont="1"/>
    <xf numFmtId="0" fontId="27" fillId="3" borderId="0" xfId="0" applyFont="1" applyFill="1" applyAlignment="1">
      <alignment horizontal="left" vertical="center" wrapText="1"/>
    </xf>
    <xf numFmtId="0" fontId="64" fillId="3" borderId="0" xfId="2" applyFont="1" applyFill="1" applyBorder="1"/>
  </cellXfs>
  <cellStyles count="5">
    <cellStyle name="Comma" xfId="4" builtinId="3"/>
    <cellStyle name="Hyperlink" xfId="2" builtinId="8"/>
    <cellStyle name="Normal" xfId="0" builtinId="0"/>
    <cellStyle name="Normal 2" xfId="3" xr:uid="{7FAB5215-502F-4F77-856E-015E93A358EA}"/>
    <cellStyle name="Percent" xfId="1" builtinId="5"/>
  </cellStyles>
  <dxfs count="11">
    <dxf>
      <font>
        <color theme="3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2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/>
      </font>
      <fill>
        <patternFill>
          <bgColor theme="2"/>
        </patternFill>
      </fill>
      <border>
        <left/>
        <right/>
        <top/>
        <bottom/>
        <vertical/>
        <horizontal/>
      </border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  <dxf>
      <font>
        <color theme="2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Klimabudsjett!$E$88</c:f>
          <c:strCache>
            <c:ptCount val="1"/>
            <c:pt idx="0">
              <c:v>Klimagassutslipp, referanse og budsjett, byggetrinn 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ova Light" panose="020B0304020202020204" pitchFamily="34" charset="0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1-FD34-4DAE-A7B4-8C847EED285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D34-4DAE-A7B4-8C847EED285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47EDA73-299B-4586-9C92-E82729668EFD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D34-4DAE-A7B4-8C847EED285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DF89FB0-1399-406E-8D7C-6CE587355B36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D34-4DAE-A7B4-8C847EED285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735B212-A10E-4BED-902A-B34574781AF2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D34-4DAE-A7B4-8C847EED285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6D35B87-5A28-4FDF-91C8-069ADBD98E0B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D34-4DAE-A7B4-8C847EED285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8245178-F176-491E-B50E-C7CBDEEF940D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D34-4DAE-A7B4-8C847EED285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4D1EB55-948A-47DF-B1D8-49791449980C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D34-4DAE-A7B4-8C847EED28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multiLvlStrRef>
              <c:f>Klimabudsjett!$E$118:$F$125</c:f>
              <c:multiLvlStrCache>
                <c:ptCount val="8"/>
                <c:lvl>
                  <c:pt idx="0">
                    <c:v>Referanse</c:v>
                  </c:pt>
                  <c:pt idx="1">
                    <c:v>Klimabudsjett</c:v>
                  </c:pt>
                  <c:pt idx="2">
                    <c:v>Referanse</c:v>
                  </c:pt>
                  <c:pt idx="3">
                    <c:v>Klimabudsjett</c:v>
                  </c:pt>
                  <c:pt idx="4">
                    <c:v>Referanse</c:v>
                  </c:pt>
                  <c:pt idx="5">
                    <c:v>Klimabudsjett</c:v>
                  </c:pt>
                  <c:pt idx="6">
                    <c:v>Referanse</c:v>
                  </c:pt>
                  <c:pt idx="7">
                    <c:v>Klimabudsjett</c:v>
                  </c:pt>
                </c:lvl>
                <c:lvl>
                  <c:pt idx="0">
                    <c:v>Bygningsmasse, inkl. byggefase og energibruk i drift</c:v>
                  </c:pt>
                  <c:pt idx="2">
                    <c:v>Infrastruktur</c:v>
                  </c:pt>
                  <c:pt idx="4">
                    <c:v>Landskap</c:v>
                  </c:pt>
                  <c:pt idx="6">
                    <c:v>Transport i drift</c:v>
                  </c:pt>
                </c:lvl>
              </c:multiLvlStrCache>
            </c:multiLvlStrRef>
          </c:cat>
          <c:val>
            <c:numRef>
              <c:f>Klimabudsjett!$G$118:$G$125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Klimabudsjett!$H$118:$H$125</c15:f>
                <c15:dlblRangeCache>
                  <c:ptCount val="8"/>
                  <c:pt idx="1">
                    <c:v>#N/A</c:v>
                  </c:pt>
                  <c:pt idx="3">
                    <c:v>0 %</c:v>
                  </c:pt>
                  <c:pt idx="5">
                    <c:v>0 %</c:v>
                  </c:pt>
                  <c:pt idx="7">
                    <c:v>0 %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C-3D9A-437D-B49E-63D48EFC68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7"/>
        <c:overlap val="-27"/>
        <c:axId val="1521799856"/>
        <c:axId val="1521800272"/>
      </c:barChart>
      <c:catAx>
        <c:axId val="152179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 Cond" panose="020B0506020202020204" pitchFamily="34" charset="0"/>
                <a:ea typeface="+mn-ea"/>
                <a:cs typeface="+mn-cs"/>
              </a:defRPr>
            </a:pPr>
            <a:endParaRPr lang="nb-NO"/>
          </a:p>
        </c:txPr>
        <c:crossAx val="1521800272"/>
        <c:crosses val="autoZero"/>
        <c:auto val="1"/>
        <c:lblAlgn val="ctr"/>
        <c:lblOffset val="100"/>
        <c:noMultiLvlLbl val="0"/>
      </c:catAx>
      <c:valAx>
        <c:axId val="152180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ova Light" panose="020B0304020202020204" pitchFamily="34" charset="0"/>
                    <a:ea typeface="+mn-ea"/>
                    <a:cs typeface="+mn-cs"/>
                  </a:defRPr>
                </a:pPr>
                <a:r>
                  <a:rPr lang="nb-NO">
                    <a:latin typeface="Arial Nova Light" panose="020B0304020202020204" pitchFamily="34" charset="0"/>
                  </a:rPr>
                  <a:t>tonn CO</a:t>
                </a:r>
                <a:r>
                  <a:rPr lang="nb-NO" baseline="-25000">
                    <a:latin typeface="Arial Nova Light" panose="020B0304020202020204" pitchFamily="34" charset="0"/>
                  </a:rPr>
                  <a:t>2</a:t>
                </a:r>
                <a:r>
                  <a:rPr lang="nb-NO">
                    <a:latin typeface="Arial Nova Light" panose="020B0304020202020204" pitchFamily="34" charset="0"/>
                  </a:rPr>
                  <a:t>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ova Light" panose="020B0304020202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nb-NO"/>
          </a:p>
        </c:txPr>
        <c:crossAx val="152179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r>
              <a:rPr lang="nb-NO">
                <a:latin typeface="Arial Nova Light" panose="020B0304020202020204" pitchFamily="34" charset="0"/>
              </a:rPr>
              <a:t>Sammenlikning</a:t>
            </a:r>
            <a:r>
              <a:rPr lang="nb-NO" baseline="0">
                <a:latin typeface="Arial Nova Light" panose="020B0304020202020204" pitchFamily="34" charset="0"/>
              </a:rPr>
              <a:t> av klimagassutslipp fra alternative utviklingsforslag, materialbruk, byggeplass, energi i drift og transport i drift</a:t>
            </a:r>
          </a:p>
          <a:p>
            <a:pPr>
              <a:defRPr>
                <a:latin typeface="Arial Nova Light" panose="020B0304020202020204" pitchFamily="34" charset="0"/>
              </a:defRPr>
            </a:pPr>
            <a:endParaRPr lang="nb-NO">
              <a:latin typeface="Arial Nova Light" panose="020B03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ova Light" panose="020B0304020202020204" pitchFamily="34" charset="0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'Sammenlikning utviklingsforslag'!$L$234:$L$235</c:f>
              <c:strCache>
                <c:ptCount val="2"/>
                <c:pt idx="0">
                  <c:v>Bygningsmasse</c:v>
                </c:pt>
                <c:pt idx="1">
                  <c:v>på området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'Sammenlikning utviklingsforslag'!$K$236:$K$239</c:f>
              <c:strCache>
                <c:ptCount val="2"/>
                <c:pt idx="0">
                  <c:v>Alternativ 1</c:v>
                </c:pt>
                <c:pt idx="1">
                  <c:v>Alternativ 2</c:v>
                </c:pt>
              </c:strCache>
            </c:strRef>
          </c:cat>
          <c:val>
            <c:numRef>
              <c:f>'Sammenlikning utviklingsforslag'!$L$236:$L$239</c:f>
              <c:numCache>
                <c:formatCode>General</c:formatCode>
                <c:ptCount val="4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D-4D4B-96DD-8317419F8884}"/>
            </c:ext>
          </c:extLst>
        </c:ser>
        <c:ser>
          <c:idx val="1"/>
          <c:order val="1"/>
          <c:tx>
            <c:strRef>
              <c:f>'Sammenlikning utviklingsforslag'!$M$234:$M$235</c:f>
              <c:strCache>
                <c:ptCount val="2"/>
                <c:pt idx="0">
                  <c:v>Bygningsmasse</c:v>
                </c:pt>
                <c:pt idx="1">
                  <c:v>andre steder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'Sammenlikning utviklingsforslag'!$K$236:$K$239</c:f>
              <c:strCache>
                <c:ptCount val="2"/>
                <c:pt idx="0">
                  <c:v>Alternativ 1</c:v>
                </c:pt>
                <c:pt idx="1">
                  <c:v>Alternativ 2</c:v>
                </c:pt>
              </c:strCache>
            </c:strRef>
          </c:cat>
          <c:val>
            <c:numRef>
              <c:f>'Sammenlikning utviklingsforslag'!$M$236:$M$239</c:f>
              <c:numCache>
                <c:formatCode>0</c:formatCode>
                <c:ptCount val="4"/>
                <c:pt idx="0">
                  <c:v>#N/A</c:v>
                </c:pt>
                <c:pt idx="1">
                  <c:v>0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D-4D4B-96DD-8317419F8884}"/>
            </c:ext>
          </c:extLst>
        </c:ser>
        <c:ser>
          <c:idx val="2"/>
          <c:order val="2"/>
          <c:tx>
            <c:strRef>
              <c:f>'Sammenlikning utviklingsforslag'!$N$234:$N$235</c:f>
              <c:strCache>
                <c:ptCount val="2"/>
                <c:pt idx="0">
                  <c:v>Transport</c:v>
                </c:pt>
                <c:pt idx="1">
                  <c:v>på området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'Sammenlikning utviklingsforslag'!$K$236:$K$239</c:f>
              <c:strCache>
                <c:ptCount val="2"/>
                <c:pt idx="0">
                  <c:v>Alternativ 1</c:v>
                </c:pt>
                <c:pt idx="1">
                  <c:v>Alternativ 2</c:v>
                </c:pt>
              </c:strCache>
            </c:strRef>
          </c:cat>
          <c:val>
            <c:numRef>
              <c:f>'Sammenlikning utviklingsforslag'!$N$236:$N$239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D-4D4B-96DD-8317419F8884}"/>
            </c:ext>
          </c:extLst>
        </c:ser>
        <c:ser>
          <c:idx val="3"/>
          <c:order val="3"/>
          <c:tx>
            <c:strRef>
              <c:f>'Sammenlikning utviklingsforslag'!$O$234:$O$235</c:f>
              <c:strCache>
                <c:ptCount val="2"/>
                <c:pt idx="0">
                  <c:v>Transport</c:v>
                </c:pt>
                <c:pt idx="1">
                  <c:v>andre steder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71AA2A8-F9C4-4E55-8EC0-A97E1C226F93}" type="CELLRANGE">
                      <a:rPr lang="en-US"/>
                      <a:pPr/>
                      <a:t>[CELLRANGE]</a:t>
                    </a:fld>
                    <a:endParaRPr lang="nb-NO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D08-4BFA-AE51-D60DB85168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581AFF6-889B-4CAC-94D6-DA772C561533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D08-4BFA-AE51-D60DB85168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BA1A8F4-4C1B-400C-A5DE-945D811AEFA8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D08-4BFA-AE51-D60DB851686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135A595-8592-496E-8FF9-D212950BCFE0}" type="CELLRANGE">
                      <a:rPr lang="nb-NO"/>
                      <a:pPr/>
                      <a:t>[CELLRANGE]</a:t>
                    </a:fld>
                    <a:endParaRPr lang="nb-NO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D08-4BFA-AE51-D60DB85168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Avenir Next LT Pro Demi" panose="020B0704020202020204" pitchFamily="34" charset="0"/>
                    <a:ea typeface="+mn-ea"/>
                    <a:cs typeface="+mn-cs"/>
                  </a:defRPr>
                </a:pPr>
                <a:endParaRPr lang="nb-NO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'Sammenlikning utviklingsforslag'!$K$236:$K$239</c:f>
              <c:strCache>
                <c:ptCount val="2"/>
                <c:pt idx="0">
                  <c:v>Alternativ 1</c:v>
                </c:pt>
                <c:pt idx="1">
                  <c:v>Alternativ 2</c:v>
                </c:pt>
              </c:strCache>
            </c:strRef>
          </c:cat>
          <c:val>
            <c:numRef>
              <c:f>'Sammenlikning utviklingsforslag'!$O$236:$O$239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'Sammenlikning utviklingsforslag'!$R$236:$R$239</c15:f>
                <c15:dlblRangeCache>
                  <c:ptCount val="4"/>
                  <c:pt idx="0">
                    <c:v>#N/A</c:v>
                  </c:pt>
                  <c:pt idx="1">
                    <c:v>#N/A</c:v>
                  </c:pt>
                  <c:pt idx="2">
                    <c:v>0</c:v>
                  </c:pt>
                  <c:pt idx="3">
                    <c:v>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3E7D-4D4B-96DD-8317419F88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5012271"/>
        <c:axId val="1015014351"/>
      </c:barChart>
      <c:catAx>
        <c:axId val="10150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 Cond" panose="020B0506020202020204" pitchFamily="34" charset="0"/>
                <a:ea typeface="+mn-ea"/>
                <a:cs typeface="+mn-cs"/>
              </a:defRPr>
            </a:pPr>
            <a:endParaRPr lang="nb-NO"/>
          </a:p>
        </c:txPr>
        <c:crossAx val="1015014351"/>
        <c:crosses val="autoZero"/>
        <c:auto val="1"/>
        <c:lblAlgn val="ctr"/>
        <c:lblOffset val="100"/>
        <c:noMultiLvlLbl val="0"/>
      </c:catAx>
      <c:valAx>
        <c:axId val="1015014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ova Light" panose="020B0304020202020204" pitchFamily="34" charset="0"/>
                    <a:ea typeface="+mn-ea"/>
                    <a:cs typeface="+mn-cs"/>
                  </a:defRPr>
                </a:pPr>
                <a:r>
                  <a:rPr lang="nb-NO">
                    <a:latin typeface="Arial Nova Light" panose="020B0304020202020204" pitchFamily="34" charset="0"/>
                  </a:rPr>
                  <a:t>tonn CO</a:t>
                </a:r>
                <a:r>
                  <a:rPr lang="nb-NO" baseline="-25000">
                    <a:latin typeface="Arial Nova Light" panose="020B0304020202020204" pitchFamily="34" charset="0"/>
                  </a:rPr>
                  <a:t>2</a:t>
                </a:r>
                <a:r>
                  <a:rPr lang="nb-NO">
                    <a:latin typeface="Arial Nova Light" panose="020B0304020202020204" pitchFamily="34" charset="0"/>
                  </a:rPr>
                  <a:t>e, 50 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ova Light" panose="020B0304020202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 Light" panose="020B0304020202020204" pitchFamily="34" charset="0"/>
                <a:ea typeface="+mn-ea"/>
                <a:cs typeface="+mn-cs"/>
              </a:defRPr>
            </a:pPr>
            <a:endParaRPr lang="nb-NO"/>
          </a:p>
        </c:txPr>
        <c:crossAx val="10150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 Cond" panose="020B0506020202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5" Type="http://schemas.openxmlformats.org/officeDocument/2006/relationships/image" Target="../media/image3.jpeg"/><Relationship Id="rId4" Type="http://schemas.microsoft.com/office/2007/relationships/hdphoto" Target="../media/hdphoto2.wdp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4.wdp"/><Relationship Id="rId2" Type="http://schemas.openxmlformats.org/officeDocument/2006/relationships/image" Target="../media/image6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71016</xdr:colOff>
      <xdr:row>8</xdr:row>
      <xdr:rowOff>149022</xdr:rowOff>
    </xdr:from>
    <xdr:to>
      <xdr:col>0</xdr:col>
      <xdr:colOff>1112751</xdr:colOff>
      <xdr:row>14</xdr:row>
      <xdr:rowOff>48460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AC5DA2-C78E-4D37-9CA8-B914F8D69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427489"/>
          <a:ext cx="1041735" cy="915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1145409</xdr:colOff>
      <xdr:row>7</xdr:row>
      <xdr:rowOff>62603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5CE8430-C594-48F3-9110-004193AA2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8750"/>
          <a:ext cx="1145409" cy="1110353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15</xdr:row>
      <xdr:rowOff>161925</xdr:rowOff>
    </xdr:from>
    <xdr:to>
      <xdr:col>0</xdr:col>
      <xdr:colOff>1047750</xdr:colOff>
      <xdr:row>17</xdr:row>
      <xdr:rowOff>20424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643904-6BFD-FDCF-3E4B-80D5F52E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86050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333374</xdr:colOff>
      <xdr:row>3</xdr:row>
      <xdr:rowOff>157164</xdr:rowOff>
    </xdr:from>
    <xdr:to>
      <xdr:col>20</xdr:col>
      <xdr:colOff>257175</xdr:colOff>
      <xdr:row>25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8692F3A-858B-4F86-AA2B-3E214457D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71016</xdr:colOff>
      <xdr:row>5</xdr:row>
      <xdr:rowOff>386089</xdr:rowOff>
    </xdr:from>
    <xdr:to>
      <xdr:col>0</xdr:col>
      <xdr:colOff>1112751</xdr:colOff>
      <xdr:row>11</xdr:row>
      <xdr:rowOff>14594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CDFBEC-E78C-4F1A-AEE1-14FA49286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427489"/>
          <a:ext cx="1041735" cy="915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2409</xdr:colOff>
      <xdr:row>5</xdr:row>
      <xdr:rowOff>274270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34F262F-68F1-4490-8E98-B5A4C0FF7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333"/>
          <a:ext cx="1179276" cy="114633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12</xdr:row>
      <xdr:rowOff>74084</xdr:rowOff>
    </xdr:from>
    <xdr:to>
      <xdr:col>0</xdr:col>
      <xdr:colOff>1047750</xdr:colOff>
      <xdr:row>13</xdr:row>
      <xdr:rowOff>95566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87AB8B-E275-4695-B56E-6ADA78727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50584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667530</xdr:colOff>
      <xdr:row>3</xdr:row>
      <xdr:rowOff>57728</xdr:rowOff>
    </xdr:from>
    <xdr:to>
      <xdr:col>10</xdr:col>
      <xdr:colOff>756350</xdr:colOff>
      <xdr:row>19</xdr:row>
      <xdr:rowOff>70588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EAF482-6951-4523-8324-B5EDB09990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71016</xdr:colOff>
      <xdr:row>7</xdr:row>
      <xdr:rowOff>140556</xdr:rowOff>
    </xdr:from>
    <xdr:to>
      <xdr:col>0</xdr:col>
      <xdr:colOff>1112751</xdr:colOff>
      <xdr:row>13</xdr:row>
      <xdr:rowOff>48460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02C8059-8811-4F5B-9EE8-93B8153F8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427489"/>
          <a:ext cx="1041735" cy="915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2409</xdr:colOff>
      <xdr:row>7</xdr:row>
      <xdr:rowOff>7571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96BA0B3-AA21-445A-9ABB-79B9D4772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333"/>
          <a:ext cx="1179276" cy="114633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14</xdr:row>
      <xdr:rowOff>76200</xdr:rowOff>
    </xdr:from>
    <xdr:to>
      <xdr:col>0</xdr:col>
      <xdr:colOff>1047750</xdr:colOff>
      <xdr:row>15</xdr:row>
      <xdr:rowOff>115674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B905A98-93D9-40CF-8961-0976DD3CA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76500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71016</xdr:colOff>
      <xdr:row>6</xdr:row>
      <xdr:rowOff>182889</xdr:rowOff>
    </xdr:from>
    <xdr:to>
      <xdr:col>0</xdr:col>
      <xdr:colOff>1112751</xdr:colOff>
      <xdr:row>9</xdr:row>
      <xdr:rowOff>313044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5839E4B-355D-4C0A-9D44-531BE1D44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427489"/>
          <a:ext cx="1041735" cy="915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2409</xdr:colOff>
      <xdr:row>6</xdr:row>
      <xdr:rowOff>71070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C4DEDB-EDE8-402A-AC3D-AC2A1C00B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333"/>
          <a:ext cx="1179276" cy="1146337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9</xdr:row>
      <xdr:rowOff>508000</xdr:rowOff>
    </xdr:from>
    <xdr:to>
      <xdr:col>0</xdr:col>
      <xdr:colOff>1068917</xdr:colOff>
      <xdr:row>10</xdr:row>
      <xdr:rowOff>116732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C5AAFB-57D3-4AC9-8A32-5635B7F3A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2487083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71016</xdr:colOff>
      <xdr:row>6</xdr:row>
      <xdr:rowOff>47422</xdr:rowOff>
    </xdr:from>
    <xdr:to>
      <xdr:col>0</xdr:col>
      <xdr:colOff>1112751</xdr:colOff>
      <xdr:row>10</xdr:row>
      <xdr:rowOff>133127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C21486C-6D0B-478F-9C69-BAC17582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427489"/>
          <a:ext cx="1041735" cy="915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2409</xdr:colOff>
      <xdr:row>5</xdr:row>
      <xdr:rowOff>325070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CC877B1-A637-4725-808F-0AFC4B23C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333"/>
          <a:ext cx="1179276" cy="1146337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12</xdr:row>
      <xdr:rowOff>74083</xdr:rowOff>
    </xdr:from>
    <xdr:to>
      <xdr:col>0</xdr:col>
      <xdr:colOff>1079500</xdr:colOff>
      <xdr:row>13</xdr:row>
      <xdr:rowOff>95566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FD1478-BFB3-4DE0-BDCE-A848321D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2603500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71016</xdr:colOff>
      <xdr:row>6</xdr:row>
      <xdr:rowOff>216756</xdr:rowOff>
    </xdr:from>
    <xdr:to>
      <xdr:col>0</xdr:col>
      <xdr:colOff>1112751</xdr:colOff>
      <xdr:row>11</xdr:row>
      <xdr:rowOff>158527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069704-49E2-47C3-963C-BC34EA920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427489"/>
          <a:ext cx="1041735" cy="915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2409</xdr:colOff>
      <xdr:row>6</xdr:row>
      <xdr:rowOff>104937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A007206-351D-4153-B904-BFF2479C7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333"/>
          <a:ext cx="1179276" cy="114633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12</xdr:row>
      <xdr:rowOff>105834</xdr:rowOff>
    </xdr:from>
    <xdr:to>
      <xdr:col>0</xdr:col>
      <xdr:colOff>1047750</xdr:colOff>
      <xdr:row>13</xdr:row>
      <xdr:rowOff>148483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7B10E4-874E-4796-8DA3-3C94A35BB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18834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71016</xdr:colOff>
      <xdr:row>4</xdr:row>
      <xdr:rowOff>578708</xdr:rowOff>
    </xdr:from>
    <xdr:to>
      <xdr:col>0</xdr:col>
      <xdr:colOff>1112751</xdr:colOff>
      <xdr:row>5</xdr:row>
      <xdr:rowOff>825279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3BE5028-ADF3-43A7-A5AD-9BA964A2C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433841"/>
          <a:ext cx="1041735" cy="915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6352</xdr:rowOff>
    </xdr:from>
    <xdr:to>
      <xdr:col>1</xdr:col>
      <xdr:colOff>2409</xdr:colOff>
      <xdr:row>4</xdr:row>
      <xdr:rowOff>466889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2A5F6A1-AEA6-46EA-82D6-50D6FC67F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5685"/>
          <a:ext cx="1179276" cy="1146337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5</xdr:row>
      <xdr:rowOff>984250</xdr:rowOff>
    </xdr:from>
    <xdr:to>
      <xdr:col>0</xdr:col>
      <xdr:colOff>1037167</xdr:colOff>
      <xdr:row>6</xdr:row>
      <xdr:rowOff>53232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7BB9E7-F78E-4529-9BD7-41B1EAF19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2286000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71016</xdr:colOff>
      <xdr:row>6</xdr:row>
      <xdr:rowOff>142673</xdr:rowOff>
    </xdr:from>
    <xdr:to>
      <xdr:col>0</xdr:col>
      <xdr:colOff>1112751</xdr:colOff>
      <xdr:row>11</xdr:row>
      <xdr:rowOff>161702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6EEDE4-929F-4967-BED5-3170DC576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16" y="1209473"/>
          <a:ext cx="1041735" cy="8286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76200</xdr:rowOff>
    </xdr:from>
    <xdr:to>
      <xdr:col>1</xdr:col>
      <xdr:colOff>2409</xdr:colOff>
      <xdr:row>6</xdr:row>
      <xdr:rowOff>126104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74253F-B764-407C-893B-61B804E85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145409" cy="1116704"/>
        </a:xfrm>
        <a:prstGeom prst="rect">
          <a:avLst/>
        </a:prstGeom>
      </xdr:spPr>
    </xdr:pic>
    <xdr:clientData/>
  </xdr:twoCellAnchor>
  <xdr:twoCellAnchor editAs="oneCell">
    <xdr:from>
      <xdr:col>0</xdr:col>
      <xdr:colOff>113242</xdr:colOff>
      <xdr:row>12</xdr:row>
      <xdr:rowOff>158748</xdr:rowOff>
    </xdr:from>
    <xdr:to>
      <xdr:col>0</xdr:col>
      <xdr:colOff>1065742</xdr:colOff>
      <xdr:row>14</xdr:row>
      <xdr:rowOff>36297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69CF46-890D-4E7C-AE5A-D6D2963DE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42" y="2197098"/>
          <a:ext cx="952500" cy="20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AV">
  <a:themeElements>
    <a:clrScheme name="Asplan Viak">
      <a:dk1>
        <a:srgbClr val="000000"/>
      </a:dk1>
      <a:lt1>
        <a:srgbClr val="FFFFFF"/>
      </a:lt1>
      <a:dk2>
        <a:srgbClr val="1D3C34"/>
      </a:dk2>
      <a:lt2>
        <a:srgbClr val="F6F8F1"/>
      </a:lt2>
      <a:accent1>
        <a:srgbClr val="B7DC8F"/>
      </a:accent1>
      <a:accent2>
        <a:srgbClr val="1D3C34"/>
      </a:accent2>
      <a:accent3>
        <a:srgbClr val="F0F4E3"/>
      </a:accent3>
      <a:accent4>
        <a:srgbClr val="48A23F"/>
      </a:accent4>
      <a:accent5>
        <a:srgbClr val="FFC358"/>
      </a:accent5>
      <a:accent6>
        <a:srgbClr val="F6F8F1"/>
      </a:accent6>
      <a:hlink>
        <a:srgbClr val="48A23F"/>
      </a:hlink>
      <a:folHlink>
        <a:srgbClr val="4D4D4D"/>
      </a:folHlink>
    </a:clrScheme>
    <a:fontScheme name="Avenir Next LT Pro">
      <a:majorFont>
        <a:latin typeface="Avenir Next LT Pro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ok.statsbygg.no/wp-content/uploads/2021/02/PA-0502-Areal-og-volum.pdf" TargetMode="External"/><Relationship Id="rId1" Type="http://schemas.openxmlformats.org/officeDocument/2006/relationships/hyperlink" Target="https://www.ssb.no/befolkning/statistikker/fobbolig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ok.statsbygg.no/wp-content/uploads/2021/02/PA-0502-Areal-og-volum.pdf" TargetMode="External"/><Relationship Id="rId1" Type="http://schemas.openxmlformats.org/officeDocument/2006/relationships/hyperlink" Target="https://www.ssb.no/befolkning/statistikker/fobbolig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F1AFC-F7B5-4386-AEEC-A03D116CDDE3}">
  <sheetPr>
    <tabColor theme="5"/>
  </sheetPr>
  <dimension ref="A1:AN123"/>
  <sheetViews>
    <sheetView tabSelected="1" zoomScaleNormal="100" workbookViewId="0">
      <selection activeCell="F6" sqref="F6"/>
    </sheetView>
  </sheetViews>
  <sheetFormatPr defaultRowHeight="12.75"/>
  <cols>
    <col min="1" max="1" width="17.28515625" customWidth="1"/>
    <col min="2" max="2" width="5.140625" customWidth="1"/>
    <col min="3" max="3" width="19.7109375" customWidth="1"/>
    <col min="4" max="4" width="11" customWidth="1"/>
    <col min="5" max="5" width="10.28515625" customWidth="1"/>
    <col min="6" max="6" width="25.5703125" customWidth="1"/>
    <col min="7" max="7" width="21.42578125" customWidth="1"/>
    <col min="8" max="8" width="20.140625" customWidth="1"/>
    <col min="9" max="9" width="9.140625" customWidth="1"/>
  </cols>
  <sheetData>
    <row r="1" spans="1:40">
      <c r="A1" s="19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40">
      <c r="A2" s="1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1:40" ht="20.25">
      <c r="A3" s="19"/>
      <c r="B3" s="17"/>
      <c r="C3" s="51" t="s">
        <v>125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1:40" ht="12.75" customHeight="1">
      <c r="A4" s="19"/>
      <c r="B4" s="17"/>
      <c r="C4" s="145" t="s">
        <v>418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</row>
    <row r="5" spans="1:40">
      <c r="A5" s="19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</row>
    <row r="6" spans="1:40">
      <c r="A6" s="19"/>
      <c r="B6" s="17"/>
      <c r="C6" s="17"/>
      <c r="D6" s="17"/>
      <c r="E6" s="21" t="s">
        <v>2</v>
      </c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>
      <c r="A7" s="19"/>
      <c r="B7" s="17"/>
      <c r="C7" s="17"/>
      <c r="D7" s="17"/>
      <c r="E7" s="21" t="s">
        <v>296</v>
      </c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</row>
    <row r="8" spans="1:40">
      <c r="A8" s="19"/>
      <c r="B8" s="17"/>
      <c r="C8" s="17"/>
      <c r="D8" s="17"/>
      <c r="E8" s="21" t="s">
        <v>268</v>
      </c>
      <c r="F8" s="16"/>
      <c r="G8" s="106" t="s">
        <v>317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</row>
    <row r="9" spans="1:40">
      <c r="A9" s="19"/>
      <c r="B9" s="17"/>
      <c r="C9" s="17"/>
      <c r="D9" s="17"/>
      <c r="E9" s="21" t="str">
        <f>"Byggetrinn "&amp;F8&amp;" start"</f>
        <v>Byggetrinn  start</v>
      </c>
      <c r="F9" s="16"/>
      <c r="G9" s="101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</row>
    <row r="10" spans="1:40">
      <c r="A10" s="19"/>
      <c r="B10" s="17"/>
      <c r="C10" s="17"/>
      <c r="D10" s="17"/>
      <c r="E10" s="21" t="str">
        <f>"Byggetrinn "&amp;F8&amp;" slutt"</f>
        <v>Byggetrinn  slutt</v>
      </c>
      <c r="F10" s="16"/>
      <c r="G10" s="101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</row>
    <row r="11" spans="1:40">
      <c r="A11" s="19"/>
      <c r="B11" s="17"/>
      <c r="C11" s="17"/>
      <c r="D11" s="17"/>
      <c r="E11" s="21" t="s">
        <v>119</v>
      </c>
      <c r="F11" s="16"/>
      <c r="G11" s="106" t="s">
        <v>330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</row>
    <row r="12" spans="1:40">
      <c r="A12" s="19"/>
      <c r="B12" s="17"/>
      <c r="C12" s="17"/>
      <c r="D12" s="17"/>
      <c r="E12" s="21" t="s">
        <v>166</v>
      </c>
      <c r="F12" s="16"/>
      <c r="G12" s="106" t="s">
        <v>331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</row>
    <row r="13" spans="1:40">
      <c r="A13" s="19"/>
      <c r="B13" s="17"/>
      <c r="C13" s="17"/>
      <c r="D13" s="17"/>
      <c r="E13" s="21" t="s">
        <v>312</v>
      </c>
      <c r="F13" s="16"/>
      <c r="G13" s="106" t="str">
        <f>IF(F13=E83,""," benytt fane Sammenlikning utviklingsforslag")</f>
        <v xml:space="preserve"> benytt fane Sammenlikning utviklingsforslag</v>
      </c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</row>
    <row r="14" spans="1:40">
      <c r="A14" s="1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</row>
    <row r="15" spans="1:40">
      <c r="A15" s="19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ht="20.25">
      <c r="A16" s="186"/>
      <c r="B16" s="17"/>
      <c r="C16" s="51" t="s">
        <v>316</v>
      </c>
      <c r="D16" s="17"/>
      <c r="E16" s="18"/>
      <c r="F16" s="17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ht="6.75" customHeight="1">
      <c r="A17" s="19"/>
      <c r="B17" s="17"/>
      <c r="C17" s="17"/>
      <c r="D17" s="17"/>
      <c r="E17" s="18"/>
      <c r="F17" s="17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ht="14.25" customHeight="1">
      <c r="A18" s="19"/>
      <c r="B18" s="17"/>
      <c r="C18" s="191" t="s">
        <v>334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ht="14.25">
      <c r="A19" s="19"/>
      <c r="B19" s="17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ht="14.25">
      <c r="A20" s="19"/>
      <c r="B20" s="17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</row>
    <row r="21" spans="1:40" ht="14.25">
      <c r="A21" s="19"/>
      <c r="B21" s="17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ht="15.75">
      <c r="A22" s="19"/>
      <c r="B22" s="17"/>
      <c r="C22" s="139" t="s">
        <v>321</v>
      </c>
      <c r="D22" s="139"/>
      <c r="E22" s="139"/>
      <c r="F22" s="139" t="s">
        <v>322</v>
      </c>
      <c r="G22" s="133"/>
      <c r="H22" s="133"/>
      <c r="I22" s="133"/>
      <c r="J22" s="133"/>
      <c r="K22" s="133"/>
      <c r="L22" s="133"/>
      <c r="M22" s="133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6.75" customHeight="1">
      <c r="A23" s="19"/>
      <c r="B23" s="17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 ht="14.25">
      <c r="A24" s="19"/>
      <c r="B24" s="17"/>
      <c r="C24" s="137" t="s">
        <v>255</v>
      </c>
      <c r="D24" s="138"/>
      <c r="E24" s="18"/>
      <c r="F24" s="17" t="s">
        <v>329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</row>
    <row r="25" spans="1:40" ht="6.75" customHeight="1">
      <c r="A25" s="19"/>
      <c r="B25" s="17"/>
      <c r="C25" s="103"/>
      <c r="D25" s="17"/>
      <c r="E25" s="18"/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ht="14.25">
      <c r="A26" s="19"/>
      <c r="B26" s="17"/>
      <c r="C26" s="135" t="s">
        <v>319</v>
      </c>
      <c r="D26" s="132"/>
      <c r="E26" s="18"/>
      <c r="F26" s="17" t="s">
        <v>323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1:40" ht="6.75" customHeight="1">
      <c r="A27" s="19"/>
      <c r="B27" s="17"/>
      <c r="C27" s="103"/>
      <c r="D27" s="17"/>
      <c r="E27" s="18"/>
      <c r="F27" s="17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14.25">
      <c r="A28" s="19"/>
      <c r="B28" s="17"/>
      <c r="C28" s="134" t="s">
        <v>318</v>
      </c>
      <c r="D28" s="130"/>
      <c r="E28" s="18"/>
      <c r="F28" s="17" t="s">
        <v>333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spans="1:40" ht="6.75" customHeight="1">
      <c r="A29" s="19"/>
      <c r="B29" s="17"/>
      <c r="C29" s="103"/>
      <c r="D29" s="17"/>
      <c r="E29" s="18"/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1:40" ht="14.25">
      <c r="A30" s="19"/>
      <c r="B30" s="17"/>
      <c r="C30" s="134" t="s">
        <v>3</v>
      </c>
      <c r="D30" s="130"/>
      <c r="E30" s="18"/>
      <c r="F30" s="17" t="s">
        <v>332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</row>
    <row r="31" spans="1:40" ht="6.75" customHeight="1">
      <c r="A31" s="19"/>
      <c r="B31" s="17"/>
      <c r="C31" s="103"/>
      <c r="D31" s="17"/>
      <c r="E31" s="18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ht="14.25">
      <c r="A32" s="19"/>
      <c r="B32" s="17"/>
      <c r="C32" s="134" t="s">
        <v>4</v>
      </c>
      <c r="D32" s="130"/>
      <c r="E32" s="18"/>
      <c r="F32" s="103" t="s">
        <v>348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</row>
    <row r="33" spans="1:40" ht="6.75" customHeight="1">
      <c r="A33" s="19"/>
      <c r="B33" s="17"/>
      <c r="C33" s="103"/>
      <c r="D33" s="17"/>
      <c r="E33" s="18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0" ht="14.25">
      <c r="A34" s="19"/>
      <c r="B34" s="17"/>
      <c r="C34" s="136" t="s">
        <v>320</v>
      </c>
      <c r="D34" s="131"/>
      <c r="E34" s="18"/>
      <c r="F34" s="17" t="s">
        <v>324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1:40" ht="6.75" customHeight="1">
      <c r="A35" s="19"/>
      <c r="B35" s="17"/>
      <c r="C35" s="129"/>
      <c r="D35" s="17"/>
      <c r="E35" s="18"/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ht="14.25">
      <c r="A36" s="19"/>
      <c r="B36" s="17"/>
      <c r="C36" s="136" t="s">
        <v>367</v>
      </c>
      <c r="D36" s="131"/>
      <c r="E36" s="18"/>
      <c r="F36" s="17" t="s">
        <v>381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</row>
    <row r="37" spans="1:40" ht="14.25">
      <c r="A37" s="19"/>
      <c r="B37" s="17"/>
      <c r="C37" s="17"/>
      <c r="D37" s="17"/>
      <c r="E37" s="18"/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</row>
    <row r="38" spans="1:40" ht="14.25">
      <c r="A38" s="19"/>
      <c r="B38" s="17"/>
      <c r="C38" s="17"/>
      <c r="D38" s="17"/>
      <c r="E38" s="18"/>
      <c r="F38" s="1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</row>
    <row r="39" spans="1:40" ht="14.25">
      <c r="A39" s="19"/>
      <c r="B39" s="17"/>
      <c r="C39" s="17"/>
      <c r="D39" s="17"/>
      <c r="E39" s="18"/>
      <c r="F39" s="1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0" ht="14.25">
      <c r="A40" s="19"/>
      <c r="B40" s="17"/>
      <c r="C40" s="17"/>
      <c r="D40" s="17"/>
      <c r="E40" s="18"/>
      <c r="F40" s="17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</row>
    <row r="41" spans="1:40" ht="14.25">
      <c r="A41" s="19"/>
      <c r="B41" s="17"/>
      <c r="C41" s="17"/>
      <c r="D41" s="17"/>
      <c r="E41" s="18"/>
      <c r="F41" s="17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</row>
    <row r="42" spans="1:40" ht="14.25">
      <c r="A42" s="19"/>
      <c r="B42" s="17"/>
      <c r="C42" s="17"/>
      <c r="D42" s="17"/>
      <c r="E42" s="18"/>
      <c r="F42" s="17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</row>
    <row r="43" spans="1:40" ht="14.25">
      <c r="A43" s="19"/>
      <c r="B43" s="17"/>
      <c r="C43" s="17"/>
      <c r="D43" s="17"/>
      <c r="E43" s="18"/>
      <c r="F43" s="17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0" ht="14.25">
      <c r="A44" s="19"/>
      <c r="B44" s="17"/>
      <c r="C44" s="17"/>
      <c r="D44" s="17"/>
      <c r="E44" s="18"/>
      <c r="F44" s="17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</row>
    <row r="45" spans="1:40" ht="14.25">
      <c r="A45" s="19"/>
      <c r="B45" s="17"/>
      <c r="C45" s="17"/>
      <c r="D45" s="17"/>
      <c r="E45" s="18"/>
      <c r="F45" s="17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</row>
    <row r="46" spans="1:40" ht="14.25">
      <c r="A46" s="19"/>
      <c r="B46" s="17"/>
      <c r="C46" s="17"/>
      <c r="D46" s="17"/>
      <c r="E46" s="18"/>
      <c r="F46" s="17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</row>
    <row r="47" spans="1:40" ht="14.25">
      <c r="A47" s="19"/>
      <c r="B47" s="17"/>
      <c r="C47" s="17"/>
      <c r="D47" s="17"/>
      <c r="E47" s="18"/>
      <c r="F47" s="17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</row>
    <row r="48" spans="1:40" ht="14.25">
      <c r="A48" s="19"/>
      <c r="B48" s="17"/>
      <c r="C48" s="17"/>
      <c r="D48" s="17"/>
      <c r="E48" s="18"/>
      <c r="F48" s="17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</row>
    <row r="49" spans="1:40" ht="14.25">
      <c r="A49" s="19"/>
      <c r="B49" s="17"/>
      <c r="C49" s="17"/>
      <c r="D49" s="17"/>
      <c r="E49" s="18"/>
      <c r="F49" s="17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</row>
    <row r="50" spans="1:40" ht="14.25">
      <c r="A50" s="19"/>
      <c r="B50" s="17"/>
      <c r="C50" s="17"/>
      <c r="D50" s="17"/>
      <c r="E50" s="18"/>
      <c r="F50" s="1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</row>
    <row r="51" spans="1:40" ht="14.25">
      <c r="A51" s="19"/>
      <c r="B51" s="17"/>
      <c r="C51" s="17"/>
      <c r="D51" s="17"/>
      <c r="E51" s="18"/>
      <c r="F51" s="17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spans="1:40" ht="14.25">
      <c r="A52" s="19"/>
      <c r="B52" s="17"/>
      <c r="C52" s="17"/>
      <c r="D52" s="17"/>
      <c r="E52" s="18"/>
      <c r="F52" s="17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</row>
    <row r="53" spans="1:40" ht="14.25">
      <c r="A53" s="19"/>
      <c r="B53" s="17"/>
      <c r="C53" s="17"/>
      <c r="D53" s="17"/>
      <c r="E53" s="18"/>
      <c r="F53" s="17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</row>
    <row r="54" spans="1:40" ht="14.25">
      <c r="A54" s="19"/>
      <c r="B54" s="17"/>
      <c r="C54" s="17"/>
      <c r="D54" s="17"/>
      <c r="E54" s="18"/>
      <c r="F54" s="17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</row>
    <row r="55" spans="1:40" ht="14.25">
      <c r="A55" s="19"/>
      <c r="B55" s="17"/>
      <c r="C55" s="17"/>
      <c r="D55" s="17"/>
      <c r="E55" s="18"/>
      <c r="F55" s="1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</row>
    <row r="56" spans="1:40" ht="14.25">
      <c r="A56" s="19"/>
      <c r="B56" s="17"/>
      <c r="C56" s="17"/>
      <c r="D56" s="17"/>
      <c r="E56" s="18"/>
      <c r="F56" s="17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</row>
    <row r="57" spans="1:40" ht="14.25">
      <c r="A57" s="19"/>
      <c r="B57" s="17"/>
      <c r="C57" s="17"/>
      <c r="D57" s="17"/>
      <c r="E57" s="18"/>
      <c r="F57" s="17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</row>
    <row r="58" spans="1:40" ht="14.25">
      <c r="A58" s="19"/>
      <c r="B58" s="17"/>
      <c r="C58" s="17"/>
      <c r="D58" s="17"/>
      <c r="E58" s="18"/>
      <c r="F58" s="1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</row>
    <row r="59" spans="1:40" ht="14.25">
      <c r="A59" s="19"/>
      <c r="B59" s="17"/>
      <c r="C59" s="17"/>
      <c r="D59" s="17"/>
      <c r="E59" s="18"/>
      <c r="F59" s="1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</row>
    <row r="60" spans="1:40" ht="14.25">
      <c r="A60" s="19"/>
      <c r="B60" s="17"/>
      <c r="C60" s="17"/>
      <c r="D60" s="17"/>
      <c r="E60" s="18"/>
      <c r="F60" s="1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</row>
    <row r="61" spans="1:40" ht="14.25">
      <c r="A61" s="19"/>
      <c r="B61" s="17"/>
      <c r="C61" s="17"/>
      <c r="D61" s="17"/>
      <c r="E61" s="18"/>
      <c r="F61" s="17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</row>
    <row r="62" spans="1:40" ht="14.25">
      <c r="A62" s="19"/>
      <c r="B62" s="17"/>
      <c r="C62" s="17"/>
      <c r="D62" s="17"/>
      <c r="E62" s="18"/>
      <c r="F62" s="1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</row>
    <row r="63" spans="1:40" ht="14.25">
      <c r="A63" s="19"/>
      <c r="B63" s="17"/>
      <c r="C63" s="17"/>
      <c r="D63" s="17"/>
      <c r="E63" s="18"/>
      <c r="F63" s="1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</row>
    <row r="64" spans="1:40" ht="14.25">
      <c r="A64" s="19"/>
      <c r="B64" s="17"/>
      <c r="C64" s="17"/>
      <c r="D64" s="17"/>
      <c r="E64" s="18"/>
      <c r="F64" s="1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</row>
    <row r="65" spans="1:40" ht="14.25">
      <c r="A65" s="19"/>
      <c r="B65" s="17"/>
      <c r="C65" s="17"/>
      <c r="D65" s="17"/>
      <c r="E65" s="18"/>
      <c r="F65" s="1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</row>
    <row r="66" spans="1:40" ht="14.25">
      <c r="A66" s="19"/>
      <c r="B66" s="17"/>
      <c r="C66" s="17"/>
      <c r="D66" s="17"/>
      <c r="E66" s="18"/>
      <c r="F66" s="17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</row>
    <row r="67" spans="1:40" ht="14.25">
      <c r="A67" s="19"/>
      <c r="B67" s="17"/>
      <c r="C67" s="17"/>
      <c r="D67" s="17"/>
      <c r="E67" s="18"/>
      <c r="F67" s="1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</row>
    <row r="68" spans="1:40" ht="14.25">
      <c r="A68" s="19"/>
      <c r="B68" s="17"/>
      <c r="C68" s="17"/>
      <c r="D68" s="17"/>
      <c r="E68" s="18"/>
      <c r="F68" s="17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</row>
    <row r="69" spans="1:40" ht="14.25">
      <c r="A69" s="19"/>
      <c r="B69" s="17"/>
      <c r="C69" s="17"/>
      <c r="D69" s="17"/>
      <c r="E69" s="18"/>
      <c r="F69" s="17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</row>
    <row r="70" spans="1:40" ht="14.25">
      <c r="A70" s="19"/>
      <c r="B70" s="17"/>
      <c r="C70" s="17"/>
      <c r="D70" s="17"/>
      <c r="E70" s="18"/>
      <c r="F70" s="1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</row>
    <row r="71" spans="1:40" ht="14.25">
      <c r="A71" s="19"/>
      <c r="B71" s="17"/>
      <c r="C71" s="17"/>
      <c r="D71" s="17"/>
      <c r="E71" s="18"/>
      <c r="F71" s="17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</row>
    <row r="72" spans="1:40" ht="14.25">
      <c r="A72" s="19"/>
      <c r="B72" s="17"/>
      <c r="C72" s="17"/>
      <c r="D72" s="17"/>
      <c r="E72" s="18"/>
      <c r="F72" s="17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</row>
    <row r="73" spans="1:40" ht="14.25">
      <c r="A73" s="19"/>
      <c r="B73" s="17"/>
      <c r="C73" s="17"/>
      <c r="D73" s="17"/>
      <c r="E73" s="18"/>
      <c r="F73" s="17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</row>
    <row r="74" spans="1:40" ht="14.25">
      <c r="A74" s="19"/>
      <c r="B74" s="17"/>
      <c r="C74" s="17"/>
      <c r="D74" s="17"/>
      <c r="E74" s="18"/>
      <c r="F74" s="17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</row>
    <row r="75" spans="1:40" hidden="1"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40" hidden="1">
      <c r="E76" s="16" t="str">
        <f>"Klimagassutslipp, referanse og budsjett, byggetrinn "&amp;F8</f>
        <v xml:space="preserve">Klimagassutslipp, referanse og budsjett, byggetrinn </v>
      </c>
      <c r="F76" s="16">
        <v>2022</v>
      </c>
      <c r="H76" s="16" t="s">
        <v>119</v>
      </c>
      <c r="I76" s="15"/>
      <c r="J76" s="15"/>
      <c r="L76" s="15"/>
      <c r="M76" s="15"/>
      <c r="N76" s="15"/>
      <c r="O76" s="15"/>
      <c r="P76" s="15"/>
      <c r="Q76" s="15"/>
      <c r="R76" s="15"/>
    </row>
    <row r="77" spans="1:40" hidden="1">
      <c r="E77" s="16"/>
      <c r="F77" s="16">
        <v>2023</v>
      </c>
      <c r="H77" s="16" t="s">
        <v>44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</row>
    <row r="78" spans="1:40" hidden="1">
      <c r="E78" s="16"/>
      <c r="F78" s="16">
        <v>2024</v>
      </c>
      <c r="H78" s="16" t="s">
        <v>45</v>
      </c>
      <c r="I78" s="15"/>
      <c r="J78" s="15"/>
      <c r="K78" s="15"/>
      <c r="L78" s="15"/>
      <c r="M78" s="15"/>
      <c r="N78" s="15"/>
      <c r="O78" s="15"/>
      <c r="P78" s="15"/>
      <c r="Q78" s="15"/>
      <c r="R78" s="15"/>
    </row>
    <row r="79" spans="1:40" hidden="1">
      <c r="E79" s="16"/>
      <c r="F79" s="16">
        <v>2025</v>
      </c>
      <c r="H79" s="16" t="s">
        <v>46</v>
      </c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1:40" hidden="1">
      <c r="E80" s="16"/>
      <c r="F80" s="16">
        <v>2026</v>
      </c>
      <c r="H80" s="16" t="s">
        <v>10</v>
      </c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5:18" hidden="1">
      <c r="E81" s="16"/>
      <c r="F81" s="16">
        <v>2027</v>
      </c>
      <c r="H81" s="16" t="s">
        <v>47</v>
      </c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5:18" hidden="1">
      <c r="E82" s="16"/>
      <c r="F82" s="16">
        <v>2028</v>
      </c>
      <c r="H82" s="16" t="s">
        <v>48</v>
      </c>
      <c r="I82" s="15"/>
      <c r="J82" s="15"/>
      <c r="K82" s="15"/>
      <c r="L82" s="15"/>
      <c r="M82" s="15"/>
      <c r="N82" s="15"/>
      <c r="O82" s="15"/>
      <c r="P82" s="15"/>
      <c r="Q82" s="15"/>
      <c r="R82" s="15"/>
    </row>
    <row r="83" spans="5:18" hidden="1">
      <c r="E83" s="16" t="s">
        <v>126</v>
      </c>
      <c r="F83" s="16">
        <v>2029</v>
      </c>
      <c r="I83" s="15"/>
      <c r="J83" s="15"/>
      <c r="K83" s="15"/>
      <c r="L83" s="15"/>
      <c r="M83" s="15"/>
      <c r="N83" s="15"/>
      <c r="O83" s="15"/>
      <c r="P83" s="15"/>
      <c r="Q83" s="15"/>
      <c r="R83" s="15"/>
    </row>
    <row r="84" spans="5:18" hidden="1">
      <c r="E84" s="16">
        <v>2</v>
      </c>
      <c r="F84" s="16">
        <v>2030</v>
      </c>
      <c r="I84" s="15"/>
      <c r="J84" s="15"/>
      <c r="K84" s="15"/>
      <c r="L84" s="15"/>
      <c r="M84" s="15"/>
      <c r="N84" s="15"/>
      <c r="O84" s="15"/>
      <c r="P84" s="15"/>
      <c r="Q84" s="15"/>
      <c r="R84" s="15"/>
    </row>
    <row r="85" spans="5:18" hidden="1">
      <c r="E85" s="16">
        <v>3</v>
      </c>
      <c r="F85" s="16">
        <v>2031</v>
      </c>
      <c r="I85" s="15"/>
      <c r="J85" s="15"/>
      <c r="K85" s="15"/>
      <c r="L85" s="15"/>
      <c r="M85" s="15"/>
      <c r="N85" s="15"/>
      <c r="O85" s="15"/>
      <c r="P85" s="15"/>
      <c r="Q85" s="15"/>
      <c r="R85" s="15"/>
    </row>
    <row r="86" spans="5:18" hidden="1">
      <c r="E86" s="16">
        <v>4</v>
      </c>
      <c r="F86" s="16">
        <v>2032</v>
      </c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5:18" hidden="1">
      <c r="E87" s="16"/>
      <c r="F87" s="16">
        <v>2033</v>
      </c>
      <c r="I87" s="15"/>
      <c r="J87" s="15"/>
      <c r="K87" s="15"/>
      <c r="L87" s="15"/>
      <c r="M87" s="15"/>
      <c r="N87" s="15"/>
      <c r="O87" s="15"/>
      <c r="P87" s="15"/>
      <c r="Q87" s="15"/>
      <c r="R87" s="15"/>
    </row>
    <row r="88" spans="5:18" hidden="1">
      <c r="E88" s="16">
        <v>1</v>
      </c>
      <c r="F88" s="16">
        <v>2034</v>
      </c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5:18" hidden="1">
      <c r="E89" s="16">
        <v>2</v>
      </c>
      <c r="F89" s="16">
        <v>2035</v>
      </c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5:18" hidden="1">
      <c r="E90" s="16">
        <v>3</v>
      </c>
      <c r="F90" s="16">
        <v>2036</v>
      </c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5:18" hidden="1">
      <c r="E91" s="16">
        <v>4</v>
      </c>
      <c r="F91" s="16">
        <v>2037</v>
      </c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5:18" hidden="1">
      <c r="E92" s="16">
        <v>5</v>
      </c>
      <c r="F92" s="16">
        <v>2038</v>
      </c>
      <c r="I92" s="15"/>
      <c r="J92" s="15"/>
      <c r="K92" s="15"/>
      <c r="L92" s="15"/>
      <c r="M92" s="15"/>
      <c r="N92" s="15"/>
      <c r="O92" s="15"/>
      <c r="P92" s="15"/>
      <c r="Q92" s="15"/>
      <c r="R92" s="15"/>
    </row>
    <row r="93" spans="5:18" hidden="1">
      <c r="E93" s="16"/>
      <c r="F93" s="16">
        <v>2039</v>
      </c>
      <c r="I93" s="15"/>
      <c r="J93" s="15"/>
      <c r="K93" s="15"/>
      <c r="L93" s="15"/>
      <c r="M93" s="15"/>
      <c r="N93" s="15"/>
      <c r="O93" s="15"/>
      <c r="P93" s="15"/>
      <c r="Q93" s="15"/>
      <c r="R93" s="15"/>
    </row>
    <row r="94" spans="5:18" hidden="1">
      <c r="E94" s="16"/>
      <c r="F94" s="16">
        <v>2040</v>
      </c>
      <c r="I94" s="15"/>
      <c r="J94" s="15"/>
      <c r="K94" s="15"/>
      <c r="L94" s="15"/>
      <c r="M94" s="15"/>
      <c r="N94" s="15"/>
      <c r="O94" s="15"/>
      <c r="P94" s="15"/>
      <c r="Q94" s="15"/>
      <c r="R94" s="15"/>
    </row>
    <row r="95" spans="5:18" hidden="1">
      <c r="E95" s="16"/>
      <c r="F95" s="16">
        <v>2041</v>
      </c>
      <c r="I95" s="15"/>
      <c r="J95" s="15"/>
      <c r="K95" s="15"/>
      <c r="L95" s="15"/>
      <c r="M95" s="15"/>
      <c r="N95" s="15"/>
      <c r="O95" s="15"/>
      <c r="P95" s="15"/>
      <c r="Q95" s="15"/>
      <c r="R95" s="15"/>
    </row>
    <row r="96" spans="5:18" hidden="1">
      <c r="E96" s="16"/>
      <c r="F96" s="16">
        <v>2042</v>
      </c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5:18" hidden="1">
      <c r="E97" s="16"/>
      <c r="F97" s="16">
        <v>2043</v>
      </c>
      <c r="I97" s="15"/>
      <c r="J97" s="15"/>
      <c r="K97" s="15"/>
      <c r="L97" s="15"/>
      <c r="M97" s="15"/>
      <c r="N97" s="15"/>
      <c r="O97" s="15"/>
      <c r="P97" s="15"/>
      <c r="Q97" s="15"/>
      <c r="R97" s="15"/>
    </row>
    <row r="98" spans="5:18" hidden="1">
      <c r="E98" s="16"/>
      <c r="F98" s="16">
        <v>2044</v>
      </c>
      <c r="I98" s="15"/>
      <c r="J98" s="15"/>
      <c r="K98" s="15"/>
      <c r="L98" s="15"/>
      <c r="M98" s="15"/>
      <c r="N98" s="15"/>
      <c r="O98" s="15"/>
      <c r="P98" s="15"/>
      <c r="Q98" s="15"/>
      <c r="R98" s="15"/>
    </row>
    <row r="99" spans="5:18" hidden="1">
      <c r="E99" s="16"/>
      <c r="F99" s="16">
        <v>2045</v>
      </c>
      <c r="I99" s="15"/>
      <c r="J99" s="15"/>
      <c r="K99" s="15"/>
      <c r="L99" s="15"/>
      <c r="M99" s="15"/>
      <c r="N99" s="15"/>
      <c r="O99" s="15"/>
      <c r="P99" s="15"/>
      <c r="Q99" s="15"/>
      <c r="R99" s="15"/>
    </row>
    <row r="100" spans="5:18" hidden="1">
      <c r="E100" s="16"/>
      <c r="F100" s="16">
        <v>2046</v>
      </c>
      <c r="I100" s="15"/>
      <c r="J100" s="15"/>
      <c r="K100" s="15"/>
      <c r="L100" s="15"/>
      <c r="M100" s="15"/>
      <c r="N100" s="15"/>
      <c r="O100" s="15"/>
      <c r="P100" s="15"/>
      <c r="Q100" s="15"/>
      <c r="R100" s="15"/>
    </row>
    <row r="101" spans="5:18" hidden="1">
      <c r="E101" s="16"/>
      <c r="F101" s="16">
        <v>2047</v>
      </c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5:18" hidden="1">
      <c r="E102" s="16"/>
      <c r="F102" s="16">
        <v>2048</v>
      </c>
      <c r="I102" s="15"/>
      <c r="J102" s="15"/>
      <c r="K102" s="15"/>
      <c r="L102" s="15"/>
      <c r="M102" s="15"/>
      <c r="N102" s="15"/>
      <c r="O102" s="15"/>
      <c r="P102" s="15"/>
      <c r="Q102" s="15"/>
      <c r="R102" s="15"/>
    </row>
    <row r="103" spans="5:18" hidden="1">
      <c r="E103" s="16"/>
      <c r="F103" s="16">
        <v>2049</v>
      </c>
      <c r="I103" s="15"/>
      <c r="J103" s="15"/>
      <c r="K103" s="15"/>
      <c r="L103" s="15"/>
      <c r="M103" s="15"/>
      <c r="N103" s="15"/>
      <c r="O103" s="15"/>
      <c r="P103" s="15"/>
      <c r="Q103" s="15"/>
      <c r="R103" s="15"/>
    </row>
    <row r="104" spans="5:18" hidden="1">
      <c r="E104" s="16"/>
      <c r="F104" s="16">
        <v>2050</v>
      </c>
      <c r="G104" s="16"/>
      <c r="H104" s="16"/>
      <c r="I104" s="15"/>
      <c r="J104" s="15"/>
      <c r="K104" s="15"/>
      <c r="L104" s="15"/>
      <c r="M104" s="15"/>
      <c r="N104" s="15"/>
      <c r="O104" s="15"/>
      <c r="P104" s="15"/>
      <c r="Q104" s="15"/>
      <c r="R104" s="15"/>
    </row>
    <row r="105" spans="5:18" hidden="1">
      <c r="E105" s="16"/>
      <c r="F105" s="16"/>
      <c r="G105" s="16"/>
      <c r="H105" s="24"/>
      <c r="I105" s="15"/>
      <c r="J105" s="15"/>
      <c r="K105" s="15"/>
      <c r="L105" s="15"/>
      <c r="M105" s="15"/>
      <c r="N105" s="15"/>
      <c r="O105" s="15"/>
      <c r="P105" s="15"/>
      <c r="Q105" s="15"/>
      <c r="R105" s="15"/>
    </row>
    <row r="106" spans="5:18">
      <c r="E106" s="93"/>
      <c r="F106" s="24"/>
      <c r="G106" s="16"/>
      <c r="H106" s="16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5:18">
      <c r="E107" s="93"/>
      <c r="F107" s="24"/>
      <c r="G107" s="93"/>
      <c r="H107" s="94"/>
      <c r="I107" s="15"/>
      <c r="J107" s="15"/>
      <c r="K107" s="15"/>
      <c r="L107" s="15"/>
      <c r="M107" s="15"/>
      <c r="N107" s="15"/>
      <c r="O107" s="15"/>
      <c r="P107" s="15"/>
      <c r="Q107" s="15"/>
      <c r="R107" s="15"/>
    </row>
    <row r="108" spans="5:18">
      <c r="E108" s="93"/>
      <c r="F108" s="24"/>
      <c r="G108" s="93"/>
      <c r="H108" s="93"/>
      <c r="I108" s="15"/>
      <c r="J108" s="15"/>
      <c r="K108" s="15"/>
      <c r="L108" s="15"/>
      <c r="M108" s="15"/>
      <c r="N108" s="15"/>
      <c r="O108" s="15"/>
      <c r="P108" s="15"/>
      <c r="Q108" s="15"/>
      <c r="R108" s="15"/>
    </row>
    <row r="109" spans="5:18">
      <c r="E109" s="93"/>
      <c r="F109" s="24"/>
      <c r="G109" s="16"/>
      <c r="H109" s="94"/>
      <c r="I109" s="15"/>
      <c r="J109" s="15"/>
      <c r="K109" s="15"/>
      <c r="L109" s="15"/>
      <c r="M109" s="15"/>
      <c r="N109" s="15"/>
      <c r="O109" s="15"/>
      <c r="P109" s="15"/>
      <c r="Q109" s="15"/>
      <c r="R109" s="15"/>
    </row>
    <row r="110" spans="5:18">
      <c r="E110" s="93"/>
      <c r="F110" s="24"/>
      <c r="G110" s="16"/>
      <c r="H110" s="93"/>
      <c r="I110" s="15"/>
      <c r="J110" s="15"/>
      <c r="K110" s="15"/>
      <c r="L110" s="15"/>
      <c r="M110" s="15"/>
      <c r="N110" s="15"/>
      <c r="O110" s="15"/>
      <c r="P110" s="15"/>
      <c r="Q110" s="15"/>
      <c r="R110" s="15"/>
    </row>
    <row r="111" spans="5:18">
      <c r="E111" s="93"/>
      <c r="F111" s="24"/>
      <c r="G111" s="16"/>
      <c r="H111" s="94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5:18">
      <c r="E112" s="93"/>
      <c r="F112" s="24"/>
      <c r="G112" s="93"/>
      <c r="H112" s="16"/>
      <c r="I112" s="15"/>
      <c r="J112" s="15"/>
      <c r="K112" s="15"/>
      <c r="L112" s="15"/>
      <c r="M112" s="15"/>
      <c r="N112" s="15"/>
      <c r="O112" s="15"/>
      <c r="P112" s="15"/>
      <c r="Q112" s="15"/>
      <c r="R112" s="15"/>
    </row>
    <row r="113" spans="5:18">
      <c r="E113" s="93"/>
      <c r="F113" s="24"/>
      <c r="G113" s="93"/>
      <c r="H113" s="94"/>
      <c r="I113" s="15"/>
      <c r="J113" s="15"/>
      <c r="K113" s="15"/>
      <c r="L113" s="15"/>
      <c r="M113" s="15"/>
      <c r="N113" s="15"/>
      <c r="O113" s="15"/>
      <c r="P113" s="15"/>
      <c r="Q113" s="15"/>
      <c r="R113" s="15"/>
    </row>
    <row r="114" spans="5:18">
      <c r="H114" s="16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5:18">
      <c r="E115" s="93"/>
      <c r="F115" s="24"/>
      <c r="G115" s="16"/>
      <c r="H115" s="16"/>
    </row>
    <row r="116" spans="5:18">
      <c r="E116" s="93"/>
      <c r="F116" s="24"/>
      <c r="G116" s="16"/>
      <c r="H116" s="94"/>
    </row>
    <row r="118" spans="5:18">
      <c r="E118" s="15"/>
    </row>
    <row r="119" spans="5:18">
      <c r="E119" s="15"/>
    </row>
    <row r="120" spans="5:18">
      <c r="E120" s="15"/>
    </row>
    <row r="121" spans="5:18">
      <c r="E121" s="15"/>
    </row>
    <row r="122" spans="5:18">
      <c r="E122" s="15"/>
    </row>
    <row r="123" spans="5:18">
      <c r="E123" s="15"/>
    </row>
  </sheetData>
  <sheetProtection algorithmName="SHA-512" hashValue="PzsmeCsVpqHVi0s4TLW2TDGK9pNipp/6pEPa7IVrZsWGSd6N8HeE58ii2GWN2NeKA6mIrZsQ6yeuxphbzR3rBg==" saltValue="dkOH7KYq+78vgwErZej9Yg==" spinCount="100000" sheet="1" objects="1" scenarios="1"/>
  <protectedRanges>
    <protectedRange sqref="F6:F13" name="Range1"/>
  </protectedRanges>
  <mergeCells count="1">
    <mergeCell ref="C18:M20"/>
  </mergeCells>
  <phoneticPr fontId="23" type="noConversion"/>
  <dataValidations count="4">
    <dataValidation type="list" allowBlank="1" showInputMessage="1" showErrorMessage="1" sqref="F11" xr:uid="{6B3DD6B0-AB79-4768-BA33-5300C6C1F575}">
      <formula1>$H$77:$H$82</formula1>
    </dataValidation>
    <dataValidation type="list" allowBlank="1" showInputMessage="1" showErrorMessage="1" sqref="F13" xr:uid="{5AFF6C6D-C9A5-4F7A-9545-A5CD8A66E0C2}">
      <formula1>$E$83:$E$86</formula1>
    </dataValidation>
    <dataValidation type="list" allowBlank="1" showInputMessage="1" showErrorMessage="1" sqref="F7" xr:uid="{93E42947-D8B9-4A64-A577-AD4837C583EA}">
      <formula1>$E$88:$E$92</formula1>
    </dataValidation>
    <dataValidation type="list" allowBlank="1" showInputMessage="1" showErrorMessage="1" sqref="F9:F10" xr:uid="{428AC0D4-707B-4142-A791-BEB04070D45A}">
      <formula1>$F$76:$F$104</formula1>
    </dataValidation>
  </dataValidations>
  <pageMargins left="0.7" right="0.7" top="0.75" bottom="0.75" header="0.3" footer="0.3"/>
  <pageSetup paperSize="9" orientation="portrait" r:id="rId1"/>
  <headerFooter>
    <oddFooter>&amp;C_x000D_&amp;1#&amp;"Verdana"&amp;7&amp;K000000 Confidential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82F1AA-AC62-4A36-81C4-63A1B4C13DFF}">
          <x14:formula1>
            <xm:f>'Bygningsmasse og transport'!$F$190:$F$212</xm:f>
          </x14:formula1>
          <xm:sqref>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2C16-4C33-4CB3-A2D6-D1D7AC483085}">
  <sheetPr>
    <tabColor theme="3"/>
  </sheetPr>
  <dimension ref="A1:AN135"/>
  <sheetViews>
    <sheetView zoomScale="90" zoomScaleNormal="90" workbookViewId="0">
      <selection activeCell="D19" sqref="D19"/>
    </sheetView>
  </sheetViews>
  <sheetFormatPr defaultRowHeight="12.75"/>
  <cols>
    <col min="1" max="1" width="17.140625" customWidth="1"/>
    <col min="2" max="2" width="9.140625" customWidth="1"/>
    <col min="3" max="3" width="19.7109375" customWidth="1"/>
    <col min="4" max="4" width="11" customWidth="1"/>
    <col min="5" max="5" width="10.28515625" customWidth="1"/>
    <col min="6" max="6" width="25.5703125" customWidth="1"/>
    <col min="7" max="7" width="21.42578125" customWidth="1"/>
    <col min="8" max="8" width="20.140625" customWidth="1"/>
    <col min="9" max="9" width="9.140625" customWidth="1"/>
  </cols>
  <sheetData>
    <row r="1" spans="1:40">
      <c r="A1" s="19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40">
      <c r="A2" s="1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1:40" ht="20.25">
      <c r="A3" s="19"/>
      <c r="B3" s="17"/>
      <c r="C3" s="51" t="str">
        <f>"Klimagassutslipp, byggetrinn "&amp;'Nøkkelinfo og veiledning'!F8</f>
        <v xml:space="preserve">Klimagassutslipp, byggetrinn 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1:40">
      <c r="A4" s="19"/>
      <c r="B4" s="17"/>
      <c r="C4" s="17"/>
      <c r="D4" s="17"/>
      <c r="E4" s="17"/>
      <c r="F4" s="17"/>
      <c r="G4" s="17"/>
      <c r="H4" s="17"/>
      <c r="I4" s="14"/>
      <c r="J4" s="17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40" ht="21" customHeight="1">
      <c r="A5" s="19"/>
      <c r="B5" s="17"/>
      <c r="C5" s="17"/>
      <c r="D5" s="17"/>
      <c r="E5" s="17"/>
      <c r="F5" s="193" t="s">
        <v>392</v>
      </c>
      <c r="G5" s="194"/>
      <c r="H5" s="195"/>
      <c r="I5" s="14"/>
      <c r="J5" s="17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 spans="1:40" ht="31.5" customHeight="1">
      <c r="A6" s="19"/>
      <c r="B6" s="17"/>
      <c r="C6" s="17"/>
      <c r="D6" s="17"/>
      <c r="E6" s="62"/>
      <c r="F6" s="79" t="s">
        <v>1</v>
      </c>
      <c r="G6" s="80" t="s">
        <v>254</v>
      </c>
      <c r="H6" s="81" t="s">
        <v>255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</row>
    <row r="7" spans="1:40" ht="14.25">
      <c r="A7" s="19"/>
      <c r="B7" s="17"/>
      <c r="C7" s="17"/>
      <c r="D7" s="17"/>
      <c r="E7" s="22" t="s">
        <v>243</v>
      </c>
      <c r="F7" s="96" t="e">
        <f>'Bygningsmasse og transport'!G132</f>
        <v>#N/A</v>
      </c>
      <c r="G7" s="152" t="e">
        <f>-'Bygningsmasse og transport'!I132</f>
        <v>#N/A</v>
      </c>
      <c r="H7" s="96" t="e">
        <f>'Bygningsmasse og transport'!H132</f>
        <v>#N/A</v>
      </c>
      <c r="I7" s="62"/>
      <c r="J7" s="62"/>
      <c r="K7" s="62"/>
      <c r="L7" s="62"/>
      <c r="M7" s="62"/>
      <c r="N7" s="62"/>
      <c r="O7" s="62"/>
      <c r="P7" s="62"/>
      <c r="Q7" s="62"/>
      <c r="R7" s="62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</row>
    <row r="8" spans="1:40" ht="14.25">
      <c r="A8" s="19"/>
      <c r="B8" s="17"/>
      <c r="C8" s="17"/>
      <c r="D8" s="17"/>
      <c r="E8" s="22" t="s">
        <v>3</v>
      </c>
      <c r="F8" s="96">
        <f>Infrastruktur!I72</f>
        <v>0</v>
      </c>
      <c r="G8" s="152">
        <f>Infrastruktur!K72</f>
        <v>0</v>
      </c>
      <c r="H8" s="96">
        <f>Infrastruktur!J72</f>
        <v>0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</row>
    <row r="9" spans="1:40" ht="14.25">
      <c r="A9" s="19"/>
      <c r="B9" s="17"/>
      <c r="C9" s="17"/>
      <c r="D9" s="17"/>
      <c r="E9" s="22" t="s">
        <v>4</v>
      </c>
      <c r="F9" s="97">
        <f>Landskap!I40</f>
        <v>0</v>
      </c>
      <c r="G9" s="153">
        <f>Landskap!K40</f>
        <v>0</v>
      </c>
      <c r="H9" s="97">
        <f>Landskap!J40</f>
        <v>0</v>
      </c>
      <c r="I9" s="62"/>
      <c r="J9" s="62"/>
      <c r="K9" s="62"/>
      <c r="L9" s="62"/>
      <c r="M9" s="62"/>
      <c r="N9" s="62"/>
      <c r="O9" s="62"/>
      <c r="P9" s="62"/>
      <c r="Q9" s="62"/>
      <c r="R9" s="62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1:40" ht="14.25">
      <c r="A10" s="19"/>
      <c r="B10" s="17"/>
      <c r="C10" s="17"/>
      <c r="D10" s="17"/>
      <c r="E10" s="95" t="str">
        <f>"SUM, byggetrinn "&amp;'Nøkkelinfo og veiledning'!F8&amp;", ekskl. transport i drift"</f>
        <v>SUM, byggetrinn , ekskl. transport i drift</v>
      </c>
      <c r="F10" s="98" t="e">
        <f>SUM(F7:F9)</f>
        <v>#N/A</v>
      </c>
      <c r="G10" s="154" t="e">
        <f>-(1-H10/F10)</f>
        <v>#N/A</v>
      </c>
      <c r="H10" s="98" t="e">
        <f>SUM(H7:H9)</f>
        <v>#N/A</v>
      </c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1:40" ht="14.25">
      <c r="A11" s="19"/>
      <c r="B11" s="17"/>
      <c r="C11" s="17"/>
      <c r="D11" s="17"/>
      <c r="E11" s="22" t="s">
        <v>257</v>
      </c>
      <c r="F11" s="96">
        <f>'Bygningsmasse og transport'!G133</f>
        <v>0</v>
      </c>
      <c r="G11" s="155">
        <f>-'Bygningsmasse og transport'!I133</f>
        <v>0</v>
      </c>
      <c r="H11" s="97">
        <f>'Bygningsmasse og transport'!H133</f>
        <v>0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</row>
    <row r="12" spans="1:40" ht="14.25">
      <c r="A12" s="19"/>
      <c r="B12" s="17"/>
      <c r="C12" s="17"/>
      <c r="D12" s="17"/>
      <c r="E12" s="95" t="str">
        <f>"SUM, byggetrinn "&amp;'Nøkkelinfo og veiledning'!F8&amp;", inkl. transport i drift, beregnet"</f>
        <v>SUM, byggetrinn , inkl. transport i drift, beregnet</v>
      </c>
      <c r="F12" s="98" t="e">
        <f>SUM(F7:F9,F11)</f>
        <v>#N/A</v>
      </c>
      <c r="G12" s="154" t="e">
        <f>-(1-H12/F12)</f>
        <v>#N/A</v>
      </c>
      <c r="H12" s="98" t="e">
        <f>SUM(H7:H9,H11)</f>
        <v>#N/A</v>
      </c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</row>
    <row r="13" spans="1:40" ht="14.25">
      <c r="A13" s="19"/>
      <c r="B13" s="17"/>
      <c r="C13" s="17"/>
      <c r="D13" s="17"/>
      <c r="E13" s="22" t="s">
        <v>328</v>
      </c>
      <c r="F13" s="99">
        <f>F11</f>
        <v>0</v>
      </c>
      <c r="G13" s="152">
        <f>G11*0.5</f>
        <v>0</v>
      </c>
      <c r="H13" s="100">
        <f>-F13*G13</f>
        <v>0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</row>
    <row r="14" spans="1:40" ht="14.25">
      <c r="A14" s="19"/>
      <c r="B14" s="17"/>
      <c r="C14" s="17"/>
      <c r="D14" s="17"/>
      <c r="E14" s="95" t="str">
        <f>"SUM, byggetrinn "&amp;'Nøkkelinfo og veiledning'!F8&amp;", inkl. transport i drift iht. ZERO-T"</f>
        <v>SUM, byggetrinn , inkl. transport i drift iht. ZERO-T</v>
      </c>
      <c r="F14" s="98" t="e">
        <f>SUM(F7:F9,F13)</f>
        <v>#N/A</v>
      </c>
      <c r="G14" s="154" t="e">
        <f>-(1-H14/F14)</f>
        <v>#N/A</v>
      </c>
      <c r="H14" s="98" t="e">
        <f>SUM(H7:H9,H13)</f>
        <v>#N/A</v>
      </c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</row>
    <row r="15" spans="1:40" ht="14.25">
      <c r="A15" s="19"/>
      <c r="B15" s="17"/>
      <c r="C15" s="17"/>
      <c r="D15" s="17"/>
      <c r="E15" s="62"/>
      <c r="F15" s="17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</row>
    <row r="16" spans="1:40" ht="14.25">
      <c r="A16" s="19"/>
      <c r="B16" s="17"/>
      <c r="C16" s="17"/>
      <c r="D16" s="17"/>
      <c r="E16" s="62"/>
      <c r="F16" s="17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1:40" ht="20.25">
      <c r="A17" s="19"/>
      <c r="B17" s="17"/>
      <c r="C17" s="51" t="s">
        <v>270</v>
      </c>
      <c r="D17" s="17"/>
      <c r="E17" s="62"/>
      <c r="F17" s="193" t="s">
        <v>392</v>
      </c>
      <c r="G17" s="194"/>
      <c r="H17" s="195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1:40" ht="25.5">
      <c r="A18" s="19"/>
      <c r="B18" s="17"/>
      <c r="C18" s="17"/>
      <c r="D18" s="102" t="s">
        <v>308</v>
      </c>
      <c r="E18" s="102" t="s">
        <v>309</v>
      </c>
      <c r="F18" s="79" t="s">
        <v>1</v>
      </c>
      <c r="G18" s="80" t="s">
        <v>254</v>
      </c>
      <c r="H18" s="81" t="s">
        <v>255</v>
      </c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1:40" ht="14.25">
      <c r="A19" s="19"/>
      <c r="B19" s="17"/>
      <c r="C19" s="22" t="s">
        <v>271</v>
      </c>
      <c r="D19" s="16"/>
      <c r="E19" s="16"/>
      <c r="F19" s="141"/>
      <c r="G19" s="156" t="e">
        <f>G10</f>
        <v>#N/A</v>
      </c>
      <c r="H19" s="142" t="e">
        <f>H10</f>
        <v>#N/A</v>
      </c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1:40" ht="14.25">
      <c r="A20" s="19"/>
      <c r="B20" s="17"/>
      <c r="C20" s="22" t="s">
        <v>272</v>
      </c>
      <c r="D20" s="16">
        <v>2027</v>
      </c>
      <c r="E20" s="16">
        <v>2029</v>
      </c>
      <c r="F20" s="16"/>
      <c r="G20" s="156"/>
      <c r="H20" s="93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</row>
    <row r="21" spans="1:40" ht="14.25">
      <c r="A21" s="19"/>
      <c r="B21" s="17"/>
      <c r="C21" s="22" t="s">
        <v>273</v>
      </c>
      <c r="D21" s="16">
        <v>2030</v>
      </c>
      <c r="E21" s="16">
        <v>2033</v>
      </c>
      <c r="F21" s="16"/>
      <c r="G21" s="156"/>
      <c r="H21" s="93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1:40" ht="14.25">
      <c r="A22" s="19"/>
      <c r="B22" s="17"/>
      <c r="C22" s="22" t="s">
        <v>274</v>
      </c>
      <c r="D22" s="16">
        <v>2034</v>
      </c>
      <c r="E22" s="16">
        <v>2036</v>
      </c>
      <c r="F22" s="16"/>
      <c r="G22" s="156"/>
      <c r="H22" s="93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1:40" ht="14.25">
      <c r="A23" s="19"/>
      <c r="B23" s="17"/>
      <c r="C23" s="22" t="s">
        <v>275</v>
      </c>
      <c r="D23" s="16">
        <v>2037</v>
      </c>
      <c r="E23" s="16"/>
      <c r="F23" s="16"/>
      <c r="G23" s="156"/>
      <c r="H23" s="93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1:40" ht="14.25">
      <c r="A24" s="19"/>
      <c r="B24" s="17"/>
      <c r="C24" s="17"/>
      <c r="D24" s="55"/>
      <c r="E24" s="112" t="s">
        <v>291</v>
      </c>
      <c r="F24" s="143">
        <f>SUM(F19:F23)</f>
        <v>0</v>
      </c>
      <c r="G24" s="157">
        <f>IFERROR(-(1-H24/F24),0)</f>
        <v>0</v>
      </c>
      <c r="H24" s="143" t="e">
        <f>SUM(H19:H23)</f>
        <v>#N/A</v>
      </c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</row>
    <row r="25" spans="1:40" ht="14.25">
      <c r="A25" s="19"/>
      <c r="B25" s="17"/>
      <c r="C25" s="17"/>
      <c r="D25" s="17"/>
      <c r="E25" s="18"/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1:40" ht="14.25">
      <c r="A26" s="19"/>
      <c r="B26" s="17"/>
      <c r="C26" s="17"/>
      <c r="D26" s="17"/>
      <c r="E26" s="18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1:40" ht="14.25">
      <c r="A27" s="19"/>
      <c r="B27" s="17"/>
      <c r="C27" s="17"/>
      <c r="D27" s="17"/>
      <c r="E27" s="18"/>
      <c r="F27" s="17"/>
      <c r="G27" s="18"/>
      <c r="H27" s="18"/>
      <c r="I27" s="17" t="s">
        <v>425</v>
      </c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14.25">
      <c r="A28" s="19"/>
      <c r="B28" s="17"/>
      <c r="C28" s="17"/>
      <c r="D28" s="17"/>
      <c r="E28" s="18"/>
      <c r="F28" s="17"/>
      <c r="G28" s="18"/>
      <c r="H28" s="18"/>
      <c r="I28" s="62" t="s">
        <v>424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spans="1:40" ht="14.25">
      <c r="A29" s="19"/>
      <c r="B29" s="17"/>
      <c r="C29" s="17"/>
      <c r="D29" s="17"/>
      <c r="E29" s="18"/>
      <c r="F29" s="17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1:40" ht="14.25">
      <c r="A30" s="19"/>
      <c r="B30" s="17"/>
      <c r="C30" s="17"/>
      <c r="D30" s="17"/>
      <c r="E30" s="18"/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</row>
    <row r="31" spans="1:40" ht="14.25">
      <c r="A31" s="19"/>
      <c r="B31" s="17"/>
      <c r="C31" s="17"/>
      <c r="D31" s="17"/>
      <c r="E31" s="18"/>
      <c r="F31" s="17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1:40" ht="14.25">
      <c r="A32" s="19"/>
      <c r="B32" s="17"/>
      <c r="C32" s="17"/>
      <c r="D32" s="17"/>
      <c r="E32" s="18"/>
      <c r="F32" s="17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</row>
    <row r="33" spans="1:40" ht="14.25">
      <c r="A33" s="19"/>
      <c r="B33" s="17"/>
      <c r="C33" s="17"/>
      <c r="D33" s="17"/>
      <c r="E33" s="18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1:40" ht="14.25">
      <c r="A34" s="19"/>
      <c r="B34" s="17"/>
      <c r="C34" s="17"/>
      <c r="D34" s="17"/>
      <c r="E34" s="18"/>
      <c r="F34" s="17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</row>
    <row r="35" spans="1:40" ht="14.25">
      <c r="A35" s="19"/>
      <c r="B35" s="17"/>
      <c r="C35" s="17"/>
      <c r="D35" s="17"/>
      <c r="E35" s="18"/>
      <c r="F35" s="17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1:40" ht="14.25">
      <c r="A36" s="19"/>
      <c r="B36" s="17"/>
      <c r="C36" s="17"/>
      <c r="D36" s="17"/>
      <c r="E36" s="18"/>
      <c r="F36" s="17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</row>
    <row r="37" spans="1:40" ht="14.25">
      <c r="A37" s="19"/>
      <c r="B37" s="17"/>
      <c r="C37" s="17"/>
      <c r="D37" s="17"/>
      <c r="E37" s="18"/>
      <c r="F37" s="17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</row>
    <row r="38" spans="1:40" ht="14.25">
      <c r="A38" s="19"/>
      <c r="B38" s="17"/>
      <c r="C38" s="17"/>
      <c r="D38" s="17"/>
      <c r="E38" s="18"/>
      <c r="F38" s="17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</row>
    <row r="39" spans="1:40" ht="14.25">
      <c r="A39" s="19"/>
      <c r="B39" s="17"/>
      <c r="C39" s="17"/>
      <c r="D39" s="17"/>
      <c r="E39" s="18"/>
      <c r="F39" s="17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</row>
    <row r="40" spans="1:40" ht="14.25">
      <c r="A40" s="19"/>
      <c r="B40" s="17"/>
      <c r="C40" s="17"/>
      <c r="D40" s="17"/>
      <c r="E40" s="18"/>
      <c r="F40" s="17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</row>
    <row r="41" spans="1:40" ht="14.25">
      <c r="A41" s="19"/>
      <c r="B41" s="17"/>
      <c r="C41" s="17"/>
      <c r="D41" s="17"/>
      <c r="E41" s="18"/>
      <c r="F41" s="17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</row>
    <row r="42" spans="1:40" ht="14.25">
      <c r="A42" s="19"/>
      <c r="B42" s="17"/>
      <c r="C42" s="17"/>
      <c r="D42" s="17"/>
      <c r="E42" s="18"/>
      <c r="F42" s="17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</row>
    <row r="43" spans="1:40" ht="14.25">
      <c r="A43" s="19"/>
      <c r="B43" s="17"/>
      <c r="C43" s="17"/>
      <c r="D43" s="17"/>
      <c r="E43" s="18"/>
      <c r="F43" s="17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</row>
    <row r="44" spans="1:40" ht="14.25">
      <c r="A44" s="19"/>
      <c r="B44" s="17"/>
      <c r="C44" s="17"/>
      <c r="D44" s="17"/>
      <c r="E44" s="18"/>
      <c r="F44" s="17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</row>
    <row r="45" spans="1:40" ht="14.25">
      <c r="A45" s="19"/>
      <c r="B45" s="17"/>
      <c r="C45" s="17"/>
      <c r="D45" s="17"/>
      <c r="E45" s="18"/>
      <c r="F45" s="17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</row>
    <row r="46" spans="1:40" ht="14.25">
      <c r="A46" s="19"/>
      <c r="B46" s="17"/>
      <c r="C46" s="17"/>
      <c r="D46" s="17"/>
      <c r="E46" s="18"/>
      <c r="F46" s="17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</row>
    <row r="47" spans="1:40" ht="14.25">
      <c r="A47" s="19"/>
      <c r="B47" s="17"/>
      <c r="C47" s="17"/>
      <c r="D47" s="17"/>
      <c r="E47" s="18"/>
      <c r="F47" s="17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</row>
    <row r="48" spans="1:40" ht="14.25">
      <c r="A48" s="19"/>
      <c r="B48" s="17"/>
      <c r="C48" s="17"/>
      <c r="D48" s="17"/>
      <c r="E48" s="18"/>
      <c r="F48" s="17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</row>
    <row r="49" spans="1:40" ht="14.25">
      <c r="A49" s="19"/>
      <c r="B49" s="17"/>
      <c r="C49" s="17"/>
      <c r="D49" s="17"/>
      <c r="E49" s="18"/>
      <c r="F49" s="17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</row>
    <row r="50" spans="1:40" ht="14.25">
      <c r="A50" s="19"/>
      <c r="B50" s="17"/>
      <c r="C50" s="17"/>
      <c r="D50" s="17"/>
      <c r="E50" s="18"/>
      <c r="F50" s="1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</row>
    <row r="51" spans="1:40" ht="14.25">
      <c r="A51" s="19"/>
      <c r="B51" s="17"/>
      <c r="C51" s="17"/>
      <c r="D51" s="17"/>
      <c r="E51" s="18"/>
      <c r="F51" s="17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</row>
    <row r="52" spans="1:40" ht="14.25">
      <c r="A52" s="19"/>
      <c r="B52" s="17"/>
      <c r="C52" s="17"/>
      <c r="D52" s="17"/>
      <c r="E52" s="18"/>
      <c r="F52" s="17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</row>
    <row r="53" spans="1:40" ht="14.25">
      <c r="A53" s="19"/>
      <c r="B53" s="17"/>
      <c r="C53" s="17"/>
      <c r="D53" s="17"/>
      <c r="E53" s="18"/>
      <c r="F53" s="17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</row>
    <row r="54" spans="1:40" ht="14.25">
      <c r="A54" s="19"/>
      <c r="B54" s="17"/>
      <c r="C54" s="17"/>
      <c r="D54" s="17"/>
      <c r="E54" s="18"/>
      <c r="F54" s="17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</row>
    <row r="55" spans="1:40" ht="14.25">
      <c r="A55" s="19"/>
      <c r="B55" s="17"/>
      <c r="C55" s="17"/>
      <c r="D55" s="17"/>
      <c r="E55" s="18"/>
      <c r="F55" s="17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</row>
    <row r="56" spans="1:40" ht="14.25">
      <c r="A56" s="19"/>
      <c r="B56" s="17"/>
      <c r="C56" s="17"/>
      <c r="D56" s="17"/>
      <c r="E56" s="18"/>
      <c r="F56" s="17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</row>
    <row r="57" spans="1:40" ht="14.25">
      <c r="A57" s="19"/>
      <c r="B57" s="17"/>
      <c r="C57" s="17"/>
      <c r="D57" s="17"/>
      <c r="E57" s="18"/>
      <c r="F57" s="17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</row>
    <row r="58" spans="1:40" ht="14.25">
      <c r="A58" s="19"/>
      <c r="B58" s="17"/>
      <c r="C58" s="17"/>
      <c r="D58" s="17"/>
      <c r="E58" s="18"/>
      <c r="F58" s="17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</row>
    <row r="59" spans="1:40" ht="14.25">
      <c r="A59" s="19"/>
      <c r="B59" s="17"/>
      <c r="C59" s="17"/>
      <c r="D59" s="17"/>
      <c r="E59" s="18"/>
      <c r="F59" s="17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</row>
    <row r="60" spans="1:40" ht="14.25">
      <c r="A60" s="19"/>
      <c r="B60" s="17"/>
      <c r="C60" s="17"/>
      <c r="D60" s="17"/>
      <c r="E60" s="18"/>
      <c r="F60" s="1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</row>
    <row r="61" spans="1:40" ht="14.25">
      <c r="A61" s="19"/>
      <c r="B61" s="17"/>
      <c r="C61" s="17"/>
      <c r="D61" s="17"/>
      <c r="E61" s="18"/>
      <c r="F61" s="17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</row>
    <row r="62" spans="1:40" ht="14.25">
      <c r="A62" s="19"/>
      <c r="B62" s="17"/>
      <c r="C62" s="17"/>
      <c r="D62" s="17"/>
      <c r="E62" s="18"/>
      <c r="F62" s="17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</row>
    <row r="63" spans="1:40" ht="14.25">
      <c r="A63" s="19"/>
      <c r="B63" s="17"/>
      <c r="C63" s="17"/>
      <c r="D63" s="17"/>
      <c r="E63" s="18"/>
      <c r="F63" s="17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</row>
    <row r="64" spans="1:40" ht="14.25">
      <c r="A64" s="19"/>
      <c r="B64" s="17"/>
      <c r="C64" s="17"/>
      <c r="D64" s="17"/>
      <c r="E64" s="18"/>
      <c r="F64" s="17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</row>
    <row r="65" spans="1:40" ht="14.25">
      <c r="A65" s="19"/>
      <c r="B65" s="17"/>
      <c r="C65" s="17"/>
      <c r="D65" s="17"/>
      <c r="E65" s="18"/>
      <c r="F65" s="17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</row>
    <row r="66" spans="1:40" ht="14.25">
      <c r="A66" s="19"/>
      <c r="B66" s="17"/>
      <c r="C66" s="17"/>
      <c r="D66" s="17"/>
      <c r="E66" s="18"/>
      <c r="F66" s="17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</row>
    <row r="67" spans="1:40" ht="14.25">
      <c r="A67" s="19"/>
      <c r="B67" s="17"/>
      <c r="C67" s="17"/>
      <c r="D67" s="17"/>
      <c r="E67" s="18"/>
      <c r="F67" s="17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</row>
    <row r="68" spans="1:40" ht="14.25">
      <c r="A68" s="19"/>
      <c r="B68" s="17"/>
      <c r="C68" s="17"/>
      <c r="D68" s="17"/>
      <c r="E68" s="18"/>
      <c r="F68" s="17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</row>
    <row r="69" spans="1:40" ht="14.25">
      <c r="A69" s="19"/>
      <c r="B69" s="17"/>
      <c r="C69" s="17"/>
      <c r="D69" s="17"/>
      <c r="E69" s="18"/>
      <c r="F69" s="17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</row>
    <row r="70" spans="1:40" ht="14.25">
      <c r="A70" s="19"/>
      <c r="B70" s="17"/>
      <c r="C70" s="17"/>
      <c r="D70" s="17"/>
      <c r="E70" s="18"/>
      <c r="F70" s="17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</row>
    <row r="71" spans="1:40" ht="14.25">
      <c r="A71" s="19"/>
      <c r="B71" s="17"/>
      <c r="C71" s="17"/>
      <c r="D71" s="17"/>
      <c r="E71" s="18"/>
      <c r="F71" s="17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</row>
    <row r="72" spans="1:40" ht="14.25">
      <c r="A72" s="19"/>
      <c r="B72" s="17"/>
      <c r="C72" s="17"/>
      <c r="D72" s="17"/>
      <c r="E72" s="18"/>
      <c r="F72" s="17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</row>
    <row r="73" spans="1:40" ht="14.25">
      <c r="A73" s="19"/>
      <c r="B73" s="17"/>
      <c r="C73" s="17"/>
      <c r="D73" s="17"/>
      <c r="E73" s="18"/>
      <c r="F73" s="17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</row>
    <row r="74" spans="1:40" ht="14.25">
      <c r="A74" s="19"/>
      <c r="B74" s="17"/>
      <c r="C74" s="17"/>
      <c r="D74" s="17"/>
      <c r="E74" s="18"/>
      <c r="F74" s="17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</row>
    <row r="75" spans="1:40" ht="14.25">
      <c r="A75" s="19"/>
      <c r="B75" s="17"/>
      <c r="C75" s="17"/>
      <c r="D75" s="17"/>
      <c r="E75" s="18"/>
      <c r="F75" s="17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</row>
    <row r="76" spans="1:40" ht="14.25">
      <c r="A76" s="19"/>
      <c r="B76" s="17"/>
      <c r="C76" s="17"/>
      <c r="D76" s="17"/>
      <c r="E76" s="18"/>
      <c r="F76" s="17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</row>
    <row r="77" spans="1:40" ht="14.25">
      <c r="A77" s="19"/>
      <c r="B77" s="17"/>
      <c r="C77" s="17"/>
      <c r="D77" s="17"/>
      <c r="E77" s="18"/>
      <c r="F77" s="17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</row>
    <row r="78" spans="1:40" ht="14.25">
      <c r="A78" s="19"/>
      <c r="B78" s="17"/>
      <c r="C78" s="17"/>
      <c r="D78" s="17"/>
      <c r="E78" s="18"/>
      <c r="F78" s="17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</row>
    <row r="79" spans="1:40" ht="14.25">
      <c r="A79" s="19"/>
      <c r="B79" s="17"/>
      <c r="C79" s="17"/>
      <c r="D79" s="17"/>
      <c r="E79" s="18"/>
      <c r="F79" s="17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</row>
    <row r="80" spans="1:40" ht="14.25">
      <c r="A80" s="19"/>
      <c r="B80" s="17"/>
      <c r="C80" s="17"/>
      <c r="D80" s="17"/>
      <c r="E80" s="18"/>
      <c r="F80" s="17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</row>
    <row r="81" spans="1:40" ht="14.25">
      <c r="A81" s="19"/>
      <c r="B81" s="17"/>
      <c r="C81" s="17"/>
      <c r="D81" s="17"/>
      <c r="E81" s="18"/>
      <c r="F81" s="17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</row>
    <row r="82" spans="1:40" ht="14.25">
      <c r="A82" s="19"/>
      <c r="B82" s="17"/>
      <c r="C82" s="17"/>
      <c r="D82" s="17"/>
      <c r="E82" s="18"/>
      <c r="F82" s="17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</row>
    <row r="83" spans="1:40" ht="14.25">
      <c r="A83" s="19"/>
      <c r="B83" s="17"/>
      <c r="C83" s="17"/>
      <c r="D83" s="17"/>
      <c r="E83" s="18"/>
      <c r="F83" s="17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</row>
    <row r="84" spans="1:40" ht="14.25">
      <c r="A84" s="19"/>
      <c r="B84" s="17"/>
      <c r="C84" s="17"/>
      <c r="D84" s="17"/>
      <c r="E84" s="18"/>
      <c r="F84" s="17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</row>
    <row r="85" spans="1:40" ht="14.25">
      <c r="A85" s="19"/>
      <c r="B85" s="17"/>
      <c r="C85" s="17"/>
      <c r="D85" s="17"/>
      <c r="E85" s="18"/>
      <c r="F85" s="17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</row>
    <row r="86" spans="1:40" ht="14.25">
      <c r="A86" s="19"/>
      <c r="B86" s="17"/>
      <c r="C86" s="17"/>
      <c r="D86" s="17"/>
      <c r="E86" s="18"/>
      <c r="F86" s="17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</row>
    <row r="87" spans="1:40">
      <c r="E87" s="161"/>
      <c r="F87" s="161"/>
      <c r="G87" s="161"/>
      <c r="H87" s="161"/>
      <c r="I87" s="111"/>
      <c r="J87" s="111"/>
      <c r="K87" s="111"/>
      <c r="L87" s="111"/>
      <c r="M87" s="15"/>
      <c r="N87" s="15"/>
      <c r="O87" s="15"/>
      <c r="P87" s="15"/>
      <c r="Q87" s="15"/>
      <c r="R87" s="15"/>
    </row>
    <row r="88" spans="1:40">
      <c r="E88" s="111" t="str">
        <f>"Klimagassutslipp, referanse og budsjett, byggetrinn "&amp;'Nøkkelinfo og veiledning'!F8</f>
        <v xml:space="preserve">Klimagassutslipp, referanse og budsjett, byggetrinn </v>
      </c>
      <c r="F88" s="111">
        <v>2022</v>
      </c>
      <c r="G88" s="161"/>
      <c r="H88" s="111" t="s">
        <v>119</v>
      </c>
      <c r="I88" s="111"/>
      <c r="J88" s="111" t="s">
        <v>310</v>
      </c>
      <c r="K88" s="161"/>
      <c r="L88" s="111">
        <f>D19</f>
        <v>0</v>
      </c>
      <c r="M88" s="15"/>
      <c r="N88" s="15"/>
      <c r="O88" s="15"/>
      <c r="P88" s="15"/>
      <c r="Q88" s="15"/>
      <c r="R88" s="15"/>
    </row>
    <row r="89" spans="1:40">
      <c r="E89" s="111"/>
      <c r="F89" s="111">
        <v>2023</v>
      </c>
      <c r="G89" s="161"/>
      <c r="H89" s="111" t="s">
        <v>44</v>
      </c>
      <c r="I89" s="111"/>
      <c r="J89" s="111" t="s">
        <v>311</v>
      </c>
      <c r="K89" s="111"/>
      <c r="L89" s="111">
        <f>MAXA(E19:E23)</f>
        <v>2036</v>
      </c>
      <c r="M89" s="15"/>
      <c r="N89" s="15"/>
      <c r="O89" s="15"/>
      <c r="P89" s="15"/>
      <c r="Q89" s="15"/>
      <c r="R89" s="15"/>
    </row>
    <row r="90" spans="1:40">
      <c r="E90" s="111"/>
      <c r="F90" s="111">
        <v>2024</v>
      </c>
      <c r="G90" s="161"/>
      <c r="H90" s="111" t="s">
        <v>45</v>
      </c>
      <c r="I90" s="111"/>
      <c r="J90" s="111"/>
      <c r="K90" s="111"/>
      <c r="L90" s="111"/>
      <c r="M90" s="15"/>
      <c r="N90" s="15"/>
      <c r="O90" s="15"/>
      <c r="P90" s="15"/>
      <c r="Q90" s="15"/>
      <c r="R90" s="15"/>
    </row>
    <row r="91" spans="1:40">
      <c r="E91" s="111"/>
      <c r="F91" s="111">
        <v>2025</v>
      </c>
      <c r="G91" s="161"/>
      <c r="H91" s="111" t="s">
        <v>46</v>
      </c>
      <c r="I91" s="111"/>
      <c r="J91" s="111"/>
      <c r="K91" s="111"/>
      <c r="L91" s="111"/>
      <c r="M91" s="15"/>
      <c r="N91" s="15"/>
      <c r="O91" s="15"/>
      <c r="P91" s="15"/>
      <c r="Q91" s="15"/>
      <c r="R91" s="15"/>
    </row>
    <row r="92" spans="1:40">
      <c r="E92" s="111"/>
      <c r="F92" s="111">
        <v>2026</v>
      </c>
      <c r="G92" s="161"/>
      <c r="H92" s="111" t="s">
        <v>10</v>
      </c>
      <c r="I92" s="111"/>
      <c r="J92" s="111"/>
      <c r="K92" s="111"/>
      <c r="L92" s="111"/>
      <c r="M92" s="15"/>
      <c r="N92" s="15"/>
      <c r="O92" s="15"/>
      <c r="P92" s="15"/>
      <c r="Q92" s="15"/>
      <c r="R92" s="15"/>
    </row>
    <row r="93" spans="1:40">
      <c r="E93" s="111"/>
      <c r="F93" s="111">
        <v>2027</v>
      </c>
      <c r="G93" s="161"/>
      <c r="H93" s="111" t="s">
        <v>47</v>
      </c>
      <c r="I93" s="111"/>
      <c r="J93" s="111"/>
      <c r="K93" s="111"/>
      <c r="L93" s="111"/>
      <c r="M93" s="15"/>
      <c r="N93" s="15"/>
      <c r="O93" s="15"/>
      <c r="P93" s="15"/>
      <c r="Q93" s="15"/>
      <c r="R93" s="15"/>
    </row>
    <row r="94" spans="1:40">
      <c r="E94" s="111"/>
      <c r="F94" s="111">
        <v>2028</v>
      </c>
      <c r="G94" s="161"/>
      <c r="H94" s="111" t="s">
        <v>48</v>
      </c>
      <c r="I94" s="111"/>
      <c r="J94" s="111"/>
      <c r="K94" s="111"/>
      <c r="L94" s="111"/>
      <c r="M94" s="15"/>
      <c r="N94" s="15"/>
      <c r="O94" s="15"/>
      <c r="P94" s="15"/>
      <c r="Q94" s="15"/>
      <c r="R94" s="15"/>
    </row>
    <row r="95" spans="1:40">
      <c r="E95" s="111" t="s">
        <v>126</v>
      </c>
      <c r="F95" s="111">
        <v>2029</v>
      </c>
      <c r="G95" s="161"/>
      <c r="H95" s="161"/>
      <c r="I95" s="111"/>
      <c r="J95" s="111"/>
      <c r="K95" s="111"/>
      <c r="L95" s="111"/>
      <c r="M95" s="15"/>
      <c r="N95" s="15"/>
      <c r="O95" s="15"/>
      <c r="P95" s="15"/>
      <c r="Q95" s="15"/>
      <c r="R95" s="15"/>
    </row>
    <row r="96" spans="1:40">
      <c r="E96" s="111">
        <v>2</v>
      </c>
      <c r="F96" s="111">
        <v>2030</v>
      </c>
      <c r="G96" s="161"/>
      <c r="H96" s="161"/>
      <c r="I96" s="111"/>
      <c r="J96" s="111"/>
      <c r="K96" s="111"/>
      <c r="L96" s="111"/>
      <c r="M96" s="15"/>
      <c r="N96" s="15"/>
      <c r="O96" s="15"/>
      <c r="P96" s="15"/>
      <c r="Q96" s="15"/>
      <c r="R96" s="15"/>
    </row>
    <row r="97" spans="5:18">
      <c r="E97" s="111">
        <v>3</v>
      </c>
      <c r="F97" s="111">
        <v>2031</v>
      </c>
      <c r="G97" s="161"/>
      <c r="H97" s="161"/>
      <c r="I97" s="111"/>
      <c r="J97" s="111"/>
      <c r="K97" s="111"/>
      <c r="L97" s="111"/>
      <c r="M97" s="15"/>
      <c r="N97" s="15"/>
      <c r="O97" s="15"/>
      <c r="P97" s="15"/>
      <c r="Q97" s="15"/>
      <c r="R97" s="15"/>
    </row>
    <row r="98" spans="5:18">
      <c r="E98" s="111">
        <v>4</v>
      </c>
      <c r="F98" s="111">
        <v>2032</v>
      </c>
      <c r="G98" s="161"/>
      <c r="H98" s="161"/>
      <c r="I98" s="111"/>
      <c r="J98" s="111"/>
      <c r="K98" s="111"/>
      <c r="L98" s="111"/>
      <c r="M98" s="15"/>
      <c r="N98" s="15"/>
      <c r="O98" s="15"/>
      <c r="P98" s="15"/>
      <c r="Q98" s="15"/>
      <c r="R98" s="15"/>
    </row>
    <row r="99" spans="5:18">
      <c r="E99" s="111"/>
      <c r="F99" s="111">
        <v>2033</v>
      </c>
      <c r="G99" s="161"/>
      <c r="H99" s="161"/>
      <c r="I99" s="111"/>
      <c r="J99" s="111"/>
      <c r="K99" s="111"/>
      <c r="L99" s="111"/>
      <c r="M99" s="15"/>
      <c r="N99" s="15"/>
      <c r="O99" s="15"/>
      <c r="P99" s="15"/>
      <c r="Q99" s="15"/>
      <c r="R99" s="15"/>
    </row>
    <row r="100" spans="5:18">
      <c r="E100" s="111">
        <v>1</v>
      </c>
      <c r="F100" s="111">
        <v>2034</v>
      </c>
      <c r="G100" s="161"/>
      <c r="H100" s="161"/>
      <c r="I100" s="111"/>
      <c r="J100" s="111"/>
      <c r="K100" s="111"/>
      <c r="L100" s="111"/>
      <c r="M100" s="15"/>
      <c r="N100" s="15"/>
      <c r="O100" s="15"/>
      <c r="P100" s="15"/>
      <c r="Q100" s="15"/>
      <c r="R100" s="15"/>
    </row>
    <row r="101" spans="5:18">
      <c r="E101" s="111">
        <v>2</v>
      </c>
      <c r="F101" s="111">
        <v>2035</v>
      </c>
      <c r="G101" s="161"/>
      <c r="H101" s="161"/>
      <c r="I101" s="111"/>
      <c r="J101" s="111"/>
      <c r="K101" s="111"/>
      <c r="L101" s="111"/>
      <c r="M101" s="15"/>
      <c r="N101" s="15"/>
      <c r="O101" s="15"/>
      <c r="P101" s="15"/>
      <c r="Q101" s="15"/>
      <c r="R101" s="15"/>
    </row>
    <row r="102" spans="5:18">
      <c r="E102" s="111">
        <v>3</v>
      </c>
      <c r="F102" s="111">
        <v>2036</v>
      </c>
      <c r="G102" s="161"/>
      <c r="H102" s="161"/>
      <c r="I102" s="111"/>
      <c r="J102" s="111"/>
      <c r="K102" s="111"/>
      <c r="L102" s="111"/>
      <c r="M102" s="15"/>
      <c r="N102" s="15"/>
      <c r="O102" s="15"/>
      <c r="P102" s="15"/>
      <c r="Q102" s="15"/>
      <c r="R102" s="15"/>
    </row>
    <row r="103" spans="5:18">
      <c r="E103" s="111">
        <v>4</v>
      </c>
      <c r="F103" s="111">
        <v>2037</v>
      </c>
      <c r="G103" s="161"/>
      <c r="H103" s="161"/>
      <c r="I103" s="111"/>
      <c r="J103" s="111"/>
      <c r="K103" s="111"/>
      <c r="L103" s="111"/>
      <c r="M103" s="15"/>
      <c r="N103" s="15"/>
      <c r="O103" s="15"/>
      <c r="P103" s="15"/>
      <c r="Q103" s="15"/>
      <c r="R103" s="15"/>
    </row>
    <row r="104" spans="5:18">
      <c r="E104" s="111">
        <v>5</v>
      </c>
      <c r="F104" s="111">
        <v>2038</v>
      </c>
      <c r="G104" s="161"/>
      <c r="H104" s="161"/>
      <c r="I104" s="111"/>
      <c r="J104" s="111"/>
      <c r="K104" s="111"/>
      <c r="L104" s="111"/>
      <c r="M104" s="15"/>
      <c r="N104" s="15"/>
      <c r="O104" s="15"/>
      <c r="P104" s="15"/>
      <c r="Q104" s="15"/>
      <c r="R104" s="15"/>
    </row>
    <row r="105" spans="5:18">
      <c r="E105" s="111"/>
      <c r="F105" s="111">
        <v>2039</v>
      </c>
      <c r="G105" s="161"/>
      <c r="H105" s="161"/>
      <c r="I105" s="111"/>
      <c r="J105" s="111"/>
      <c r="K105" s="111"/>
      <c r="L105" s="111"/>
      <c r="M105" s="15"/>
      <c r="N105" s="15"/>
      <c r="O105" s="15"/>
      <c r="P105" s="15"/>
      <c r="Q105" s="15"/>
      <c r="R105" s="15"/>
    </row>
    <row r="106" spans="5:18">
      <c r="E106" s="111"/>
      <c r="F106" s="111">
        <v>2040</v>
      </c>
      <c r="G106" s="161"/>
      <c r="H106" s="161"/>
      <c r="I106" s="111"/>
      <c r="J106" s="111"/>
      <c r="K106" s="111"/>
      <c r="L106" s="111"/>
      <c r="M106" s="15"/>
      <c r="N106" s="15"/>
      <c r="O106" s="15"/>
      <c r="P106" s="15"/>
      <c r="Q106" s="15"/>
      <c r="R106" s="15"/>
    </row>
    <row r="107" spans="5:18">
      <c r="E107" s="111"/>
      <c r="F107" s="111">
        <v>2041</v>
      </c>
      <c r="G107" s="161"/>
      <c r="H107" s="161"/>
      <c r="I107" s="111"/>
      <c r="J107" s="111"/>
      <c r="K107" s="111"/>
      <c r="L107" s="111"/>
      <c r="M107" s="15"/>
      <c r="N107" s="15"/>
      <c r="O107" s="15"/>
      <c r="P107" s="15"/>
      <c r="Q107" s="15"/>
      <c r="R107" s="15"/>
    </row>
    <row r="108" spans="5:18">
      <c r="E108" s="111"/>
      <c r="F108" s="111">
        <v>2042</v>
      </c>
      <c r="G108" s="161"/>
      <c r="H108" s="161"/>
      <c r="I108" s="111"/>
      <c r="J108" s="111"/>
      <c r="K108" s="111"/>
      <c r="L108" s="111"/>
      <c r="M108" s="15"/>
      <c r="N108" s="15"/>
      <c r="O108" s="15"/>
      <c r="P108" s="15"/>
      <c r="Q108" s="15"/>
      <c r="R108" s="15"/>
    </row>
    <row r="109" spans="5:18">
      <c r="E109" s="111"/>
      <c r="F109" s="111">
        <v>2043</v>
      </c>
      <c r="G109" s="161"/>
      <c r="H109" s="161"/>
      <c r="I109" s="111"/>
      <c r="J109" s="111"/>
      <c r="K109" s="111"/>
      <c r="L109" s="111"/>
      <c r="M109" s="15"/>
      <c r="N109" s="15"/>
      <c r="O109" s="15"/>
      <c r="P109" s="15"/>
      <c r="Q109" s="15"/>
      <c r="R109" s="15"/>
    </row>
    <row r="110" spans="5:18">
      <c r="E110" s="111"/>
      <c r="F110" s="111">
        <v>2044</v>
      </c>
      <c r="G110" s="161"/>
      <c r="H110" s="161"/>
      <c r="I110" s="111"/>
      <c r="J110" s="111"/>
      <c r="K110" s="111"/>
      <c r="L110" s="111"/>
      <c r="M110" s="15"/>
      <c r="N110" s="15"/>
      <c r="O110" s="15"/>
      <c r="P110" s="15"/>
      <c r="Q110" s="15"/>
      <c r="R110" s="15"/>
    </row>
    <row r="111" spans="5:18">
      <c r="E111" s="111"/>
      <c r="F111" s="111">
        <v>2045</v>
      </c>
      <c r="G111" s="161"/>
      <c r="H111" s="161"/>
      <c r="I111" s="111"/>
      <c r="J111" s="111"/>
      <c r="K111" s="111"/>
      <c r="L111" s="111"/>
      <c r="M111" s="15"/>
      <c r="N111" s="15"/>
      <c r="O111" s="15"/>
      <c r="P111" s="15"/>
      <c r="Q111" s="15"/>
      <c r="R111" s="15"/>
    </row>
    <row r="112" spans="5:18">
      <c r="E112" s="111"/>
      <c r="F112" s="111">
        <v>2046</v>
      </c>
      <c r="G112" s="161"/>
      <c r="H112" s="161"/>
      <c r="I112" s="111"/>
      <c r="J112" s="111"/>
      <c r="K112" s="111"/>
      <c r="L112" s="111"/>
      <c r="M112" s="15"/>
      <c r="N112" s="15"/>
      <c r="O112" s="15"/>
      <c r="P112" s="15"/>
      <c r="Q112" s="15"/>
      <c r="R112" s="15"/>
    </row>
    <row r="113" spans="5:18">
      <c r="E113" s="111"/>
      <c r="F113" s="111">
        <v>2047</v>
      </c>
      <c r="G113" s="161"/>
      <c r="H113" s="161"/>
      <c r="I113" s="111"/>
      <c r="J113" s="111"/>
      <c r="K113" s="111"/>
      <c r="L113" s="111"/>
      <c r="M113" s="15"/>
      <c r="N113" s="15"/>
      <c r="O113" s="15"/>
      <c r="P113" s="15"/>
      <c r="Q113" s="15"/>
      <c r="R113" s="15"/>
    </row>
    <row r="114" spans="5:18">
      <c r="E114" s="111"/>
      <c r="F114" s="111">
        <v>2048</v>
      </c>
      <c r="G114" s="161"/>
      <c r="H114" s="161"/>
      <c r="I114" s="111"/>
      <c r="J114" s="111"/>
      <c r="K114" s="111"/>
      <c r="L114" s="111"/>
      <c r="M114" s="15"/>
      <c r="N114" s="15"/>
      <c r="O114" s="15"/>
      <c r="P114" s="15"/>
      <c r="Q114" s="15"/>
      <c r="R114" s="15"/>
    </row>
    <row r="115" spans="5:18">
      <c r="E115" s="111"/>
      <c r="F115" s="111">
        <v>2049</v>
      </c>
      <c r="G115" s="161"/>
      <c r="H115" s="161"/>
      <c r="I115" s="111"/>
      <c r="J115" s="111"/>
      <c r="K115" s="111"/>
      <c r="L115" s="111"/>
      <c r="M115" s="15"/>
      <c r="N115" s="15"/>
      <c r="O115" s="15"/>
      <c r="P115" s="15"/>
      <c r="Q115" s="15"/>
      <c r="R115" s="15"/>
    </row>
    <row r="116" spans="5:18">
      <c r="E116" s="111"/>
      <c r="F116" s="111">
        <v>2050</v>
      </c>
      <c r="G116" s="111"/>
      <c r="H116" s="111"/>
      <c r="I116" s="111"/>
      <c r="J116" s="111"/>
      <c r="K116" s="111"/>
      <c r="L116" s="111"/>
      <c r="M116" s="15"/>
      <c r="N116" s="15"/>
      <c r="O116" s="15"/>
      <c r="P116" s="15"/>
      <c r="Q116" s="15"/>
      <c r="R116" s="15"/>
    </row>
    <row r="117" spans="5:18" ht="25.5">
      <c r="E117" s="111"/>
      <c r="F117" s="111"/>
      <c r="G117" s="111"/>
      <c r="H117" s="163" t="s">
        <v>254</v>
      </c>
      <c r="I117" s="111"/>
      <c r="J117" s="111"/>
      <c r="K117" s="111"/>
      <c r="L117" s="111"/>
      <c r="M117" s="15"/>
      <c r="N117" s="15"/>
      <c r="O117" s="15"/>
      <c r="P117" s="15"/>
      <c r="Q117" s="15"/>
      <c r="R117" s="15"/>
    </row>
    <row r="118" spans="5:18">
      <c r="E118" s="192" t="s">
        <v>243</v>
      </c>
      <c r="F118" s="163" t="s">
        <v>1</v>
      </c>
      <c r="G118" s="111" t="e">
        <f>F7</f>
        <v>#N/A</v>
      </c>
      <c r="H118" s="111"/>
      <c r="I118" s="111"/>
      <c r="J118" s="111"/>
      <c r="K118" s="111"/>
      <c r="L118" s="111"/>
      <c r="M118" s="15"/>
      <c r="N118" s="15"/>
      <c r="O118" s="15"/>
      <c r="P118" s="15"/>
      <c r="Q118" s="15"/>
      <c r="R118" s="15"/>
    </row>
    <row r="119" spans="5:18">
      <c r="E119" s="192"/>
      <c r="F119" s="163" t="s">
        <v>255</v>
      </c>
      <c r="G119" s="164" t="e">
        <f>H7</f>
        <v>#N/A</v>
      </c>
      <c r="H119" s="165" t="e">
        <f>G7</f>
        <v>#N/A</v>
      </c>
      <c r="I119" s="111"/>
      <c r="J119" s="111"/>
      <c r="K119" s="111"/>
      <c r="L119" s="111"/>
      <c r="M119" s="15"/>
      <c r="N119" s="15"/>
      <c r="O119" s="15"/>
      <c r="P119" s="15"/>
      <c r="Q119" s="15"/>
      <c r="R119" s="15"/>
    </row>
    <row r="120" spans="5:18">
      <c r="E120" s="192" t="s">
        <v>3</v>
      </c>
      <c r="F120" s="163" t="s">
        <v>1</v>
      </c>
      <c r="G120" s="164">
        <f>F8</f>
        <v>0</v>
      </c>
      <c r="H120" s="164"/>
      <c r="I120" s="111"/>
      <c r="J120" s="111"/>
      <c r="K120" s="111"/>
      <c r="L120" s="111"/>
      <c r="M120" s="15"/>
      <c r="N120" s="15"/>
      <c r="O120" s="15"/>
      <c r="P120" s="15"/>
      <c r="Q120" s="15"/>
      <c r="R120" s="15"/>
    </row>
    <row r="121" spans="5:18">
      <c r="E121" s="192"/>
      <c r="F121" s="163" t="s">
        <v>255</v>
      </c>
      <c r="G121" s="111">
        <f>H8</f>
        <v>0</v>
      </c>
      <c r="H121" s="165">
        <f>G8</f>
        <v>0</v>
      </c>
      <c r="I121" s="111"/>
      <c r="J121" s="111"/>
      <c r="K121" s="111"/>
      <c r="L121" s="111"/>
      <c r="M121" s="15"/>
      <c r="N121" s="15"/>
      <c r="O121" s="15"/>
      <c r="P121" s="15"/>
      <c r="Q121" s="15"/>
      <c r="R121" s="15"/>
    </row>
    <row r="122" spans="5:18">
      <c r="E122" s="192" t="s">
        <v>4</v>
      </c>
      <c r="F122" s="163" t="s">
        <v>1</v>
      </c>
      <c r="G122" s="111">
        <f>F9</f>
        <v>0</v>
      </c>
      <c r="H122" s="164"/>
      <c r="I122" s="111"/>
      <c r="J122" s="111"/>
      <c r="K122" s="111"/>
      <c r="L122" s="111"/>
      <c r="M122" s="15"/>
      <c r="N122" s="15"/>
      <c r="O122" s="15"/>
      <c r="P122" s="15"/>
      <c r="Q122" s="15"/>
      <c r="R122" s="15"/>
    </row>
    <row r="123" spans="5:18">
      <c r="E123" s="192"/>
      <c r="F123" s="163" t="s">
        <v>255</v>
      </c>
      <c r="G123" s="111">
        <f>H9</f>
        <v>0</v>
      </c>
      <c r="H123" s="165">
        <f>G9</f>
        <v>0</v>
      </c>
      <c r="I123" s="111"/>
      <c r="J123" s="111"/>
      <c r="K123" s="111"/>
      <c r="L123" s="111"/>
      <c r="M123" s="15"/>
      <c r="N123" s="15"/>
      <c r="O123" s="15"/>
      <c r="P123" s="15"/>
      <c r="Q123" s="15"/>
      <c r="R123" s="15"/>
    </row>
    <row r="124" spans="5:18">
      <c r="E124" s="192" t="s">
        <v>244</v>
      </c>
      <c r="F124" s="163" t="s">
        <v>1</v>
      </c>
      <c r="G124" s="164">
        <f>F11</f>
        <v>0</v>
      </c>
      <c r="H124" s="111"/>
      <c r="I124" s="111"/>
      <c r="J124" s="111"/>
      <c r="K124" s="111"/>
      <c r="L124" s="111"/>
      <c r="M124" s="15"/>
      <c r="N124" s="15"/>
      <c r="O124" s="15"/>
      <c r="P124" s="15"/>
      <c r="Q124" s="15"/>
      <c r="R124" s="15"/>
    </row>
    <row r="125" spans="5:18">
      <c r="E125" s="192"/>
      <c r="F125" s="163" t="s">
        <v>255</v>
      </c>
      <c r="G125" s="164">
        <f>H11</f>
        <v>0</v>
      </c>
      <c r="H125" s="165">
        <f>G11</f>
        <v>0</v>
      </c>
      <c r="I125" s="111"/>
      <c r="J125" s="111"/>
      <c r="K125" s="111"/>
      <c r="L125" s="111"/>
      <c r="M125" s="15"/>
      <c r="N125" s="15"/>
      <c r="O125" s="15"/>
      <c r="P125" s="15"/>
      <c r="Q125" s="15"/>
      <c r="R125" s="15"/>
    </row>
    <row r="126" spans="5:18">
      <c r="E126" s="161"/>
      <c r="F126" s="161"/>
      <c r="G126" s="161"/>
      <c r="H126" s="111"/>
      <c r="I126" s="111"/>
      <c r="J126" s="111"/>
      <c r="K126" s="111"/>
      <c r="L126" s="111"/>
      <c r="M126" s="15"/>
      <c r="N126" s="15"/>
      <c r="O126" s="15"/>
      <c r="P126" s="15"/>
      <c r="Q126" s="15"/>
      <c r="R126" s="15"/>
    </row>
    <row r="127" spans="5:18">
      <c r="E127" s="192" t="str">
        <f>E10</f>
        <v>SUM, byggetrinn , ekskl. transport i drift</v>
      </c>
      <c r="F127" s="163" t="s">
        <v>1</v>
      </c>
      <c r="G127" s="111" t="e">
        <f>SUM(G118,G120,G122)</f>
        <v>#N/A</v>
      </c>
      <c r="H127" s="111"/>
      <c r="I127" s="161"/>
      <c r="J127" s="161"/>
      <c r="K127" s="161"/>
      <c r="L127" s="161"/>
    </row>
    <row r="128" spans="5:18">
      <c r="E128" s="192"/>
      <c r="F128" s="163" t="s">
        <v>255</v>
      </c>
      <c r="G128" s="111" t="e">
        <f>SUM(G119,G121,G123)</f>
        <v>#N/A</v>
      </c>
      <c r="H128" s="165" t="e">
        <f>G10</f>
        <v>#N/A</v>
      </c>
      <c r="I128" s="161"/>
      <c r="J128" s="161"/>
      <c r="K128" s="161"/>
      <c r="L128" s="161"/>
    </row>
    <row r="130" spans="5:5">
      <c r="E130" s="15"/>
    </row>
    <row r="131" spans="5:5">
      <c r="E131" s="15"/>
    </row>
    <row r="132" spans="5:5">
      <c r="E132" s="15"/>
    </row>
    <row r="133" spans="5:5">
      <c r="E133" s="15"/>
    </row>
    <row r="134" spans="5:5">
      <c r="E134" s="15"/>
    </row>
    <row r="135" spans="5:5">
      <c r="E135" s="15"/>
    </row>
  </sheetData>
  <sheetProtection algorithmName="SHA-512" hashValue="UOeErXjUwEJZofGLzt9wdVdT+LwWOMCFiJFxqkIZX2lfdIkXwhCxsNogbvP9g+B5RiMg+LRvoBJljyeL377XIw==" saltValue="uI3QSu7vnK+YB8/qQRfwxA==" spinCount="100000" sheet="1" objects="1" scenarios="1"/>
  <protectedRanges>
    <protectedRange sqref="D19:H23" name="Range1"/>
  </protectedRanges>
  <mergeCells count="7">
    <mergeCell ref="E127:E128"/>
    <mergeCell ref="F5:H5"/>
    <mergeCell ref="F17:H17"/>
    <mergeCell ref="E118:E119"/>
    <mergeCell ref="E120:E121"/>
    <mergeCell ref="E122:E123"/>
    <mergeCell ref="E124:E125"/>
  </mergeCells>
  <dataValidations count="1">
    <dataValidation type="list" allowBlank="1" showInputMessage="1" showErrorMessage="1" sqref="D19:E23" xr:uid="{FE002E25-D360-41AF-84A7-C052FF7D5F89}">
      <formula1>$F$88:$F$105</formula1>
    </dataValidation>
  </dataValidations>
  <pageMargins left="0.7" right="0.7" top="0.75" bottom="0.75" header="0.3" footer="0.3"/>
  <pageSetup paperSize="9" orientation="portrait" verticalDpi="0" r:id="rId1"/>
  <headerFooter>
    <oddFooter>&amp;C_x000D_&amp;1#&amp;"Verdana"&amp;7&amp;K000000 Confidential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F152F8-E4C3-4734-9CF8-5126B9FF0C2B}">
            <xm:f>'Nøkkelinfo og veiledning'!$F$7&lt;2</xm:f>
            <x14:dxf>
              <font>
                <color theme="2"/>
              </font>
              <fill>
                <patternFill>
                  <bgColor theme="2"/>
                </patternFill>
              </fill>
            </x14:dxf>
          </x14:cfRule>
          <xm:sqref>C20:H20</xm:sqref>
        </x14:conditionalFormatting>
        <x14:conditionalFormatting xmlns:xm="http://schemas.microsoft.com/office/excel/2006/main">
          <x14:cfRule type="expression" priority="2" id="{55023F0B-8F7B-4492-91FD-8505736EA36B}">
            <xm:f>'Nøkkelinfo og veiledning'!$F$7&lt;3</xm:f>
            <x14:dxf>
              <font>
                <color theme="2"/>
              </font>
              <fill>
                <patternFill>
                  <bgColor theme="2"/>
                </patternFill>
              </fill>
            </x14:dxf>
          </x14:cfRule>
          <xm:sqref>C21:H21</xm:sqref>
        </x14:conditionalFormatting>
        <x14:conditionalFormatting xmlns:xm="http://schemas.microsoft.com/office/excel/2006/main">
          <x14:cfRule type="expression" priority="3" id="{64D2CE16-F2FF-4F64-AE2A-CB61A1E01108}">
            <xm:f>'Nøkkelinfo og veiledning'!$F$7&lt;4</xm:f>
            <x14:dxf>
              <font>
                <color theme="2"/>
              </font>
              <fill>
                <patternFill>
                  <bgColor theme="2"/>
                </patternFill>
              </fill>
            </x14:dxf>
          </x14:cfRule>
          <xm:sqref>C22:H22</xm:sqref>
        </x14:conditionalFormatting>
        <x14:conditionalFormatting xmlns:xm="http://schemas.microsoft.com/office/excel/2006/main">
          <x14:cfRule type="expression" priority="4" id="{167D3B55-19C8-4656-81D2-EE7FB72AD480}">
            <xm:f>'Nøkkelinfo og veiledning'!$F$7&lt;5</xm:f>
            <x14:dxf>
              <font>
                <color theme="2"/>
              </font>
              <fill>
                <patternFill>
                  <bgColor theme="2"/>
                </patternFill>
              </fill>
            </x14:dxf>
          </x14:cfRule>
          <xm:sqref>C23:H23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706EF-8705-4D22-AD26-E8B5A84D90A7}">
  <sheetPr>
    <tabColor theme="4"/>
  </sheetPr>
  <dimension ref="A1:AY298"/>
  <sheetViews>
    <sheetView zoomScale="70" zoomScaleNormal="70" workbookViewId="0">
      <pane xSplit="3" topLeftCell="D1" activePane="topRight" state="frozen"/>
      <selection pane="topRight" activeCell="D25" sqref="D25"/>
    </sheetView>
  </sheetViews>
  <sheetFormatPr defaultColWidth="8.85546875" defaultRowHeight="12.75"/>
  <cols>
    <col min="1" max="1" width="17.140625" style="16" customWidth="1"/>
    <col min="2" max="2" width="4.140625" style="16" customWidth="1"/>
    <col min="3" max="3" width="33.7109375" style="16" customWidth="1"/>
    <col min="4" max="4" width="25.28515625" style="16" customWidth="1"/>
    <col min="5" max="5" width="16.85546875" style="16" customWidth="1"/>
    <col min="6" max="6" width="19.140625" style="16" customWidth="1"/>
    <col min="7" max="8" width="16.85546875" style="16" customWidth="1"/>
    <col min="9" max="9" width="17.140625" style="16" customWidth="1"/>
    <col min="10" max="11" width="16.7109375" style="16" customWidth="1"/>
    <col min="12" max="12" width="19" style="16" customWidth="1"/>
    <col min="13" max="14" width="16.7109375" style="16" customWidth="1"/>
    <col min="15" max="15" width="29.28515625" style="16" bestFit="1" customWidth="1"/>
    <col min="16" max="17" width="17.28515625" style="16" customWidth="1"/>
    <col min="18" max="18" width="19.140625" style="16" customWidth="1"/>
    <col min="19" max="21" width="17.28515625" style="16" customWidth="1"/>
    <col min="22" max="23" width="16.7109375" style="16" customWidth="1"/>
    <col min="24" max="24" width="19.140625" style="16" customWidth="1"/>
    <col min="25" max="27" width="16.7109375" style="16" customWidth="1"/>
    <col min="28" max="28" width="12" style="16" customWidth="1"/>
    <col min="29" max="29" width="16.7109375" style="16" customWidth="1"/>
    <col min="30" max="30" width="13.5703125" style="16" customWidth="1"/>
    <col min="31" max="32" width="12.5703125" style="16" customWidth="1"/>
    <col min="33" max="35" width="8.85546875" style="16"/>
    <col min="36" max="36" width="7.140625" style="16" customWidth="1"/>
    <col min="37" max="37" width="13.28515625" style="16" customWidth="1"/>
    <col min="38" max="38" width="14.7109375" style="16" customWidth="1"/>
    <col min="39" max="40" width="11.7109375" style="16" customWidth="1"/>
    <col min="41" max="42" width="8.85546875" style="16"/>
    <col min="43" max="43" width="7.85546875" style="16" customWidth="1"/>
    <col min="44" max="44" width="19.28515625" style="16" bestFit="1" customWidth="1"/>
    <col min="45" max="16384" width="8.85546875" style="16"/>
  </cols>
  <sheetData>
    <row r="1" spans="1:51">
      <c r="A1" s="19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33"/>
      <c r="AC1" s="33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</row>
    <row r="2" spans="1:51">
      <c r="A2" s="1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</row>
    <row r="3" spans="1:51">
      <c r="A3" s="1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</row>
    <row r="4" spans="1:51" ht="20.25">
      <c r="A4" s="19"/>
      <c r="B4" s="17"/>
      <c r="C4" s="51" t="s">
        <v>315</v>
      </c>
      <c r="D4" s="17"/>
      <c r="E4" s="17"/>
      <c r="F4" s="17"/>
      <c r="G4" s="17"/>
      <c r="H4" s="17"/>
      <c r="I4" s="17"/>
      <c r="J4" s="17"/>
      <c r="K4" s="17"/>
      <c r="L4" s="17"/>
      <c r="M4" s="20" t="s">
        <v>201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</row>
    <row r="5" spans="1:51" ht="14.25">
      <c r="A5" s="19"/>
      <c r="B5" s="17"/>
      <c r="C5" s="17" t="s">
        <v>269</v>
      </c>
      <c r="D5" s="17"/>
      <c r="E5" s="17"/>
      <c r="F5" s="17"/>
      <c r="G5" s="17"/>
      <c r="H5" s="17"/>
      <c r="I5" s="17"/>
      <c r="J5" s="17"/>
      <c r="K5" s="17"/>
      <c r="L5" s="17"/>
      <c r="M5" s="146" t="s">
        <v>335</v>
      </c>
      <c r="N5" s="17"/>
      <c r="O5" s="17"/>
      <c r="P5" s="17"/>
      <c r="Q5" s="17"/>
      <c r="R5" s="17"/>
      <c r="S5" s="170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</row>
    <row r="6" spans="1:51" ht="14.25">
      <c r="A6" s="19"/>
      <c r="B6" s="17"/>
      <c r="C6" s="108" t="str">
        <f>IF('Nøkkelinfo og veiledning'!F13='Nøkkelinfo og veiledning'!E83,"Kun ett alternativ valgt, sammenlikning er ikke relevant for prosjektet","")</f>
        <v/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205" t="s">
        <v>361</v>
      </c>
      <c r="Q6" s="206"/>
      <c r="R6" s="17"/>
      <c r="S6" s="170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1">
      <c r="A7" s="19"/>
      <c r="B7" s="17"/>
      <c r="C7" s="45" t="str">
        <f>IF(G161&gt;0,"Informasjon mangler for alternativ 1",IF(M161&gt;0,"Informasjon mangler for alternativ 2",IF(S161&gt;0,"Informasjon mangler for alternativ 3",IF(Y161&gt;0,"Informasjon mangler for alternativ 4",""))))</f>
        <v/>
      </c>
      <c r="D7" s="17"/>
      <c r="E7" s="17"/>
      <c r="F7" s="17"/>
      <c r="G7" s="17"/>
      <c r="H7" s="17"/>
      <c r="I7" s="17"/>
      <c r="J7" s="17"/>
      <c r="K7" s="17"/>
      <c r="L7" s="17"/>
      <c r="M7" s="40" t="s">
        <v>161</v>
      </c>
      <c r="N7" s="41"/>
      <c r="O7" s="34" t="s">
        <v>160</v>
      </c>
      <c r="P7" s="25" t="s">
        <v>145</v>
      </c>
      <c r="Q7" s="35" t="s">
        <v>147</v>
      </c>
      <c r="R7" s="17"/>
      <c r="S7" s="170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</row>
    <row r="8" spans="1:51">
      <c r="A8" s="19"/>
      <c r="B8" s="17"/>
      <c r="C8" s="45" t="str">
        <f>IF(M161&gt;0,"Informasjon mangler for alternativ 2","")</f>
        <v/>
      </c>
      <c r="D8" s="17"/>
      <c r="E8" s="17"/>
      <c r="F8" s="17"/>
      <c r="G8" s="17"/>
      <c r="H8" s="17"/>
      <c r="I8" s="17"/>
      <c r="J8" s="17"/>
      <c r="K8" s="17"/>
      <c r="L8" s="17"/>
      <c r="M8" s="57" t="s">
        <v>13</v>
      </c>
      <c r="N8" s="38"/>
      <c r="O8" s="28" t="s">
        <v>148</v>
      </c>
      <c r="P8" s="28">
        <v>1.9</v>
      </c>
      <c r="Q8" s="28">
        <v>5.5</v>
      </c>
      <c r="R8" s="17"/>
      <c r="S8" s="170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>
      <c r="A9" s="19"/>
      <c r="B9" s="17"/>
      <c r="C9" s="45" t="str">
        <f>IF(S161&gt;0,"Informasjon mangler for alternativ 3","")</f>
        <v/>
      </c>
      <c r="D9" s="17"/>
      <c r="E9" s="17"/>
      <c r="F9" s="17"/>
      <c r="G9" s="17"/>
      <c r="H9" s="17"/>
      <c r="I9" s="17"/>
      <c r="J9" s="17"/>
      <c r="K9" s="17"/>
      <c r="L9" s="17"/>
      <c r="M9" s="57" t="s">
        <v>144</v>
      </c>
      <c r="N9" s="38"/>
      <c r="O9" s="28" t="s">
        <v>149</v>
      </c>
      <c r="P9" s="28"/>
      <c r="Q9" s="28"/>
      <c r="R9" s="17"/>
      <c r="S9" s="170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</row>
    <row r="10" spans="1:51">
      <c r="A10" s="19"/>
      <c r="B10" s="17"/>
      <c r="C10" s="45" t="str">
        <f>IF(Y161&gt;0,"Informasjon mangler for alternativ 4","")</f>
        <v/>
      </c>
      <c r="D10" s="17"/>
      <c r="E10" s="17"/>
      <c r="F10" s="17"/>
      <c r="G10" s="17"/>
      <c r="H10" s="17"/>
      <c r="I10" s="17"/>
      <c r="J10" s="17"/>
      <c r="K10" s="17"/>
      <c r="L10" s="17"/>
      <c r="M10" s="57" t="s">
        <v>14</v>
      </c>
      <c r="N10" s="38"/>
      <c r="O10" s="28" t="s">
        <v>150</v>
      </c>
      <c r="P10" s="28"/>
      <c r="Q10" s="28"/>
      <c r="R10" s="17"/>
      <c r="S10" s="170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</row>
    <row r="11" spans="1:51">
      <c r="A11" s="19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57" t="s">
        <v>15</v>
      </c>
      <c r="N11" s="38"/>
      <c r="O11" s="28" t="s">
        <v>151</v>
      </c>
      <c r="P11" s="28">
        <v>1</v>
      </c>
      <c r="Q11" s="28">
        <v>9</v>
      </c>
      <c r="R11" s="17"/>
      <c r="S11" s="170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</row>
    <row r="12" spans="1:51">
      <c r="A12" s="19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57" t="s">
        <v>16</v>
      </c>
      <c r="N12" s="38"/>
      <c r="O12" s="28" t="s">
        <v>152</v>
      </c>
      <c r="P12" s="28">
        <v>1</v>
      </c>
      <c r="Q12" s="28">
        <v>9</v>
      </c>
      <c r="R12" s="17"/>
      <c r="S12" s="170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</row>
    <row r="13" spans="1:51" ht="12.75" customHeight="1">
      <c r="A13" s="19"/>
      <c r="B13" s="17"/>
      <c r="C13" s="17"/>
      <c r="D13" s="207"/>
      <c r="E13" s="17"/>
      <c r="F13" s="17"/>
      <c r="G13" s="17"/>
      <c r="H13" s="17"/>
      <c r="I13" s="17"/>
      <c r="J13" s="17"/>
      <c r="K13" s="17"/>
      <c r="L13" s="17"/>
      <c r="M13" s="57" t="s">
        <v>17</v>
      </c>
      <c r="N13" s="38"/>
      <c r="O13" s="28" t="s">
        <v>153</v>
      </c>
      <c r="P13" s="28">
        <v>1.9</v>
      </c>
      <c r="Q13" s="28">
        <v>7.9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</row>
    <row r="14" spans="1:51">
      <c r="A14" s="19"/>
      <c r="B14" s="17"/>
      <c r="C14" s="17"/>
      <c r="D14" s="207"/>
      <c r="E14" s="17"/>
      <c r="F14" s="17"/>
      <c r="G14" s="17"/>
      <c r="H14" s="17"/>
      <c r="I14" s="17"/>
      <c r="J14" s="17"/>
      <c r="K14" s="17"/>
      <c r="L14" s="17"/>
      <c r="M14" s="57" t="s">
        <v>18</v>
      </c>
      <c r="N14" s="38"/>
      <c r="O14" s="28" t="s">
        <v>154</v>
      </c>
      <c r="P14" s="28">
        <v>1.9</v>
      </c>
      <c r="Q14" s="28">
        <v>7.9</v>
      </c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</row>
    <row r="15" spans="1:51">
      <c r="A15" s="19"/>
      <c r="B15" s="17"/>
      <c r="C15" s="17"/>
      <c r="D15" s="207"/>
      <c r="E15" s="17"/>
      <c r="F15" s="17"/>
      <c r="G15" s="17"/>
      <c r="H15" s="17"/>
      <c r="I15" s="17"/>
      <c r="J15" s="17"/>
      <c r="K15" s="17"/>
      <c r="L15" s="17"/>
      <c r="M15" s="57" t="s">
        <v>19</v>
      </c>
      <c r="N15" s="38"/>
      <c r="O15" s="28" t="s">
        <v>155</v>
      </c>
      <c r="P15" s="28">
        <v>1.9</v>
      </c>
      <c r="Q15" s="28">
        <v>7.9</v>
      </c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</row>
    <row r="16" spans="1:51">
      <c r="A16" s="19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57" t="s">
        <v>20</v>
      </c>
      <c r="N16" s="38"/>
      <c r="O16" s="28" t="s">
        <v>156</v>
      </c>
      <c r="P16" s="28">
        <v>0.2</v>
      </c>
      <c r="Q16" s="58">
        <v>4</v>
      </c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</row>
    <row r="17" spans="1:51">
      <c r="A17" s="19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7" t="s">
        <v>21</v>
      </c>
      <c r="N17" s="38"/>
      <c r="O17" s="28" t="s">
        <v>157</v>
      </c>
      <c r="P17" s="28">
        <v>2</v>
      </c>
      <c r="Q17" s="28">
        <v>100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</row>
    <row r="18" spans="1:51">
      <c r="A18" s="19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7" t="s">
        <v>22</v>
      </c>
      <c r="N18" s="38"/>
      <c r="O18" s="28" t="s">
        <v>158</v>
      </c>
      <c r="P18" s="28">
        <v>2</v>
      </c>
      <c r="Q18" s="28">
        <v>50</v>
      </c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</row>
    <row r="19" spans="1:51">
      <c r="A19" s="1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9" t="s">
        <v>23</v>
      </c>
      <c r="N19" s="39"/>
      <c r="O19" s="32" t="s">
        <v>159</v>
      </c>
      <c r="P19" s="32">
        <v>2</v>
      </c>
      <c r="Q19" s="32">
        <v>30</v>
      </c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</row>
    <row r="20" spans="1:51" ht="7.9" customHeight="1">
      <c r="A20" s="19"/>
      <c r="B20" s="17"/>
      <c r="C20" s="17"/>
      <c r="D20" s="17"/>
      <c r="E20" s="17"/>
      <c r="F20" s="17"/>
      <c r="G20" s="14"/>
      <c r="H20" s="17"/>
      <c r="I20" s="14"/>
      <c r="J20" s="17"/>
      <c r="K20" s="14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</row>
    <row r="21" spans="1:51" ht="20.25">
      <c r="A21" s="19"/>
      <c r="B21" s="17"/>
      <c r="C21" s="20" t="s">
        <v>414</v>
      </c>
      <c r="D21" s="17"/>
      <c r="E21" s="18"/>
      <c r="F21" s="18"/>
      <c r="G21" s="18"/>
      <c r="H21" s="18"/>
      <c r="I21" s="18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</row>
    <row r="22" spans="1:51" ht="14.25">
      <c r="A22" s="19"/>
      <c r="B22" s="17"/>
      <c r="C22" s="18"/>
      <c r="D22" s="17"/>
      <c r="E22" s="18"/>
      <c r="F22" s="18"/>
      <c r="G22" s="18"/>
      <c r="H22" s="18"/>
      <c r="I22" s="18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1" ht="28.5" customHeight="1">
      <c r="A23" s="19"/>
      <c r="B23" s="17"/>
      <c r="C23" s="17"/>
      <c r="D23" s="193" t="s">
        <v>121</v>
      </c>
      <c r="E23" s="194"/>
      <c r="F23" s="194"/>
      <c r="G23" s="194"/>
      <c r="H23" s="194"/>
      <c r="I23" s="195"/>
      <c r="J23" s="193" t="s">
        <v>122</v>
      </c>
      <c r="K23" s="194"/>
      <c r="L23" s="194"/>
      <c r="M23" s="194"/>
      <c r="N23" s="194"/>
      <c r="O23" s="195"/>
      <c r="P23" s="193" t="s">
        <v>123</v>
      </c>
      <c r="Q23" s="194"/>
      <c r="R23" s="194"/>
      <c r="S23" s="194"/>
      <c r="T23" s="194"/>
      <c r="U23" s="195"/>
      <c r="V23" s="193" t="s">
        <v>124</v>
      </c>
      <c r="W23" s="194"/>
      <c r="X23" s="194"/>
      <c r="Y23" s="194"/>
      <c r="Z23" s="194"/>
      <c r="AA23" s="195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</row>
    <row r="24" spans="1:51" ht="50.25" customHeight="1">
      <c r="A24" s="19"/>
      <c r="B24" s="17"/>
      <c r="C24" s="17"/>
      <c r="D24" s="79" t="s">
        <v>218</v>
      </c>
      <c r="E24" s="80" t="s">
        <v>220</v>
      </c>
      <c r="F24" s="80" t="s">
        <v>364</v>
      </c>
      <c r="G24" s="80" t="s">
        <v>365</v>
      </c>
      <c r="H24" s="80" t="s">
        <v>25</v>
      </c>
      <c r="I24" s="81" t="s">
        <v>222</v>
      </c>
      <c r="J24" s="79" t="s">
        <v>218</v>
      </c>
      <c r="K24" s="80" t="s">
        <v>220</v>
      </c>
      <c r="L24" s="80" t="s">
        <v>221</v>
      </c>
      <c r="M24" s="80" t="s">
        <v>219</v>
      </c>
      <c r="N24" s="80" t="s">
        <v>25</v>
      </c>
      <c r="O24" s="81" t="s">
        <v>222</v>
      </c>
      <c r="P24" s="79" t="s">
        <v>218</v>
      </c>
      <c r="Q24" s="80" t="s">
        <v>220</v>
      </c>
      <c r="R24" s="80" t="s">
        <v>221</v>
      </c>
      <c r="S24" s="80" t="s">
        <v>219</v>
      </c>
      <c r="T24" s="80" t="s">
        <v>25</v>
      </c>
      <c r="U24" s="81" t="s">
        <v>222</v>
      </c>
      <c r="V24" s="79" t="s">
        <v>218</v>
      </c>
      <c r="W24" s="80" t="s">
        <v>220</v>
      </c>
      <c r="X24" s="80" t="s">
        <v>221</v>
      </c>
      <c r="Y24" s="80" t="s">
        <v>219</v>
      </c>
      <c r="Z24" s="80" t="s">
        <v>25</v>
      </c>
      <c r="AA24" s="81" t="s">
        <v>222</v>
      </c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</row>
    <row r="25" spans="1:51">
      <c r="A25" s="19"/>
      <c r="B25" s="17"/>
      <c r="C25" s="21" t="s">
        <v>36</v>
      </c>
      <c r="D25" s="64"/>
      <c r="I25" s="65">
        <f>SUM(D25,F25:H25)</f>
        <v>0</v>
      </c>
      <c r="J25" s="64"/>
      <c r="O25" s="65">
        <f>SUM(J25,L25:N25)</f>
        <v>0</v>
      </c>
      <c r="P25" s="64"/>
      <c r="U25" s="65">
        <f>SUM(P25,R25:T25)</f>
        <v>0</v>
      </c>
      <c r="V25" s="64"/>
      <c r="AA25" s="65">
        <f>SUM(V25,X25:Z25)</f>
        <v>0</v>
      </c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</row>
    <row r="26" spans="1:51">
      <c r="A26" s="19"/>
      <c r="B26" s="17"/>
      <c r="C26" s="21" t="s">
        <v>37</v>
      </c>
      <c r="D26" s="64"/>
      <c r="I26" s="65">
        <f t="shared" ref="I26:I38" si="0">SUM(D26,F26:H26)</f>
        <v>0</v>
      </c>
      <c r="J26" s="64"/>
      <c r="O26" s="65">
        <f t="shared" ref="O26:O38" si="1">SUM(J26,L26:N26)</f>
        <v>0</v>
      </c>
      <c r="P26" s="64"/>
      <c r="U26" s="65">
        <f t="shared" ref="U26:U38" si="2">SUM(P26,R26:T26)</f>
        <v>0</v>
      </c>
      <c r="V26" s="64"/>
      <c r="AA26" s="65">
        <f t="shared" ref="AA26:AA38" si="3">SUM(V26,X26:Z26)</f>
        <v>0</v>
      </c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</row>
    <row r="27" spans="1:51">
      <c r="A27" s="19"/>
      <c r="B27" s="17"/>
      <c r="C27" s="21" t="s">
        <v>139</v>
      </c>
      <c r="D27" s="64"/>
      <c r="I27" s="65">
        <f t="shared" si="0"/>
        <v>0</v>
      </c>
      <c r="J27" s="64"/>
      <c r="O27" s="65">
        <f t="shared" si="1"/>
        <v>0</v>
      </c>
      <c r="P27" s="64"/>
      <c r="U27" s="65">
        <f t="shared" si="2"/>
        <v>0</v>
      </c>
      <c r="V27" s="64"/>
      <c r="AA27" s="65">
        <f t="shared" si="3"/>
        <v>0</v>
      </c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</row>
    <row r="28" spans="1:51" ht="12.75" customHeight="1">
      <c r="A28" s="19"/>
      <c r="B28" s="17"/>
      <c r="C28" s="21" t="s">
        <v>12</v>
      </c>
      <c r="D28" s="64"/>
      <c r="I28" s="65">
        <f t="shared" si="0"/>
        <v>0</v>
      </c>
      <c r="J28" s="64"/>
      <c r="O28" s="65">
        <f t="shared" si="1"/>
        <v>0</v>
      </c>
      <c r="P28" s="64"/>
      <c r="U28" s="65">
        <f t="shared" si="2"/>
        <v>0</v>
      </c>
      <c r="V28" s="64"/>
      <c r="AA28" s="65">
        <f t="shared" si="3"/>
        <v>0</v>
      </c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</row>
    <row r="29" spans="1:51">
      <c r="A29" s="19"/>
      <c r="B29" s="17"/>
      <c r="C29" s="21" t="s">
        <v>13</v>
      </c>
      <c r="D29" s="64"/>
      <c r="I29" s="65">
        <f t="shared" si="0"/>
        <v>0</v>
      </c>
      <c r="J29" s="64"/>
      <c r="O29" s="65">
        <f t="shared" si="1"/>
        <v>0</v>
      </c>
      <c r="P29" s="64"/>
      <c r="U29" s="65">
        <f t="shared" si="2"/>
        <v>0</v>
      </c>
      <c r="V29" s="64"/>
      <c r="AA29" s="65">
        <f t="shared" si="3"/>
        <v>0</v>
      </c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</row>
    <row r="30" spans="1:51">
      <c r="A30" s="19"/>
      <c r="B30" s="17"/>
      <c r="C30" s="21" t="s">
        <v>24</v>
      </c>
      <c r="D30" s="64"/>
      <c r="I30" s="65">
        <f t="shared" si="0"/>
        <v>0</v>
      </c>
      <c r="J30" s="64"/>
      <c r="O30" s="65">
        <f t="shared" si="1"/>
        <v>0</v>
      </c>
      <c r="P30" s="64"/>
      <c r="U30" s="65">
        <f t="shared" si="2"/>
        <v>0</v>
      </c>
      <c r="V30" s="64"/>
      <c r="AA30" s="65">
        <f t="shared" si="3"/>
        <v>0</v>
      </c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</row>
    <row r="31" spans="1:51">
      <c r="A31" s="19"/>
      <c r="B31" s="17"/>
      <c r="C31" s="21" t="s">
        <v>15</v>
      </c>
      <c r="D31" s="64"/>
      <c r="I31" s="65">
        <f t="shared" si="0"/>
        <v>0</v>
      </c>
      <c r="J31" s="64"/>
      <c r="O31" s="65">
        <f t="shared" si="1"/>
        <v>0</v>
      </c>
      <c r="P31" s="64"/>
      <c r="U31" s="65">
        <f t="shared" si="2"/>
        <v>0</v>
      </c>
      <c r="V31" s="64"/>
      <c r="AA31" s="65">
        <f t="shared" si="3"/>
        <v>0</v>
      </c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</row>
    <row r="32" spans="1:51">
      <c r="A32" s="19"/>
      <c r="B32" s="17"/>
      <c r="C32" s="21" t="s">
        <v>16</v>
      </c>
      <c r="D32" s="64"/>
      <c r="I32" s="65">
        <f t="shared" si="0"/>
        <v>0</v>
      </c>
      <c r="J32" s="64"/>
      <c r="O32" s="65">
        <f t="shared" si="1"/>
        <v>0</v>
      </c>
      <c r="P32" s="64"/>
      <c r="U32" s="65">
        <f t="shared" si="2"/>
        <v>0</v>
      </c>
      <c r="V32" s="64"/>
      <c r="AA32" s="65">
        <f t="shared" si="3"/>
        <v>0</v>
      </c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</row>
    <row r="33" spans="1:51">
      <c r="A33" s="19"/>
      <c r="B33" s="17"/>
      <c r="C33" s="21" t="s">
        <v>17</v>
      </c>
      <c r="D33" s="64"/>
      <c r="I33" s="65">
        <f t="shared" si="0"/>
        <v>0</v>
      </c>
      <c r="J33" s="64"/>
      <c r="O33" s="65">
        <f t="shared" si="1"/>
        <v>0</v>
      </c>
      <c r="P33" s="64"/>
      <c r="U33" s="65">
        <f t="shared" si="2"/>
        <v>0</v>
      </c>
      <c r="V33" s="64"/>
      <c r="AA33" s="65">
        <f t="shared" si="3"/>
        <v>0</v>
      </c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</row>
    <row r="34" spans="1:51">
      <c r="A34" s="19"/>
      <c r="B34" s="17"/>
      <c r="C34" s="21" t="s">
        <v>18</v>
      </c>
      <c r="D34" s="64"/>
      <c r="I34" s="65">
        <f t="shared" si="0"/>
        <v>0</v>
      </c>
      <c r="J34" s="64"/>
      <c r="O34" s="65">
        <f t="shared" si="1"/>
        <v>0</v>
      </c>
      <c r="P34" s="64"/>
      <c r="U34" s="65">
        <f t="shared" si="2"/>
        <v>0</v>
      </c>
      <c r="V34" s="64"/>
      <c r="AA34" s="65">
        <f t="shared" si="3"/>
        <v>0</v>
      </c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</row>
    <row r="35" spans="1:51">
      <c r="A35" s="19"/>
      <c r="B35" s="17"/>
      <c r="C35" s="21" t="s">
        <v>19</v>
      </c>
      <c r="D35" s="64"/>
      <c r="I35" s="65">
        <f t="shared" si="0"/>
        <v>0</v>
      </c>
      <c r="J35" s="64"/>
      <c r="O35" s="65">
        <f t="shared" si="1"/>
        <v>0</v>
      </c>
      <c r="P35" s="64"/>
      <c r="U35" s="65">
        <f t="shared" si="2"/>
        <v>0</v>
      </c>
      <c r="V35" s="64"/>
      <c r="AA35" s="65">
        <f t="shared" si="3"/>
        <v>0</v>
      </c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</row>
    <row r="36" spans="1:51">
      <c r="A36" s="19"/>
      <c r="B36" s="17"/>
      <c r="C36" s="21" t="s">
        <v>20</v>
      </c>
      <c r="D36" s="64"/>
      <c r="I36" s="65">
        <f t="shared" si="0"/>
        <v>0</v>
      </c>
      <c r="J36" s="64"/>
      <c r="O36" s="65">
        <f t="shared" si="1"/>
        <v>0</v>
      </c>
      <c r="P36" s="64"/>
      <c r="U36" s="65">
        <f t="shared" si="2"/>
        <v>0</v>
      </c>
      <c r="V36" s="64"/>
      <c r="AA36" s="65">
        <f t="shared" si="3"/>
        <v>0</v>
      </c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</row>
    <row r="37" spans="1:51">
      <c r="A37" s="19"/>
      <c r="B37" s="17"/>
      <c r="C37" s="21" t="s">
        <v>120</v>
      </c>
      <c r="D37" s="64"/>
      <c r="I37" s="65">
        <f t="shared" si="0"/>
        <v>0</v>
      </c>
      <c r="J37" s="64"/>
      <c r="O37" s="65">
        <f t="shared" si="1"/>
        <v>0</v>
      </c>
      <c r="P37" s="64"/>
      <c r="U37" s="65">
        <f t="shared" si="2"/>
        <v>0</v>
      </c>
      <c r="V37" s="64"/>
      <c r="AA37" s="65">
        <f t="shared" si="3"/>
        <v>0</v>
      </c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</row>
    <row r="38" spans="1:51">
      <c r="A38" s="19"/>
      <c r="B38" s="17"/>
      <c r="C38" s="21" t="s">
        <v>23</v>
      </c>
      <c r="D38" s="66"/>
      <c r="E38" s="67"/>
      <c r="F38" s="67"/>
      <c r="G38" s="67"/>
      <c r="H38" s="67"/>
      <c r="I38" s="68">
        <f t="shared" si="0"/>
        <v>0</v>
      </c>
      <c r="J38" s="66"/>
      <c r="K38" s="67"/>
      <c r="L38" s="67"/>
      <c r="M38" s="67"/>
      <c r="N38" s="67"/>
      <c r="O38" s="68">
        <f t="shared" si="1"/>
        <v>0</v>
      </c>
      <c r="P38" s="66"/>
      <c r="Q38" s="67"/>
      <c r="R38" s="67"/>
      <c r="S38" s="67"/>
      <c r="T38" s="67"/>
      <c r="U38" s="68">
        <f t="shared" si="2"/>
        <v>0</v>
      </c>
      <c r="V38" s="66"/>
      <c r="W38" s="67"/>
      <c r="X38" s="67"/>
      <c r="Y38" s="67"/>
      <c r="Z38" s="67"/>
      <c r="AA38" s="68">
        <f t="shared" si="3"/>
        <v>0</v>
      </c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</row>
    <row r="39" spans="1:51">
      <c r="A39" s="19"/>
      <c r="B39" s="17"/>
      <c r="C39" s="21"/>
      <c r="D39" s="23" t="s">
        <v>366</v>
      </c>
      <c r="E39" s="17"/>
      <c r="F39" s="17"/>
      <c r="G39" s="17"/>
      <c r="H39" s="17"/>
      <c r="I39" s="17"/>
      <c r="J39" s="23" t="s">
        <v>366</v>
      </c>
      <c r="K39" s="17"/>
      <c r="L39" s="17"/>
      <c r="M39" s="17"/>
      <c r="N39" s="17"/>
      <c r="O39" s="17"/>
      <c r="P39" s="23" t="s">
        <v>366</v>
      </c>
      <c r="Q39" s="17"/>
      <c r="R39" s="17"/>
      <c r="S39" s="17"/>
      <c r="T39" s="17"/>
      <c r="U39" s="17"/>
      <c r="V39" s="23" t="s">
        <v>366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</row>
    <row r="40" spans="1:51">
      <c r="A40" s="19"/>
      <c r="B40" s="17"/>
      <c r="C40" s="21"/>
      <c r="D40" s="23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</row>
    <row r="41" spans="1:51" ht="21" customHeight="1">
      <c r="A41" s="19"/>
      <c r="B41" s="17"/>
      <c r="C41" s="20" t="s">
        <v>336</v>
      </c>
      <c r="D41" s="17"/>
      <c r="E41" s="17"/>
      <c r="F41" s="17"/>
      <c r="G41" s="17"/>
      <c r="H41" s="17"/>
      <c r="I41" s="17"/>
      <c r="J41" s="20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</row>
    <row r="42" spans="1:51">
      <c r="A42" s="19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</row>
    <row r="43" spans="1:51" ht="35.1" customHeight="1">
      <c r="A43" s="19"/>
      <c r="B43" s="17"/>
      <c r="C43" s="17"/>
      <c r="D43" s="196" t="s">
        <v>360</v>
      </c>
      <c r="E43" s="197"/>
      <c r="F43" s="197"/>
      <c r="G43" s="198"/>
      <c r="H43" s="17"/>
      <c r="I43" s="17"/>
      <c r="J43" s="196" t="s">
        <v>360</v>
      </c>
      <c r="K43" s="197"/>
      <c r="L43" s="197"/>
      <c r="M43" s="198"/>
      <c r="N43" s="17"/>
      <c r="O43" s="17"/>
      <c r="P43" s="196" t="s">
        <v>360</v>
      </c>
      <c r="Q43" s="197"/>
      <c r="R43" s="197"/>
      <c r="S43" s="198"/>
      <c r="T43" s="17"/>
      <c r="U43" s="17"/>
      <c r="V43" s="196" t="s">
        <v>360</v>
      </c>
      <c r="W43" s="197"/>
      <c r="X43" s="197"/>
      <c r="Y43" s="198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</row>
    <row r="44" spans="1:51" ht="38.25">
      <c r="A44" s="19"/>
      <c r="B44" s="17"/>
      <c r="C44" s="17"/>
      <c r="D44" s="71" t="s">
        <v>218</v>
      </c>
      <c r="E44" s="70" t="s">
        <v>221</v>
      </c>
      <c r="F44" s="70" t="s">
        <v>219</v>
      </c>
      <c r="G44" s="72" t="s">
        <v>25</v>
      </c>
      <c r="H44" s="111">
        <f>IF(H45=" må angis",1,0)</f>
        <v>0</v>
      </c>
      <c r="I44" s="17"/>
      <c r="J44" s="71" t="s">
        <v>218</v>
      </c>
      <c r="K44" s="70" t="s">
        <v>221</v>
      </c>
      <c r="L44" s="70" t="s">
        <v>219</v>
      </c>
      <c r="M44" s="72" t="s">
        <v>25</v>
      </c>
      <c r="N44" s="111">
        <f>IF(N45=" må angis",1,0)</f>
        <v>0</v>
      </c>
      <c r="O44" s="17"/>
      <c r="P44" s="71" t="s">
        <v>218</v>
      </c>
      <c r="Q44" s="70" t="s">
        <v>221</v>
      </c>
      <c r="R44" s="70" t="s">
        <v>219</v>
      </c>
      <c r="S44" s="72" t="s">
        <v>25</v>
      </c>
      <c r="T44" s="111">
        <f>IF(T45=" må angis",1,0)</f>
        <v>0</v>
      </c>
      <c r="U44" s="17"/>
      <c r="V44" s="71" t="s">
        <v>218</v>
      </c>
      <c r="W44" s="70" t="s">
        <v>221</v>
      </c>
      <c r="X44" s="70" t="s">
        <v>219</v>
      </c>
      <c r="Y44" s="72" t="s">
        <v>25</v>
      </c>
      <c r="Z44" s="111">
        <f>IF(Z45=" må angis",1,0)</f>
        <v>0</v>
      </c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</row>
    <row r="45" spans="1:51">
      <c r="A45" s="19"/>
      <c r="B45" s="17"/>
      <c r="C45" s="21" t="s">
        <v>24</v>
      </c>
      <c r="D45" s="66"/>
      <c r="E45" s="67"/>
      <c r="F45" s="67"/>
      <c r="G45" s="78"/>
      <c r="H45" s="45" t="str">
        <f>IF(I30=0,"",IF(SUM(D45:G45)=0," må angis",""))</f>
        <v/>
      </c>
      <c r="I45" s="17"/>
      <c r="J45" s="66"/>
      <c r="K45" s="67"/>
      <c r="L45" s="67"/>
      <c r="M45" s="78"/>
      <c r="N45" s="45" t="str">
        <f>IF(O30=0,"",IF(SUM(J45:M45)=0," må angis",""))</f>
        <v/>
      </c>
      <c r="O45" s="17"/>
      <c r="P45" s="66"/>
      <c r="Q45" s="67"/>
      <c r="R45" s="67"/>
      <c r="S45" s="78"/>
      <c r="T45" s="45" t="str">
        <f>IF(U30=0,"",IF(SUM(P45:S45)=0," må angis",""))</f>
        <v/>
      </c>
      <c r="U45" s="17"/>
      <c r="V45" s="66"/>
      <c r="W45" s="67"/>
      <c r="X45" s="67"/>
      <c r="Y45" s="78"/>
      <c r="Z45" s="45" t="str">
        <f>IF(AA30=0,"",IF(SUM(V45:Y45)=0," må angis",""))</f>
        <v/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</row>
    <row r="46" spans="1:51">
      <c r="A46" s="19"/>
      <c r="B46" s="17"/>
      <c r="C46" s="23"/>
      <c r="D46" s="17"/>
      <c r="E46" s="111"/>
      <c r="F46" s="17"/>
      <c r="G46" s="17"/>
      <c r="H46" s="17"/>
      <c r="I46" s="17"/>
      <c r="J46" s="17"/>
      <c r="K46" s="111"/>
      <c r="L46" s="17"/>
      <c r="M46" s="17"/>
      <c r="N46" s="17"/>
      <c r="O46" s="17"/>
      <c r="P46" s="17"/>
      <c r="Q46" s="111"/>
      <c r="R46" s="17"/>
      <c r="S46" s="17"/>
      <c r="T46" s="17"/>
      <c r="U46" s="17"/>
      <c r="V46" s="17"/>
      <c r="W46" s="111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</row>
    <row r="47" spans="1:51">
      <c r="A47" s="19"/>
      <c r="B47" s="17"/>
      <c r="C47" s="23"/>
      <c r="D47" s="17"/>
      <c r="E47" s="111">
        <f>IF(COUNTIF(E50:E53," må angis")&gt;0,1,0)</f>
        <v>0</v>
      </c>
      <c r="F47" s="17"/>
      <c r="G47" s="202" t="s">
        <v>313</v>
      </c>
      <c r="H47" s="203"/>
      <c r="I47" s="17"/>
      <c r="J47" s="17"/>
      <c r="K47" s="111">
        <f>IF(COUNTIF(K50:K53," må angis")&gt;0,1,0)</f>
        <v>0</v>
      </c>
      <c r="L47" s="17"/>
      <c r="M47" s="202" t="s">
        <v>313</v>
      </c>
      <c r="N47" s="203"/>
      <c r="O47" s="17"/>
      <c r="P47" s="17"/>
      <c r="Q47" s="111">
        <f>IF(COUNTIF(Q50:Q53," må angis")&gt;0,1,0)</f>
        <v>0</v>
      </c>
      <c r="R47" s="17"/>
      <c r="S47" s="202" t="s">
        <v>313</v>
      </c>
      <c r="T47" s="203"/>
      <c r="U47" s="17"/>
      <c r="V47" s="17"/>
      <c r="W47" s="111">
        <f>IF(COUNTIF(W50:W53," må angis")&gt;0,1,0)</f>
        <v>0</v>
      </c>
      <c r="X47" s="17"/>
      <c r="Y47" s="202" t="s">
        <v>313</v>
      </c>
      <c r="Z47" s="203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</row>
    <row r="48" spans="1:51">
      <c r="A48" s="19"/>
      <c r="B48" s="17"/>
      <c r="C48" s="17"/>
      <c r="D48" s="77" t="s">
        <v>29</v>
      </c>
      <c r="E48" s="17"/>
      <c r="F48" s="17"/>
      <c r="G48" s="40" t="s">
        <v>165</v>
      </c>
      <c r="H48" s="35" t="s">
        <v>164</v>
      </c>
      <c r="I48" s="17"/>
      <c r="J48" s="77" t="s">
        <v>29</v>
      </c>
      <c r="K48" s="17"/>
      <c r="L48" s="17"/>
      <c r="M48" s="40" t="s">
        <v>165</v>
      </c>
      <c r="N48" s="35" t="s">
        <v>164</v>
      </c>
      <c r="O48" s="17"/>
      <c r="P48" s="77" t="s">
        <v>29</v>
      </c>
      <c r="Q48" s="17"/>
      <c r="R48" s="17"/>
      <c r="S48" s="40" t="s">
        <v>165</v>
      </c>
      <c r="T48" s="35" t="s">
        <v>164</v>
      </c>
      <c r="U48" s="17"/>
      <c r="V48" s="77" t="s">
        <v>29</v>
      </c>
      <c r="W48" s="17"/>
      <c r="X48" s="17"/>
      <c r="Y48" s="40" t="s">
        <v>165</v>
      </c>
      <c r="Z48" s="35" t="s">
        <v>164</v>
      </c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</row>
    <row r="49" spans="1:51" ht="12.75" customHeight="1">
      <c r="A49" s="19"/>
      <c r="B49" s="17"/>
      <c r="C49" s="17"/>
      <c r="D49" s="83" t="s">
        <v>142</v>
      </c>
      <c r="E49" s="17"/>
      <c r="F49" s="21" t="s">
        <v>15</v>
      </c>
      <c r="G49" s="73" t="s">
        <v>151</v>
      </c>
      <c r="H49" s="82"/>
      <c r="I49" s="204" t="s">
        <v>314</v>
      </c>
      <c r="J49" s="83" t="s">
        <v>142</v>
      </c>
      <c r="K49" s="17"/>
      <c r="L49" s="21" t="s">
        <v>15</v>
      </c>
      <c r="M49" s="73" t="s">
        <v>151</v>
      </c>
      <c r="N49" s="82"/>
      <c r="O49" s="204" t="s">
        <v>314</v>
      </c>
      <c r="P49" s="83" t="s">
        <v>142</v>
      </c>
      <c r="Q49" s="17"/>
      <c r="R49" s="21" t="s">
        <v>15</v>
      </c>
      <c r="S49" s="73" t="s">
        <v>151</v>
      </c>
      <c r="T49" s="82"/>
      <c r="U49" s="204" t="s">
        <v>314</v>
      </c>
      <c r="V49" s="83" t="s">
        <v>142</v>
      </c>
      <c r="W49" s="17"/>
      <c r="X49" s="21" t="s">
        <v>15</v>
      </c>
      <c r="Y49" s="73" t="s">
        <v>151</v>
      </c>
      <c r="Z49" s="82"/>
      <c r="AA49" s="204" t="s">
        <v>314</v>
      </c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</row>
    <row r="50" spans="1:51">
      <c r="A50" s="19"/>
      <c r="B50" s="17"/>
      <c r="C50" s="22" t="s">
        <v>36</v>
      </c>
      <c r="D50" s="76"/>
      <c r="E50" s="45" t="str">
        <f>IF(I25=0,"",IF(D50=""," må angis",""))</f>
        <v/>
      </c>
      <c r="F50" s="21" t="s">
        <v>16</v>
      </c>
      <c r="G50" s="73" t="s">
        <v>152</v>
      </c>
      <c r="H50" s="82"/>
      <c r="I50" s="204"/>
      <c r="J50" s="76"/>
      <c r="K50" s="45" t="str">
        <f>IF(O25=0,"",IF(J50=""," må angis",""))</f>
        <v/>
      </c>
      <c r="L50" s="21" t="s">
        <v>16</v>
      </c>
      <c r="M50" s="73" t="s">
        <v>152</v>
      </c>
      <c r="N50" s="82"/>
      <c r="O50" s="204"/>
      <c r="P50" s="76"/>
      <c r="Q50" s="45" t="str">
        <f>IF(U25=0,"",IF(P50=""," må angis",""))</f>
        <v/>
      </c>
      <c r="R50" s="21" t="s">
        <v>16</v>
      </c>
      <c r="S50" s="73" t="s">
        <v>152</v>
      </c>
      <c r="T50" s="82"/>
      <c r="U50" s="204"/>
      <c r="V50" s="76"/>
      <c r="W50" s="45" t="str">
        <f>IF(AA25=0,"",IF(V50=""," må angis",""))</f>
        <v/>
      </c>
      <c r="X50" s="21" t="s">
        <v>16</v>
      </c>
      <c r="Y50" s="73" t="s">
        <v>152</v>
      </c>
      <c r="Z50" s="82"/>
      <c r="AA50" s="204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</row>
    <row r="51" spans="1:51" ht="25.5">
      <c r="A51" s="19"/>
      <c r="B51" s="17"/>
      <c r="C51" s="22" t="s">
        <v>37</v>
      </c>
      <c r="D51" s="76"/>
      <c r="E51" s="45" t="str">
        <f>IF(I26=0,"",IF(D51=""," må angis",""))</f>
        <v/>
      </c>
      <c r="F51" s="21" t="s">
        <v>17</v>
      </c>
      <c r="G51" s="74" t="s">
        <v>162</v>
      </c>
      <c r="H51" s="82"/>
      <c r="I51" s="204"/>
      <c r="J51" s="76"/>
      <c r="K51" s="45" t="str">
        <f>IF(O26=0,"",IF(J51=""," må angis",""))</f>
        <v/>
      </c>
      <c r="L51" s="21" t="s">
        <v>17</v>
      </c>
      <c r="M51" s="74" t="s">
        <v>162</v>
      </c>
      <c r="N51" s="82"/>
      <c r="O51" s="204"/>
      <c r="P51" s="76"/>
      <c r="Q51" s="45" t="str">
        <f>IF(U26=0,"",IF(P51=""," må angis",""))</f>
        <v/>
      </c>
      <c r="R51" s="21" t="s">
        <v>17</v>
      </c>
      <c r="S51" s="74" t="s">
        <v>162</v>
      </c>
      <c r="T51" s="82"/>
      <c r="U51" s="204"/>
      <c r="V51" s="76"/>
      <c r="W51" s="45" t="str">
        <f>IF(AA26=0,"",IF(V51=""," må angis",""))</f>
        <v/>
      </c>
      <c r="X51" s="21" t="s">
        <v>17</v>
      </c>
      <c r="Y51" s="74" t="s">
        <v>162</v>
      </c>
      <c r="Z51" s="82"/>
      <c r="AA51" s="204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</row>
    <row r="52" spans="1:51" ht="25.5">
      <c r="A52" s="19"/>
      <c r="B52" s="17"/>
      <c r="C52" s="22" t="s">
        <v>139</v>
      </c>
      <c r="D52" s="76"/>
      <c r="E52" s="45" t="str">
        <f>IF(I27=0,"",IF(D52=""," må angis",""))</f>
        <v/>
      </c>
      <c r="F52" s="21" t="s">
        <v>18</v>
      </c>
      <c r="G52" s="74" t="s">
        <v>162</v>
      </c>
      <c r="H52" s="82"/>
      <c r="I52" s="204"/>
      <c r="J52" s="76"/>
      <c r="K52" s="45" t="str">
        <f>IF(O27=0,"",IF(J52=""," må angis",""))</f>
        <v/>
      </c>
      <c r="L52" s="21" t="s">
        <v>18</v>
      </c>
      <c r="M52" s="74" t="s">
        <v>162</v>
      </c>
      <c r="N52" s="82"/>
      <c r="O52" s="204"/>
      <c r="P52" s="76"/>
      <c r="Q52" s="45" t="str">
        <f>IF(U27=0,"",IF(P52=""," må angis",""))</f>
        <v/>
      </c>
      <c r="R52" s="21" t="s">
        <v>18</v>
      </c>
      <c r="S52" s="74" t="s">
        <v>162</v>
      </c>
      <c r="T52" s="82"/>
      <c r="U52" s="204"/>
      <c r="V52" s="76"/>
      <c r="W52" s="45" t="str">
        <f>IF(AA27=0,"",IF(V52=""," må angis",""))</f>
        <v/>
      </c>
      <c r="X52" s="21" t="s">
        <v>18</v>
      </c>
      <c r="Y52" s="74" t="s">
        <v>162</v>
      </c>
      <c r="Z52" s="82"/>
      <c r="AA52" s="204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</row>
    <row r="53" spans="1:51">
      <c r="A53" s="19"/>
      <c r="B53" s="17"/>
      <c r="C53" s="22" t="s">
        <v>12</v>
      </c>
      <c r="D53" s="69"/>
      <c r="E53" s="45" t="str">
        <f>IF(I28=0,"",IF(D53=""," må angis",""))</f>
        <v/>
      </c>
      <c r="F53" s="21" t="s">
        <v>19</v>
      </c>
      <c r="G53" s="74" t="s">
        <v>155</v>
      </c>
      <c r="H53" s="82"/>
      <c r="I53" s="204"/>
      <c r="J53" s="144"/>
      <c r="K53" s="45" t="str">
        <f>IF(O28=0,"",IF(J53=""," må angis",""))</f>
        <v/>
      </c>
      <c r="L53" s="21" t="s">
        <v>19</v>
      </c>
      <c r="M53" s="74" t="s">
        <v>155</v>
      </c>
      <c r="N53" s="82"/>
      <c r="O53" s="204"/>
      <c r="P53" s="144"/>
      <c r="Q53" s="45" t="str">
        <f>IF(U28=0,"",IF(P53=""," må angis",""))</f>
        <v/>
      </c>
      <c r="R53" s="21" t="s">
        <v>19</v>
      </c>
      <c r="S53" s="74" t="s">
        <v>155</v>
      </c>
      <c r="T53" s="82"/>
      <c r="U53" s="204"/>
      <c r="V53" s="144"/>
      <c r="W53" s="45" t="str">
        <f>IF(AA28=0,"",IF(V53=""," må angis",""))</f>
        <v/>
      </c>
      <c r="X53" s="21" t="s">
        <v>19</v>
      </c>
      <c r="Y53" s="74" t="s">
        <v>155</v>
      </c>
      <c r="Z53" s="82"/>
      <c r="AA53" s="204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</row>
    <row r="54" spans="1:51" ht="25.5">
      <c r="A54" s="19"/>
      <c r="B54" s="17"/>
      <c r="C54" s="22"/>
      <c r="D54" s="17"/>
      <c r="E54" s="17"/>
      <c r="F54" s="21" t="s">
        <v>20</v>
      </c>
      <c r="G54" s="75" t="s">
        <v>163</v>
      </c>
      <c r="H54" s="78"/>
      <c r="I54" s="204"/>
      <c r="J54" s="17"/>
      <c r="K54" s="17"/>
      <c r="L54" s="21" t="s">
        <v>20</v>
      </c>
      <c r="M54" s="75" t="s">
        <v>163</v>
      </c>
      <c r="N54" s="78"/>
      <c r="O54" s="204"/>
      <c r="P54" s="17"/>
      <c r="Q54" s="17"/>
      <c r="R54" s="21" t="s">
        <v>20</v>
      </c>
      <c r="S54" s="75" t="s">
        <v>163</v>
      </c>
      <c r="T54" s="78"/>
      <c r="U54" s="204"/>
      <c r="V54" s="17"/>
      <c r="W54" s="17"/>
      <c r="X54" s="21" t="s">
        <v>20</v>
      </c>
      <c r="Y54" s="75" t="s">
        <v>163</v>
      </c>
      <c r="Z54" s="78"/>
      <c r="AA54" s="204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</row>
    <row r="55" spans="1:51">
      <c r="A55" s="19"/>
      <c r="B55" s="17"/>
      <c r="C55" s="22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</row>
    <row r="56" spans="1:51" ht="18">
      <c r="A56" s="19"/>
      <c r="B56" s="17"/>
      <c r="C56" s="20" t="s">
        <v>337</v>
      </c>
      <c r="D56" s="17"/>
      <c r="E56" s="17"/>
      <c r="F56" s="17"/>
      <c r="G56" s="17"/>
      <c r="H56" s="17"/>
      <c r="I56" s="17"/>
      <c r="J56" s="20"/>
      <c r="K56" s="17"/>
      <c r="L56" s="17"/>
      <c r="M56" s="17"/>
      <c r="N56" s="17"/>
      <c r="O56" s="17"/>
      <c r="P56" s="20"/>
      <c r="Q56" s="17"/>
      <c r="R56" s="17"/>
      <c r="S56" s="17"/>
      <c r="T56" s="17"/>
      <c r="U56" s="17"/>
      <c r="V56" s="20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</row>
    <row r="57" spans="1:51" ht="14.25">
      <c r="A57" s="19"/>
      <c r="B57" s="17"/>
      <c r="C57" s="146" t="s">
        <v>415</v>
      </c>
      <c r="D57" s="17"/>
      <c r="E57" s="17"/>
      <c r="F57" s="17"/>
      <c r="G57" s="17"/>
      <c r="H57" s="17"/>
      <c r="I57" s="111">
        <f>IF(COUNTIF(I61:I73," må angis")&gt;0,1,0)</f>
        <v>0</v>
      </c>
      <c r="J57" s="17"/>
      <c r="K57" s="17"/>
      <c r="L57" s="17"/>
      <c r="M57" s="17"/>
      <c r="N57" s="17"/>
      <c r="O57" s="111">
        <f>IF(COUNTIF(O61:O73," må angis")&gt;0,1,0)</f>
        <v>0</v>
      </c>
      <c r="P57" s="17"/>
      <c r="Q57" s="17"/>
      <c r="R57" s="17"/>
      <c r="S57" s="17"/>
      <c r="T57" s="17"/>
      <c r="U57" s="111">
        <f>IF(COUNTIF(U61:U73," må angis")&gt;0,1,0)</f>
        <v>0</v>
      </c>
      <c r="V57" s="17"/>
      <c r="W57" s="17"/>
      <c r="X57" s="17"/>
      <c r="Y57" s="17"/>
      <c r="Z57" s="17"/>
      <c r="AA57" s="111">
        <f>IF(COUNTIF(AA61:AA73," må angis")&gt;0,1,0)</f>
        <v>0</v>
      </c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</row>
    <row r="58" spans="1:51" ht="14.25">
      <c r="A58" s="19"/>
      <c r="B58" s="17"/>
      <c r="C58" s="146"/>
      <c r="D58" s="17"/>
      <c r="E58" s="17"/>
      <c r="F58" s="17"/>
      <c r="G58" s="17"/>
      <c r="H58" s="17"/>
      <c r="I58" s="111"/>
      <c r="J58" s="17"/>
      <c r="K58" s="17"/>
      <c r="L58" s="17"/>
      <c r="M58" s="17"/>
      <c r="N58" s="17"/>
      <c r="O58" s="111"/>
      <c r="P58" s="17"/>
      <c r="Q58" s="17"/>
      <c r="R58" s="17"/>
      <c r="S58" s="17"/>
      <c r="T58" s="17"/>
      <c r="U58" s="111"/>
      <c r="V58" s="17"/>
      <c r="W58" s="17"/>
      <c r="X58" s="17"/>
      <c r="Y58" s="17"/>
      <c r="Z58" s="17"/>
      <c r="AA58" s="111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</row>
    <row r="59" spans="1:51" ht="19.350000000000001" customHeight="1">
      <c r="A59" s="19"/>
      <c r="B59" s="17"/>
      <c r="C59" s="17"/>
      <c r="D59" s="193" t="str">
        <f>"Alternativ 1 - Bygninger på området (spesifikk lokalisering "&amp;'Nøkkelinfo og veiledning'!$F$12&amp;")"</f>
        <v>Alternativ 1 - Bygninger på området (spesifikk lokalisering )</v>
      </c>
      <c r="E59" s="194"/>
      <c r="F59" s="194"/>
      <c r="G59" s="194"/>
      <c r="H59" s="195"/>
      <c r="I59" s="17"/>
      <c r="J59" s="193" t="str">
        <f>"Alternativ 2 - Bygninger på området (spesifikk lokalisering "&amp;'Nøkkelinfo og veiledning'!$F$12&amp;")"</f>
        <v>Alternativ 2 - Bygninger på området (spesifikk lokalisering )</v>
      </c>
      <c r="K59" s="194"/>
      <c r="L59" s="194"/>
      <c r="M59" s="194"/>
      <c r="N59" s="195"/>
      <c r="O59" s="170"/>
      <c r="P59" s="199" t="str">
        <f>"Alternativ 3 - Bygninger på området (spesifikk lokalisering "&amp;'Nøkkelinfo og veiledning'!$F$12&amp;")"</f>
        <v>Alternativ 3 - Bygninger på området (spesifikk lokalisering )</v>
      </c>
      <c r="Q59" s="200"/>
      <c r="R59" s="200"/>
      <c r="S59" s="200"/>
      <c r="T59" s="201"/>
      <c r="U59" s="17"/>
      <c r="V59" s="193" t="str">
        <f>"Alternativ 4 - Bygninger på området (spesifikk lokalisering "&amp;'Nøkkelinfo og veiledning'!$F$12&amp;")"</f>
        <v>Alternativ 4 - Bygninger på området (spesifikk lokalisering )</v>
      </c>
      <c r="W59" s="194"/>
      <c r="X59" s="194"/>
      <c r="Y59" s="194"/>
      <c r="Z59" s="195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</row>
    <row r="60" spans="1:51" ht="27">
      <c r="A60" s="19"/>
      <c r="B60" s="17"/>
      <c r="C60" s="17"/>
      <c r="D60" s="79" t="s">
        <v>143</v>
      </c>
      <c r="E60" s="80" t="s">
        <v>145</v>
      </c>
      <c r="F60" s="80" t="s">
        <v>146</v>
      </c>
      <c r="G60" s="80" t="s">
        <v>147</v>
      </c>
      <c r="H60" s="81" t="s">
        <v>393</v>
      </c>
      <c r="I60" s="17"/>
      <c r="J60" s="79" t="s">
        <v>143</v>
      </c>
      <c r="K60" s="80" t="s">
        <v>145</v>
      </c>
      <c r="L60" s="80" t="s">
        <v>146</v>
      </c>
      <c r="M60" s="80" t="s">
        <v>147</v>
      </c>
      <c r="N60" s="81" t="s">
        <v>393</v>
      </c>
      <c r="O60" s="170"/>
      <c r="P60" s="79" t="s">
        <v>143</v>
      </c>
      <c r="Q60" s="80" t="s">
        <v>145</v>
      </c>
      <c r="R60" s="80" t="s">
        <v>146</v>
      </c>
      <c r="S60" s="80" t="s">
        <v>147</v>
      </c>
      <c r="T60" s="81" t="s">
        <v>393</v>
      </c>
      <c r="U60" s="17"/>
      <c r="V60" s="79" t="s">
        <v>143</v>
      </c>
      <c r="W60" s="80" t="s">
        <v>145</v>
      </c>
      <c r="X60" s="80" t="s">
        <v>146</v>
      </c>
      <c r="Y60" s="80" t="s">
        <v>147</v>
      </c>
      <c r="Z60" s="81" t="s">
        <v>393</v>
      </c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</row>
    <row r="61" spans="1:51">
      <c r="A61" s="19"/>
      <c r="B61" s="17"/>
      <c r="C61" s="21" t="s">
        <v>203</v>
      </c>
      <c r="D61" s="57">
        <f>SUM(I25:I28)</f>
        <v>0</v>
      </c>
      <c r="E61" s="84"/>
      <c r="F61" s="110">
        <f>SUM(D198:D201)</f>
        <v>0</v>
      </c>
      <c r="G61" s="84"/>
      <c r="H61" s="82"/>
      <c r="I61" s="45" t="str">
        <f>IF(D61=0,"",IF(H61=""," må angis",""))</f>
        <v/>
      </c>
      <c r="J61" s="57">
        <f>SUM(O25:O28)</f>
        <v>0</v>
      </c>
      <c r="K61" s="84"/>
      <c r="L61" s="110">
        <f>SUM(J198:J201)</f>
        <v>0</v>
      </c>
      <c r="M61" s="84"/>
      <c r="N61" s="82"/>
      <c r="O61" s="174" t="str">
        <f>IF(J61=0,"",IF(N61=""," må angis",""))</f>
        <v/>
      </c>
      <c r="P61" s="175">
        <f>SUM(U25:U28)</f>
        <v>0</v>
      </c>
      <c r="Q61" s="176"/>
      <c r="R61" s="172">
        <f>SUM(P198:P201)</f>
        <v>0</v>
      </c>
      <c r="S61" s="176"/>
      <c r="T61" s="177"/>
      <c r="U61" s="45" t="str">
        <f>IF(P61=0,"",IF(T61=""," må angis",""))</f>
        <v/>
      </c>
      <c r="V61" s="57">
        <f>SUM(AA25:AA28)</f>
        <v>0</v>
      </c>
      <c r="W61" s="84"/>
      <c r="X61" s="110">
        <f>SUM(V198:V201)</f>
        <v>0</v>
      </c>
      <c r="Y61" s="84"/>
      <c r="Z61" s="82"/>
      <c r="AA61" s="45" t="str">
        <f>IF(V61=0,"",IF(Z61=""," må angis",""))</f>
        <v/>
      </c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</row>
    <row r="62" spans="1:51">
      <c r="A62" s="19"/>
      <c r="B62" s="17"/>
      <c r="C62" s="21" t="s">
        <v>13</v>
      </c>
      <c r="D62" s="57">
        <f>I29</f>
        <v>0</v>
      </c>
      <c r="E62" s="17">
        <f>$P$8*D62/100</f>
        <v>0</v>
      </c>
      <c r="F62" s="84"/>
      <c r="G62" s="17">
        <f>$Q$8*D62/100</f>
        <v>0</v>
      </c>
      <c r="H62" s="82"/>
      <c r="I62" s="45" t="str">
        <f t="shared" ref="I62:I73" si="4">IF(D62=0,"",IF(H62=""," må angis",""))</f>
        <v/>
      </c>
      <c r="J62" s="57">
        <f>O29</f>
        <v>0</v>
      </c>
      <c r="K62" s="17">
        <f>$P$8*J62/100</f>
        <v>0</v>
      </c>
      <c r="L62" s="84"/>
      <c r="M62" s="17">
        <f>$Q$8*J62/100</f>
        <v>0</v>
      </c>
      <c r="N62" s="82"/>
      <c r="O62" s="174" t="str">
        <f t="shared" ref="O62:O73" si="5">IF(J62=0,"",IF(N62=""," må angis",""))</f>
        <v/>
      </c>
      <c r="P62" s="175">
        <f>U29</f>
        <v>0</v>
      </c>
      <c r="Q62" s="170">
        <f>$P$8*P62/100</f>
        <v>0</v>
      </c>
      <c r="R62" s="176"/>
      <c r="S62" s="170">
        <f>$Q$8*P62/100</f>
        <v>0</v>
      </c>
      <c r="T62" s="177"/>
      <c r="U62" s="45" t="str">
        <f t="shared" ref="U62:U73" si="6">IF(P62=0,"",IF(T62=""," må angis",""))</f>
        <v/>
      </c>
      <c r="V62" s="57">
        <f>AA29</f>
        <v>0</v>
      </c>
      <c r="W62" s="17">
        <f>$P$8*V62/100</f>
        <v>0</v>
      </c>
      <c r="X62" s="84"/>
      <c r="Y62" s="17">
        <f>$Q$8*V62/100</f>
        <v>0</v>
      </c>
      <c r="Z62" s="82"/>
      <c r="AA62" s="45" t="str">
        <f t="shared" ref="AA62:AA73" si="7">IF(V62=0,"",IF(Z62=""," må angis",""))</f>
        <v/>
      </c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</row>
    <row r="63" spans="1:51">
      <c r="A63" s="19"/>
      <c r="B63" s="17"/>
      <c r="C63" s="21" t="s">
        <v>208</v>
      </c>
      <c r="D63" s="57">
        <f>I30</f>
        <v>0</v>
      </c>
      <c r="E63" s="110">
        <f>IFERROR(D202,0)</f>
        <v>0</v>
      </c>
      <c r="F63" s="84"/>
      <c r="G63" s="17">
        <f>D63*1.4</f>
        <v>0</v>
      </c>
      <c r="H63" s="82"/>
      <c r="I63" s="45" t="str">
        <f>IF(D63=0,"",IF(AND(H63="",H64="")," må angis",""))</f>
        <v/>
      </c>
      <c r="J63" s="57">
        <f>O30</f>
        <v>0</v>
      </c>
      <c r="K63" s="110">
        <f>IFERROR(J202,0)</f>
        <v>0</v>
      </c>
      <c r="L63" s="84"/>
      <c r="M63" s="17">
        <f>J63*1.4</f>
        <v>0</v>
      </c>
      <c r="N63" s="82"/>
      <c r="O63" s="174" t="str">
        <f>IF(J63=0,"",IF(AND(N63="",N64="")," må angis",""))</f>
        <v/>
      </c>
      <c r="P63" s="175">
        <f>U30</f>
        <v>0</v>
      </c>
      <c r="Q63" s="172">
        <f>IFERROR(P202,0)</f>
        <v>0</v>
      </c>
      <c r="R63" s="176"/>
      <c r="S63" s="170">
        <f>P63*1.4</f>
        <v>0</v>
      </c>
      <c r="T63" s="177"/>
      <c r="U63" s="45" t="str">
        <f>IF(P63=0,"",IF(AND(T63="",T64="")," må angis",""))</f>
        <v/>
      </c>
      <c r="V63" s="57">
        <f>AA30</f>
        <v>0</v>
      </c>
      <c r="W63" s="110">
        <f>IFERROR(V202,0)</f>
        <v>0</v>
      </c>
      <c r="X63" s="84"/>
      <c r="Y63" s="17">
        <f>V63*1.4</f>
        <v>0</v>
      </c>
      <c r="Z63" s="82"/>
      <c r="AA63" s="45" t="str">
        <f>IF(V63=0,"",IF(AND(Z63="",Z64="")," må angis",""))</f>
        <v/>
      </c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</row>
    <row r="64" spans="1:51">
      <c r="A64" s="19"/>
      <c r="B64" s="17"/>
      <c r="C64" s="21" t="s">
        <v>209</v>
      </c>
      <c r="D64" s="57">
        <f t="shared" ref="D64:D71" si="8">I30</f>
        <v>0</v>
      </c>
      <c r="E64" s="110">
        <f>IFERROR(D202,0)</f>
        <v>0</v>
      </c>
      <c r="F64" s="84"/>
      <c r="G64" s="17">
        <f>D64*0.7</f>
        <v>0</v>
      </c>
      <c r="H64" s="82"/>
      <c r="I64" s="45" t="str">
        <f>IF(D64=0,"",IF(AND(H63="",H64="")," må angis",""))</f>
        <v/>
      </c>
      <c r="J64" s="57">
        <f t="shared" ref="J64:J71" si="9">O30</f>
        <v>0</v>
      </c>
      <c r="K64" s="110">
        <f>IFERROR(J202,0)</f>
        <v>0</v>
      </c>
      <c r="L64" s="84"/>
      <c r="M64" s="17">
        <f>J64*0.7</f>
        <v>0</v>
      </c>
      <c r="N64" s="82"/>
      <c r="O64" s="174" t="str">
        <f>IF(J64=0,"",IF(AND(N63="",N64="")," må angis",""))</f>
        <v/>
      </c>
      <c r="P64" s="175">
        <f t="shared" ref="P64:P71" si="10">U30</f>
        <v>0</v>
      </c>
      <c r="Q64" s="172">
        <f>IFERROR(P202,0)</f>
        <v>0</v>
      </c>
      <c r="R64" s="176"/>
      <c r="S64" s="170">
        <f>P64*0.7</f>
        <v>0</v>
      </c>
      <c r="T64" s="177"/>
      <c r="U64" s="45" t="str">
        <f>IF(P64=0,"",IF(AND(T63="",T64="")," må angis",""))</f>
        <v/>
      </c>
      <c r="V64" s="57">
        <f t="shared" ref="V64:V71" si="11">AA30</f>
        <v>0</v>
      </c>
      <c r="W64" s="110">
        <f>IFERROR(V202,0)</f>
        <v>0</v>
      </c>
      <c r="X64" s="84"/>
      <c r="Y64" s="17">
        <f>V64*0.7</f>
        <v>0</v>
      </c>
      <c r="Z64" s="82"/>
      <c r="AA64" s="45" t="str">
        <f>IF(V64=0,"",IF(AND(Z63="",Z64="")," må angis",""))</f>
        <v/>
      </c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</row>
    <row r="65" spans="1:51">
      <c r="A65" s="19"/>
      <c r="B65" s="17"/>
      <c r="C65" s="21" t="s">
        <v>15</v>
      </c>
      <c r="D65" s="57">
        <f t="shared" si="8"/>
        <v>0</v>
      </c>
      <c r="E65" s="17">
        <f>$P$11*D65/100</f>
        <v>0</v>
      </c>
      <c r="F65" s="84"/>
      <c r="G65" s="17">
        <f>IF(H$49="",$Q$11*D65/100,H$49)</f>
        <v>0</v>
      </c>
      <c r="H65" s="82"/>
      <c r="I65" s="45" t="str">
        <f t="shared" si="4"/>
        <v/>
      </c>
      <c r="J65" s="57">
        <f t="shared" si="9"/>
        <v>0</v>
      </c>
      <c r="K65" s="17">
        <f>$P$11*J65/100</f>
        <v>0</v>
      </c>
      <c r="L65" s="84"/>
      <c r="M65" s="17">
        <f>IF(N$49="",$Q$11*J65/100,N$49)</f>
        <v>0</v>
      </c>
      <c r="N65" s="82"/>
      <c r="O65" s="174" t="str">
        <f t="shared" ref="O65:O70" si="12">IF(J65=0,"",IF(N65=""," må angis",""))</f>
        <v/>
      </c>
      <c r="P65" s="175">
        <f t="shared" si="10"/>
        <v>0</v>
      </c>
      <c r="Q65" s="170">
        <f>$P$11*P65/100</f>
        <v>0</v>
      </c>
      <c r="R65" s="176"/>
      <c r="S65" s="170">
        <f>IF(T$49="",$Q$11*P65/100,T$49)</f>
        <v>0</v>
      </c>
      <c r="T65" s="177"/>
      <c r="U65" s="45" t="str">
        <f t="shared" ref="U65:U70" si="13">IF(P65=0,"",IF(T65=""," må angis",""))</f>
        <v/>
      </c>
      <c r="V65" s="57">
        <f t="shared" si="11"/>
        <v>0</v>
      </c>
      <c r="W65" s="17">
        <f>$P$11*V65/100</f>
        <v>0</v>
      </c>
      <c r="X65" s="84"/>
      <c r="Y65" s="17">
        <f>IF(Z$49="",$Q$11*V65/100,Z$49)</f>
        <v>0</v>
      </c>
      <c r="Z65" s="82"/>
      <c r="AA65" s="45" t="str">
        <f t="shared" ref="AA65:AA70" si="14">IF(V65=0,"",IF(Z65=""," må angis",""))</f>
        <v/>
      </c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</row>
    <row r="66" spans="1:51">
      <c r="A66" s="19"/>
      <c r="B66" s="17"/>
      <c r="C66" s="21" t="s">
        <v>16</v>
      </c>
      <c r="D66" s="57">
        <f t="shared" si="8"/>
        <v>0</v>
      </c>
      <c r="E66" s="17">
        <f>$P$12*D66/100</f>
        <v>0</v>
      </c>
      <c r="F66" s="84"/>
      <c r="G66" s="17">
        <f>IF(H$50="",$Q$12*D66/100,H$50)</f>
        <v>0</v>
      </c>
      <c r="H66" s="82"/>
      <c r="I66" s="45" t="str">
        <f t="shared" si="4"/>
        <v/>
      </c>
      <c r="J66" s="57">
        <f t="shared" si="9"/>
        <v>0</v>
      </c>
      <c r="K66" s="17">
        <f>$P$12*J66/100</f>
        <v>0</v>
      </c>
      <c r="L66" s="84"/>
      <c r="M66" s="17">
        <f>IF(N$50="",$Q$12*J66/100,N$50)</f>
        <v>0</v>
      </c>
      <c r="N66" s="82"/>
      <c r="O66" s="174" t="str">
        <f t="shared" si="12"/>
        <v/>
      </c>
      <c r="P66" s="175">
        <f t="shared" si="10"/>
        <v>0</v>
      </c>
      <c r="Q66" s="170">
        <f>$P$12*P66/100</f>
        <v>0</v>
      </c>
      <c r="R66" s="176"/>
      <c r="S66" s="170">
        <f>IF(T$50="",$Q$12*P66/100,T$50)</f>
        <v>0</v>
      </c>
      <c r="T66" s="177"/>
      <c r="U66" s="45" t="str">
        <f t="shared" si="13"/>
        <v/>
      </c>
      <c r="V66" s="57">
        <f t="shared" si="11"/>
        <v>0</v>
      </c>
      <c r="W66" s="17">
        <f>$P$12*V66/100</f>
        <v>0</v>
      </c>
      <c r="X66" s="84"/>
      <c r="Y66" s="17">
        <f>IF(Z$50="",$Q$12*V66/100,Z$50)</f>
        <v>0</v>
      </c>
      <c r="Z66" s="82"/>
      <c r="AA66" s="45" t="str">
        <f t="shared" si="14"/>
        <v/>
      </c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</row>
    <row r="67" spans="1:51">
      <c r="A67" s="19"/>
      <c r="B67" s="17"/>
      <c r="C67" s="21" t="s">
        <v>17</v>
      </c>
      <c r="D67" s="57">
        <f t="shared" si="8"/>
        <v>0</v>
      </c>
      <c r="E67" s="17">
        <f>$P$13*D67/100</f>
        <v>0</v>
      </c>
      <c r="F67" s="84"/>
      <c r="G67" s="17">
        <f>IF(H$51="",$Q$13*D67/100,H$51)</f>
        <v>0</v>
      </c>
      <c r="H67" s="82"/>
      <c r="I67" s="45" t="str">
        <f t="shared" si="4"/>
        <v/>
      </c>
      <c r="J67" s="57">
        <f t="shared" si="9"/>
        <v>0</v>
      </c>
      <c r="K67" s="17">
        <f>$P$13*J67/100</f>
        <v>0</v>
      </c>
      <c r="L67" s="84"/>
      <c r="M67" s="17">
        <f>IF(N$51="",$Q$13*J67/100,N$51)</f>
        <v>0</v>
      </c>
      <c r="N67" s="82"/>
      <c r="O67" s="174" t="str">
        <f t="shared" si="12"/>
        <v/>
      </c>
      <c r="P67" s="175">
        <f t="shared" si="10"/>
        <v>0</v>
      </c>
      <c r="Q67" s="170">
        <f>$P$13*P67/100</f>
        <v>0</v>
      </c>
      <c r="R67" s="176"/>
      <c r="S67" s="170">
        <f>IF(T$51="",$Q$13*P67/100,T$51)</f>
        <v>0</v>
      </c>
      <c r="T67" s="177"/>
      <c r="U67" s="45" t="str">
        <f t="shared" si="13"/>
        <v/>
      </c>
      <c r="V67" s="57">
        <f t="shared" si="11"/>
        <v>0</v>
      </c>
      <c r="W67" s="17">
        <f>$P$13*V67/100</f>
        <v>0</v>
      </c>
      <c r="X67" s="84"/>
      <c r="Y67" s="17">
        <f>IF(Z$51="",$Q$13*V67/100,Z$51)</f>
        <v>0</v>
      </c>
      <c r="Z67" s="82"/>
      <c r="AA67" s="45" t="str">
        <f t="shared" si="14"/>
        <v/>
      </c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</row>
    <row r="68" spans="1:51">
      <c r="A68" s="19"/>
      <c r="B68" s="17"/>
      <c r="C68" s="21" t="s">
        <v>18</v>
      </c>
      <c r="D68" s="57">
        <f t="shared" si="8"/>
        <v>0</v>
      </c>
      <c r="E68" s="17">
        <f>$P$14*D68/100</f>
        <v>0</v>
      </c>
      <c r="F68" s="84"/>
      <c r="G68" s="17">
        <f>IF(H$52="",$Q$14*D68/100,H$52*0.25)</f>
        <v>0</v>
      </c>
      <c r="H68" s="82"/>
      <c r="I68" s="45" t="str">
        <f t="shared" si="4"/>
        <v/>
      </c>
      <c r="J68" s="57">
        <f t="shared" si="9"/>
        <v>0</v>
      </c>
      <c r="K68" s="17">
        <f>$P$14*J68/100</f>
        <v>0</v>
      </c>
      <c r="L68" s="84"/>
      <c r="M68" s="17">
        <f>IF(N$52="",$Q$14*J68/100,N$52*0.25)</f>
        <v>0</v>
      </c>
      <c r="N68" s="82"/>
      <c r="O68" s="174" t="str">
        <f t="shared" si="12"/>
        <v/>
      </c>
      <c r="P68" s="175">
        <f t="shared" si="10"/>
        <v>0</v>
      </c>
      <c r="Q68" s="170">
        <f>$P$14*P68/100</f>
        <v>0</v>
      </c>
      <c r="R68" s="176"/>
      <c r="S68" s="170">
        <f>IF(T$52="",$Q$14*P68/100,T$52*0.25)</f>
        <v>0</v>
      </c>
      <c r="T68" s="177"/>
      <c r="U68" s="45" t="str">
        <f t="shared" si="13"/>
        <v/>
      </c>
      <c r="V68" s="57">
        <f t="shared" si="11"/>
        <v>0</v>
      </c>
      <c r="W68" s="17">
        <f>$P$14*V68/100</f>
        <v>0</v>
      </c>
      <c r="X68" s="84"/>
      <c r="Y68" s="17">
        <f>IF(Z$52="",$Q$14*V68/100,Z$52*0.25)</f>
        <v>0</v>
      </c>
      <c r="Z68" s="82"/>
      <c r="AA68" s="45" t="str">
        <f t="shared" si="14"/>
        <v/>
      </c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</row>
    <row r="69" spans="1:51">
      <c r="A69" s="19"/>
      <c r="B69" s="17"/>
      <c r="C69" s="21" t="s">
        <v>19</v>
      </c>
      <c r="D69" s="57">
        <f t="shared" si="8"/>
        <v>0</v>
      </c>
      <c r="E69" s="17">
        <f>$P$15*D69/100</f>
        <v>0</v>
      </c>
      <c r="F69" s="84"/>
      <c r="G69" s="17">
        <f>IF(H$53="",$Q$15*D69/100,H$53)</f>
        <v>0</v>
      </c>
      <c r="H69" s="82"/>
      <c r="I69" s="45" t="str">
        <f t="shared" si="4"/>
        <v/>
      </c>
      <c r="J69" s="57">
        <f t="shared" si="9"/>
        <v>0</v>
      </c>
      <c r="K69" s="17">
        <f>$P$15*J69/100</f>
        <v>0</v>
      </c>
      <c r="L69" s="84"/>
      <c r="M69" s="17">
        <f>IF(N$53="",$Q$15*J69/100,N$53)</f>
        <v>0</v>
      </c>
      <c r="N69" s="82"/>
      <c r="O69" s="174" t="str">
        <f t="shared" si="12"/>
        <v/>
      </c>
      <c r="P69" s="175">
        <f t="shared" si="10"/>
        <v>0</v>
      </c>
      <c r="Q69" s="170">
        <f>$P$15*P69/100</f>
        <v>0</v>
      </c>
      <c r="R69" s="176"/>
      <c r="S69" s="170">
        <f>IF(T$53="",$Q$15*P69/100,T$53)</f>
        <v>0</v>
      </c>
      <c r="T69" s="177"/>
      <c r="U69" s="45" t="str">
        <f t="shared" si="13"/>
        <v/>
      </c>
      <c r="V69" s="57">
        <f t="shared" si="11"/>
        <v>0</v>
      </c>
      <c r="W69" s="17">
        <f>$P$15*V69/100</f>
        <v>0</v>
      </c>
      <c r="X69" s="84"/>
      <c r="Y69" s="17">
        <f>IF(Z$53="",$Q$15*V69/100,Z$53)</f>
        <v>0</v>
      </c>
      <c r="Z69" s="82"/>
      <c r="AA69" s="45" t="str">
        <f t="shared" si="14"/>
        <v/>
      </c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</row>
    <row r="70" spans="1:51">
      <c r="A70" s="19"/>
      <c r="B70" s="17"/>
      <c r="C70" s="21" t="s">
        <v>20</v>
      </c>
      <c r="D70" s="57">
        <f t="shared" si="8"/>
        <v>0</v>
      </c>
      <c r="E70" s="17">
        <f>$P$16*D70/100</f>
        <v>0</v>
      </c>
      <c r="F70" s="84"/>
      <c r="G70" s="17">
        <f>IF(H$54="",$Q$16*D70/100,H$54*109)</f>
        <v>0</v>
      </c>
      <c r="H70" s="82"/>
      <c r="I70" s="45" t="str">
        <f t="shared" si="4"/>
        <v/>
      </c>
      <c r="J70" s="57">
        <f t="shared" si="9"/>
        <v>0</v>
      </c>
      <c r="K70" s="17">
        <f>$P$16*J70/100</f>
        <v>0</v>
      </c>
      <c r="L70" s="84"/>
      <c r="M70" s="17">
        <f>IF(N$54="",$Q$16*J70/100,N$54*109)</f>
        <v>0</v>
      </c>
      <c r="N70" s="82"/>
      <c r="O70" s="174" t="str">
        <f t="shared" si="12"/>
        <v/>
      </c>
      <c r="P70" s="175">
        <f t="shared" si="10"/>
        <v>0</v>
      </c>
      <c r="Q70" s="170">
        <f>$P$16*P70/100</f>
        <v>0</v>
      </c>
      <c r="R70" s="176"/>
      <c r="S70" s="170">
        <f>IF(T$54="",$Q$16*P70/100,T$54*109)</f>
        <v>0</v>
      </c>
      <c r="T70" s="177"/>
      <c r="U70" s="45" t="str">
        <f t="shared" si="13"/>
        <v/>
      </c>
      <c r="V70" s="57">
        <f t="shared" si="11"/>
        <v>0</v>
      </c>
      <c r="W70" s="17">
        <f>$P$16*V70/100</f>
        <v>0</v>
      </c>
      <c r="X70" s="84"/>
      <c r="Y70" s="17">
        <f>IF(Z$54="",$Q$16*V70/100,Z$54*109)</f>
        <v>0</v>
      </c>
      <c r="Z70" s="82"/>
      <c r="AA70" s="45" t="str">
        <f t="shared" si="14"/>
        <v/>
      </c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</row>
    <row r="71" spans="1:51">
      <c r="A71" s="19"/>
      <c r="B71" s="17"/>
      <c r="C71" s="21" t="s">
        <v>210</v>
      </c>
      <c r="D71" s="57">
        <f t="shared" si="8"/>
        <v>0</v>
      </c>
      <c r="E71" s="17">
        <f>$P$17*D71/100</f>
        <v>0</v>
      </c>
      <c r="F71" s="84"/>
      <c r="G71" s="17">
        <f>100*D71/100</f>
        <v>0</v>
      </c>
      <c r="H71" s="82"/>
      <c r="I71" s="45" t="str">
        <f>IF(D71=0,"",IF(AND(H71="",H72="")," må angis",""))</f>
        <v/>
      </c>
      <c r="J71" s="57">
        <f t="shared" si="9"/>
        <v>0</v>
      </c>
      <c r="K71" s="17">
        <f>$P$17*J71/100</f>
        <v>0</v>
      </c>
      <c r="L71" s="84"/>
      <c r="M71" s="17">
        <f>100*J71/100</f>
        <v>0</v>
      </c>
      <c r="N71" s="82"/>
      <c r="O71" s="174" t="str">
        <f>IF(J71=0,"",IF(AND(N71="",N72="")," må angis",""))</f>
        <v/>
      </c>
      <c r="P71" s="175">
        <f t="shared" si="10"/>
        <v>0</v>
      </c>
      <c r="Q71" s="170">
        <f>$P$17*P71/100</f>
        <v>0</v>
      </c>
      <c r="R71" s="176"/>
      <c r="S71" s="170">
        <f>100*P71/100</f>
        <v>0</v>
      </c>
      <c r="T71" s="177"/>
      <c r="U71" s="45" t="str">
        <f>IF(P71=0,"",IF(AND(T71="",T72="")," må angis",""))</f>
        <v/>
      </c>
      <c r="V71" s="57">
        <f t="shared" si="11"/>
        <v>0</v>
      </c>
      <c r="W71" s="17">
        <f>$P$17*V71/100</f>
        <v>0</v>
      </c>
      <c r="X71" s="84"/>
      <c r="Y71" s="17">
        <f>100*V71/100</f>
        <v>0</v>
      </c>
      <c r="Z71" s="82"/>
      <c r="AA71" s="45" t="str">
        <f>IF(V71=0,"",IF(AND(Z71="",Z72="")," må angis",""))</f>
        <v/>
      </c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</row>
    <row r="72" spans="1:51">
      <c r="A72" s="19"/>
      <c r="B72" s="17"/>
      <c r="C72" s="21" t="s">
        <v>211</v>
      </c>
      <c r="D72" s="57">
        <f>I37</f>
        <v>0</v>
      </c>
      <c r="E72" s="17">
        <f>$P$18*D72/100</f>
        <v>0</v>
      </c>
      <c r="F72" s="84"/>
      <c r="G72" s="17">
        <f>50*D72/100</f>
        <v>0</v>
      </c>
      <c r="H72" s="82"/>
      <c r="I72" s="45" t="str">
        <f>IF(D72=0,"",IF(AND(H71="",H72="")," må angis",""))</f>
        <v/>
      </c>
      <c r="J72" s="57">
        <f>O37</f>
        <v>0</v>
      </c>
      <c r="K72" s="17">
        <f>$P$18*J72/100</f>
        <v>0</v>
      </c>
      <c r="L72" s="84"/>
      <c r="M72" s="17">
        <f>50*J72/100</f>
        <v>0</v>
      </c>
      <c r="N72" s="82"/>
      <c r="O72" s="174" t="str">
        <f>IF(J72=0,"",IF(AND(N71="",N72="")," må angis",""))</f>
        <v/>
      </c>
      <c r="P72" s="175">
        <f>U37</f>
        <v>0</v>
      </c>
      <c r="Q72" s="170">
        <f>$P$18*P72/100</f>
        <v>0</v>
      </c>
      <c r="R72" s="176"/>
      <c r="S72" s="170">
        <f>50*P72/100</f>
        <v>0</v>
      </c>
      <c r="T72" s="177"/>
      <c r="U72" s="45" t="str">
        <f>IF(P72=0,"",IF(AND(T71="",T72="")," må angis",""))</f>
        <v/>
      </c>
      <c r="V72" s="57">
        <f>AA37</f>
        <v>0</v>
      </c>
      <c r="W72" s="17">
        <f>$P$18*V72/100</f>
        <v>0</v>
      </c>
      <c r="X72" s="84"/>
      <c r="Y72" s="17">
        <f>50*V72/100</f>
        <v>0</v>
      </c>
      <c r="Z72" s="82"/>
      <c r="AA72" s="45" t="str">
        <f>IF(V72=0,"",IF(AND(Z71="",Z72="")," må angis",""))</f>
        <v/>
      </c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</row>
    <row r="73" spans="1:51">
      <c r="A73" s="19"/>
      <c r="B73" s="17"/>
      <c r="C73" s="21" t="s">
        <v>23</v>
      </c>
      <c r="D73" s="59">
        <f>I38</f>
        <v>0</v>
      </c>
      <c r="E73" s="52">
        <f>$P$19*D73/100</f>
        <v>0</v>
      </c>
      <c r="F73" s="85"/>
      <c r="G73" s="52">
        <f>30*D73/100</f>
        <v>0</v>
      </c>
      <c r="H73" s="78"/>
      <c r="I73" s="45" t="str">
        <f t="shared" si="4"/>
        <v/>
      </c>
      <c r="J73" s="59">
        <f>O38</f>
        <v>0</v>
      </c>
      <c r="K73" s="52">
        <f>$P$19*J73/100</f>
        <v>0</v>
      </c>
      <c r="L73" s="85"/>
      <c r="M73" s="52">
        <f>30*J73/100</f>
        <v>0</v>
      </c>
      <c r="N73" s="78"/>
      <c r="O73" s="174" t="str">
        <f t="shared" si="5"/>
        <v/>
      </c>
      <c r="P73" s="178">
        <f>U38</f>
        <v>0</v>
      </c>
      <c r="Q73" s="179">
        <f>$P$19*P73/100</f>
        <v>0</v>
      </c>
      <c r="R73" s="180"/>
      <c r="S73" s="179">
        <f>30*P73/100</f>
        <v>0</v>
      </c>
      <c r="T73" s="181"/>
      <c r="U73" s="45" t="str">
        <f t="shared" si="6"/>
        <v/>
      </c>
      <c r="V73" s="59">
        <f>AA38</f>
        <v>0</v>
      </c>
      <c r="W73" s="52">
        <f>$P$19*V73/100</f>
        <v>0</v>
      </c>
      <c r="X73" s="85"/>
      <c r="Y73" s="52">
        <f>30*V73/100</f>
        <v>0</v>
      </c>
      <c r="Z73" s="78"/>
      <c r="AA73" s="45" t="str">
        <f t="shared" si="7"/>
        <v/>
      </c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</row>
    <row r="74" spans="1:51">
      <c r="A74" s="19"/>
      <c r="B74" s="17"/>
      <c r="C74" s="17"/>
      <c r="D74" s="23" t="s">
        <v>206</v>
      </c>
      <c r="E74" s="17"/>
      <c r="F74" s="17"/>
      <c r="G74" s="17"/>
      <c r="H74" s="17"/>
      <c r="I74" s="17"/>
      <c r="J74" s="23" t="s">
        <v>206</v>
      </c>
      <c r="K74" s="17"/>
      <c r="L74" s="17"/>
      <c r="M74" s="17"/>
      <c r="N74" s="17"/>
      <c r="O74" s="170"/>
      <c r="P74" s="182" t="s">
        <v>206</v>
      </c>
      <c r="Q74" s="170"/>
      <c r="R74" s="170"/>
      <c r="S74" s="170"/>
      <c r="T74" s="170"/>
      <c r="U74" s="17"/>
      <c r="V74" s="23" t="s">
        <v>206</v>
      </c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</row>
    <row r="75" spans="1:51">
      <c r="A75" s="19"/>
      <c r="B75" s="17"/>
      <c r="C75" s="17"/>
      <c r="D75" s="37" t="s">
        <v>204</v>
      </c>
      <c r="E75" s="17"/>
      <c r="F75" s="17"/>
      <c r="G75" s="17"/>
      <c r="H75" s="17"/>
      <c r="I75" s="17"/>
      <c r="J75" s="37" t="s">
        <v>204</v>
      </c>
      <c r="K75" s="17"/>
      <c r="L75" s="17"/>
      <c r="M75" s="17"/>
      <c r="N75" s="17"/>
      <c r="O75" s="170"/>
      <c r="P75" s="183" t="s">
        <v>204</v>
      </c>
      <c r="Q75" s="170"/>
      <c r="R75" s="170"/>
      <c r="S75" s="170"/>
      <c r="T75" s="170"/>
      <c r="U75" s="17"/>
      <c r="V75" s="37" t="s">
        <v>204</v>
      </c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</row>
    <row r="76" spans="1:51">
      <c r="A76" s="19"/>
      <c r="B76" s="17"/>
      <c r="C76" s="17"/>
      <c r="D76" s="37" t="s">
        <v>205</v>
      </c>
      <c r="E76" s="17"/>
      <c r="F76" s="17"/>
      <c r="G76" s="17"/>
      <c r="H76" s="17"/>
      <c r="I76" s="17"/>
      <c r="J76" s="37" t="s">
        <v>205</v>
      </c>
      <c r="K76" s="17"/>
      <c r="L76" s="17"/>
      <c r="M76" s="17"/>
      <c r="N76" s="17"/>
      <c r="O76" s="170"/>
      <c r="P76" s="183" t="s">
        <v>205</v>
      </c>
      <c r="Q76" s="170"/>
      <c r="R76" s="170"/>
      <c r="S76" s="170"/>
      <c r="T76" s="170"/>
      <c r="U76" s="17"/>
      <c r="V76" s="37" t="s">
        <v>205</v>
      </c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</row>
    <row r="77" spans="1:51">
      <c r="A77" s="19"/>
      <c r="B77" s="17"/>
      <c r="C77" s="17"/>
      <c r="D77" s="17"/>
      <c r="E77" s="17"/>
      <c r="F77" s="17"/>
      <c r="G77" s="17"/>
      <c r="H77" s="17"/>
      <c r="I77" s="111">
        <f>IF(COUNTIF(I80:I92," må angis")&gt;0,1,0)</f>
        <v>0</v>
      </c>
      <c r="J77" s="17"/>
      <c r="K77" s="17"/>
      <c r="L77" s="17"/>
      <c r="M77" s="17"/>
      <c r="N77" s="17"/>
      <c r="O77" s="170">
        <f>IF(COUNTIF(O80:O92," må angis")&gt;0,1,0)</f>
        <v>0</v>
      </c>
      <c r="P77" s="170"/>
      <c r="Q77" s="170"/>
      <c r="R77" s="170"/>
      <c r="S77" s="170"/>
      <c r="T77" s="170"/>
      <c r="U77" s="111">
        <f>IF(COUNTIF(U80:U92," må angis")&gt;0,1,0)</f>
        <v>0</v>
      </c>
      <c r="V77" s="17"/>
      <c r="W77" s="17"/>
      <c r="X77" s="17"/>
      <c r="Y77" s="17"/>
      <c r="Z77" s="17"/>
      <c r="AA77" s="111">
        <f>IF(COUNTIF(AA80:AA92," må angis")&gt;0,1,0)</f>
        <v>0</v>
      </c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</row>
    <row r="78" spans="1:51" ht="20.100000000000001" customHeight="1">
      <c r="A78" s="19"/>
      <c r="B78" s="17"/>
      <c r="C78" s="17"/>
      <c r="D78" s="193" t="e">
        <f>"Alternativ 1 - Bygningsmasse andre steder (referanselokalisering "&amp;VLOOKUP('Nøkkelinfo og veiledning'!$F$12,$F$247:$G$269,2,0)&amp;")"</f>
        <v>#N/A</v>
      </c>
      <c r="E78" s="194"/>
      <c r="F78" s="194"/>
      <c r="G78" s="194"/>
      <c r="H78" s="195"/>
      <c r="I78" s="17"/>
      <c r="J78" s="193" t="e">
        <f>"Alternativ 2 - Bygningsmasse andre steder (referanselokalisering "&amp;VLOOKUP('Nøkkelinfo og veiledning'!$F$12,$F$247:$G$269,2,0)&amp;")"</f>
        <v>#N/A</v>
      </c>
      <c r="K78" s="194"/>
      <c r="L78" s="194"/>
      <c r="M78" s="194"/>
      <c r="N78" s="195"/>
      <c r="O78" s="170"/>
      <c r="P78" s="199" t="e">
        <f>"Alternativ 3 - Bygningsmasse andre steder (referanselokalisering "&amp;VLOOKUP('Nøkkelinfo og veiledning'!$F$12,$F$247:$G$269,2,0)&amp;")"</f>
        <v>#N/A</v>
      </c>
      <c r="Q78" s="200"/>
      <c r="R78" s="200"/>
      <c r="S78" s="200"/>
      <c r="T78" s="201"/>
      <c r="U78" s="17"/>
      <c r="V78" s="193" t="e">
        <f>"Alternativ 4 - Bygningsmasse andre steder (referanselokalisering "&amp;VLOOKUP('Nøkkelinfo og veiledning'!$F$12,$F$247:$G$269,2,0)&amp;")"</f>
        <v>#N/A</v>
      </c>
      <c r="W78" s="194"/>
      <c r="X78" s="194"/>
      <c r="Y78" s="194"/>
      <c r="Z78" s="195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</row>
    <row r="79" spans="1:51" ht="27">
      <c r="A79" s="19"/>
      <c r="B79" s="17"/>
      <c r="C79" s="17"/>
      <c r="D79" s="79" t="s">
        <v>143</v>
      </c>
      <c r="E79" s="80" t="s">
        <v>145</v>
      </c>
      <c r="F79" s="80" t="s">
        <v>146</v>
      </c>
      <c r="G79" s="80" t="s">
        <v>147</v>
      </c>
      <c r="H79" s="81" t="s">
        <v>393</v>
      </c>
      <c r="I79" s="17"/>
      <c r="J79" s="79" t="s">
        <v>143</v>
      </c>
      <c r="K79" s="80" t="s">
        <v>145</v>
      </c>
      <c r="L79" s="80" t="s">
        <v>146</v>
      </c>
      <c r="M79" s="80" t="s">
        <v>147</v>
      </c>
      <c r="N79" s="81" t="s">
        <v>393</v>
      </c>
      <c r="O79" s="170"/>
      <c r="P79" s="79" t="s">
        <v>143</v>
      </c>
      <c r="Q79" s="80" t="s">
        <v>145</v>
      </c>
      <c r="R79" s="80" t="s">
        <v>146</v>
      </c>
      <c r="S79" s="80" t="s">
        <v>147</v>
      </c>
      <c r="T79" s="81" t="s">
        <v>393</v>
      </c>
      <c r="U79" s="17"/>
      <c r="V79" s="71" t="s">
        <v>143</v>
      </c>
      <c r="W79" s="70" t="s">
        <v>145</v>
      </c>
      <c r="X79" s="70" t="s">
        <v>146</v>
      </c>
      <c r="Y79" s="70" t="s">
        <v>147</v>
      </c>
      <c r="Z79" s="81" t="s">
        <v>393</v>
      </c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</row>
    <row r="80" spans="1:51">
      <c r="A80" s="19"/>
      <c r="B80" s="17"/>
      <c r="C80" s="21" t="s">
        <v>203</v>
      </c>
      <c r="D80" s="109">
        <f>SUM(H211:H214)</f>
        <v>0</v>
      </c>
      <c r="E80" s="84"/>
      <c r="F80" s="110">
        <f>SUM(F198:F201)</f>
        <v>0</v>
      </c>
      <c r="G80" s="84"/>
      <c r="H80" s="82"/>
      <c r="I80" s="45" t="str">
        <f>IF(D80=0,"",IF(H80=""," må angis",""))</f>
        <v/>
      </c>
      <c r="J80" s="109">
        <f>SUM(N211:N214)</f>
        <v>0</v>
      </c>
      <c r="K80" s="84"/>
      <c r="L80" s="110">
        <f>SUM(L198:L201)</f>
        <v>0</v>
      </c>
      <c r="M80" s="84"/>
      <c r="N80" s="82"/>
      <c r="O80" s="174" t="str">
        <f>IF(J80=0,"",IF(N80=""," må angis",""))</f>
        <v/>
      </c>
      <c r="P80" s="184">
        <f>SUM(T211:T214)</f>
        <v>0</v>
      </c>
      <c r="Q80" s="176"/>
      <c r="R80" s="172">
        <f>SUM(R198:R201)</f>
        <v>0</v>
      </c>
      <c r="S80" s="176"/>
      <c r="T80" s="177"/>
      <c r="U80" s="45" t="str">
        <f>IF(P80=0,"",IF(T80=""," må angis",""))</f>
        <v/>
      </c>
      <c r="V80" s="109">
        <f>SUM(Z211:Z214)</f>
        <v>0</v>
      </c>
      <c r="W80" s="84"/>
      <c r="X80" s="110">
        <f>SUM(X198:X201)</f>
        <v>0</v>
      </c>
      <c r="Y80" s="84"/>
      <c r="Z80" s="82"/>
      <c r="AA80" s="45" t="str">
        <f>IF(V80=0,"",IF(Z80=""," må angis",""))</f>
        <v/>
      </c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</row>
    <row r="81" spans="1:51">
      <c r="A81" s="19"/>
      <c r="B81" s="17"/>
      <c r="C81" s="21" t="s">
        <v>13</v>
      </c>
      <c r="D81" s="57">
        <f>F218</f>
        <v>0</v>
      </c>
      <c r="E81" s="17">
        <f>$P$8*D81/100</f>
        <v>0</v>
      </c>
      <c r="F81" s="84"/>
      <c r="G81" s="17">
        <f>$Q$8*D81/100</f>
        <v>0</v>
      </c>
      <c r="H81" s="82"/>
      <c r="I81" s="45" t="str">
        <f t="shared" ref="I81:I92" si="15">IF(D81=0,"",IF(H81=""," må angis",""))</f>
        <v/>
      </c>
      <c r="J81" s="57">
        <f>L218</f>
        <v>0</v>
      </c>
      <c r="K81" s="17">
        <f>$P$8*J81/100</f>
        <v>0</v>
      </c>
      <c r="L81" s="84"/>
      <c r="M81" s="17">
        <f>$Q$8*J81/100</f>
        <v>0</v>
      </c>
      <c r="N81" s="82"/>
      <c r="O81" s="174" t="str">
        <f t="shared" ref="O81:O92" si="16">IF(J81=0,"",IF(N81=""," må angis",""))</f>
        <v/>
      </c>
      <c r="P81" s="175">
        <f>R218</f>
        <v>0</v>
      </c>
      <c r="Q81" s="170">
        <f>$P$8*P81/100</f>
        <v>0</v>
      </c>
      <c r="R81" s="176"/>
      <c r="S81" s="170">
        <f>$Q$8*P81/100</f>
        <v>0</v>
      </c>
      <c r="T81" s="177"/>
      <c r="U81" s="45" t="str">
        <f t="shared" ref="U81:U92" si="17">IF(P81=0,"",IF(T81=""," må angis",""))</f>
        <v/>
      </c>
      <c r="V81" s="57">
        <f>X218</f>
        <v>0</v>
      </c>
      <c r="W81" s="17">
        <f>$P$8*V81/100</f>
        <v>0</v>
      </c>
      <c r="X81" s="84"/>
      <c r="Y81" s="17">
        <f>$Q$8*V81/100</f>
        <v>0</v>
      </c>
      <c r="Z81" s="82"/>
      <c r="AA81" s="45" t="str">
        <f t="shared" ref="AA81:AA92" si="18">IF(V81=0,"",IF(Z81=""," må angis",""))</f>
        <v/>
      </c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</row>
    <row r="82" spans="1:51">
      <c r="A82" s="19"/>
      <c r="B82" s="17"/>
      <c r="C82" s="21" t="s">
        <v>208</v>
      </c>
      <c r="D82" s="57">
        <f>IFERROR(F217,0)</f>
        <v>0</v>
      </c>
      <c r="E82" s="17">
        <f>IFERROR(F202,0)</f>
        <v>0</v>
      </c>
      <c r="F82" s="84"/>
      <c r="G82" s="17">
        <f>D82*1.4</f>
        <v>0</v>
      </c>
      <c r="H82" s="82"/>
      <c r="I82" s="45" t="str">
        <f>IF(D82=0,"",IF(H82="",IF(H83=""," må angis",""),""))</f>
        <v/>
      </c>
      <c r="J82" s="57">
        <f>IFERROR(L217,0)</f>
        <v>0</v>
      </c>
      <c r="K82" s="110">
        <f>IFERROR(L202,0)</f>
        <v>0</v>
      </c>
      <c r="L82" s="84"/>
      <c r="M82" s="17">
        <f>J82*1.4</f>
        <v>0</v>
      </c>
      <c r="N82" s="82"/>
      <c r="O82" s="174" t="str">
        <f>IF(J82=0,"",IF(N82="",IF(N83=""," må angis",""),""))</f>
        <v/>
      </c>
      <c r="P82" s="175">
        <f>IFERROR(R217,0)</f>
        <v>0</v>
      </c>
      <c r="Q82" s="172">
        <f>IFERROR(R202,0)</f>
        <v>0</v>
      </c>
      <c r="R82" s="176"/>
      <c r="S82" s="170">
        <f>P82*1.4</f>
        <v>0</v>
      </c>
      <c r="T82" s="177"/>
      <c r="U82" s="45" t="str">
        <f>IF(P82=0,"",IF(T82="",IF(T83=""," må angis",""),""))</f>
        <v/>
      </c>
      <c r="V82" s="57">
        <f>IFERROR(X217,0)</f>
        <v>0</v>
      </c>
      <c r="W82" s="110">
        <f>IFERROR(X202,0)</f>
        <v>0</v>
      </c>
      <c r="X82" s="84"/>
      <c r="Y82" s="17">
        <f>V82*1.4</f>
        <v>0</v>
      </c>
      <c r="Z82" s="82"/>
      <c r="AA82" s="45" t="str">
        <f>IF(V82=0,"",IF(Z82="",IF(Z83=""," må angis",""),""))</f>
        <v/>
      </c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</row>
    <row r="83" spans="1:51">
      <c r="A83" s="19"/>
      <c r="B83" s="17"/>
      <c r="C83" s="21" t="s">
        <v>209</v>
      </c>
      <c r="D83" s="57">
        <f>IFERROR(F217,0)</f>
        <v>0</v>
      </c>
      <c r="E83" s="17">
        <f>IFERROR(F202,0)</f>
        <v>0</v>
      </c>
      <c r="F83" s="84"/>
      <c r="G83" s="17">
        <f>D83*0.7</f>
        <v>0</v>
      </c>
      <c r="H83" s="82"/>
      <c r="I83" s="45" t="str">
        <f>IF(D83=0,"",IF(H83="",IF(H82=""," må angis",""),""))</f>
        <v/>
      </c>
      <c r="J83" s="57">
        <f>IFERROR(L217,0)</f>
        <v>0</v>
      </c>
      <c r="K83" s="110">
        <f>IFERROR(L202,0)</f>
        <v>0</v>
      </c>
      <c r="L83" s="84"/>
      <c r="M83" s="17">
        <f>J83*0.7</f>
        <v>0</v>
      </c>
      <c r="N83" s="82"/>
      <c r="O83" s="174" t="str">
        <f>IF(J83=0,"",IF(N83="",IF(N82=""," må angis",""),""))</f>
        <v/>
      </c>
      <c r="P83" s="175">
        <f>IFERROR(R217,0)</f>
        <v>0</v>
      </c>
      <c r="Q83" s="172">
        <f>IFERROR(R202,0)</f>
        <v>0</v>
      </c>
      <c r="R83" s="176"/>
      <c r="S83" s="170">
        <f>P83*0.7</f>
        <v>0</v>
      </c>
      <c r="T83" s="177"/>
      <c r="U83" s="45" t="str">
        <f>IF(P83=0,"",IF(T83="",IF(T82=""," må angis",""),""))</f>
        <v/>
      </c>
      <c r="V83" s="57">
        <f>IFERROR(X217,0)</f>
        <v>0</v>
      </c>
      <c r="W83" s="110">
        <f>IFERROR(X202,0)</f>
        <v>0</v>
      </c>
      <c r="X83" s="84"/>
      <c r="Y83" s="17">
        <f>V83*0.7</f>
        <v>0</v>
      </c>
      <c r="Z83" s="82"/>
      <c r="AA83" s="45" t="str">
        <f>IF(V83=0,"",IF(Z83="",IF(Z82=""," må angis",""),""))</f>
        <v/>
      </c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</row>
    <row r="84" spans="1:51">
      <c r="A84" s="19"/>
      <c r="B84" s="17"/>
      <c r="C84" s="21" t="s">
        <v>15</v>
      </c>
      <c r="D84" s="57">
        <f>F219</f>
        <v>0</v>
      </c>
      <c r="E84" s="17">
        <f>$P$11*D84/100</f>
        <v>0</v>
      </c>
      <c r="F84" s="84"/>
      <c r="G84" s="17">
        <f>IF(H$49="",$Q$11*D84/100,H$49)</f>
        <v>0</v>
      </c>
      <c r="H84" s="82"/>
      <c r="I84" s="45" t="str">
        <f t="shared" si="15"/>
        <v/>
      </c>
      <c r="J84" s="57">
        <f>L219</f>
        <v>0</v>
      </c>
      <c r="K84" s="17">
        <f>$P$11*J84/100</f>
        <v>0</v>
      </c>
      <c r="L84" s="84"/>
      <c r="M84" s="17">
        <f>IF(N$49="",$Q$11*J84/100,N$49)</f>
        <v>0</v>
      </c>
      <c r="N84" s="82"/>
      <c r="O84" s="174" t="str">
        <f t="shared" si="16"/>
        <v/>
      </c>
      <c r="P84" s="175">
        <f>R219</f>
        <v>0</v>
      </c>
      <c r="Q84" s="170">
        <f>$P$11*P84/100</f>
        <v>0</v>
      </c>
      <c r="R84" s="176"/>
      <c r="S84" s="170">
        <f>IF(T$49="",$Q$11*P84/100,T$49)</f>
        <v>0</v>
      </c>
      <c r="T84" s="177"/>
      <c r="U84" s="45" t="str">
        <f t="shared" si="17"/>
        <v/>
      </c>
      <c r="V84" s="57">
        <f>X219</f>
        <v>0</v>
      </c>
      <c r="W84" s="17">
        <f>$P$11*V84/100</f>
        <v>0</v>
      </c>
      <c r="X84" s="84"/>
      <c r="Y84" s="17">
        <f>IF(Z$49="",$Q$11*V84/100,Z$49)</f>
        <v>0</v>
      </c>
      <c r="Z84" s="82"/>
      <c r="AA84" s="45" t="str">
        <f t="shared" si="18"/>
        <v/>
      </c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</row>
    <row r="85" spans="1:51">
      <c r="A85" s="19"/>
      <c r="B85" s="17"/>
      <c r="C85" s="21" t="s">
        <v>16</v>
      </c>
      <c r="D85" s="57">
        <f t="shared" ref="D85:D89" si="19">F220</f>
        <v>0</v>
      </c>
      <c r="E85" s="17">
        <f>$P$12*D85/100</f>
        <v>0</v>
      </c>
      <c r="F85" s="84"/>
      <c r="G85" s="17">
        <f>IF(H$50="",$Q$12*D85/100,H$50)</f>
        <v>0</v>
      </c>
      <c r="H85" s="82"/>
      <c r="I85" s="45" t="str">
        <f t="shared" si="15"/>
        <v/>
      </c>
      <c r="J85" s="57">
        <f t="shared" ref="J85:J89" si="20">L220</f>
        <v>0</v>
      </c>
      <c r="K85" s="17">
        <f>$P$12*J85/100</f>
        <v>0</v>
      </c>
      <c r="L85" s="84"/>
      <c r="M85" s="17">
        <f>IF(N$50="",$Q$12*J85/100,N$50)</f>
        <v>0</v>
      </c>
      <c r="N85" s="82"/>
      <c r="O85" s="174" t="str">
        <f t="shared" si="16"/>
        <v/>
      </c>
      <c r="P85" s="175">
        <f t="shared" ref="P85:P89" si="21">R220</f>
        <v>0</v>
      </c>
      <c r="Q85" s="170">
        <f>$P$12*P85/100</f>
        <v>0</v>
      </c>
      <c r="R85" s="176"/>
      <c r="S85" s="170">
        <f>IF(T$50="",$Q$12*P85/100,T$50)</f>
        <v>0</v>
      </c>
      <c r="T85" s="177"/>
      <c r="U85" s="45" t="str">
        <f t="shared" si="17"/>
        <v/>
      </c>
      <c r="V85" s="57">
        <f t="shared" ref="V85:V89" si="22">X220</f>
        <v>0</v>
      </c>
      <c r="W85" s="17">
        <f>$P$12*V85/100</f>
        <v>0</v>
      </c>
      <c r="X85" s="84"/>
      <c r="Y85" s="17">
        <f>IF(Z$50="",$Q$12*V85/100,Z$50)</f>
        <v>0</v>
      </c>
      <c r="Z85" s="82"/>
      <c r="AA85" s="45" t="str">
        <f t="shared" si="18"/>
        <v/>
      </c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</row>
    <row r="86" spans="1:51">
      <c r="A86" s="19"/>
      <c r="B86" s="17"/>
      <c r="C86" s="21" t="s">
        <v>17</v>
      </c>
      <c r="D86" s="57">
        <f t="shared" si="19"/>
        <v>0</v>
      </c>
      <c r="E86" s="17">
        <f>$P$13*D86/100</f>
        <v>0</v>
      </c>
      <c r="F86" s="84"/>
      <c r="G86" s="17">
        <f>IF(H$51="",$Q$13*D86/100,H$51)</f>
        <v>0</v>
      </c>
      <c r="H86" s="82"/>
      <c r="I86" s="45" t="str">
        <f t="shared" si="15"/>
        <v/>
      </c>
      <c r="J86" s="57">
        <f t="shared" si="20"/>
        <v>0</v>
      </c>
      <c r="K86" s="17">
        <f>$P$13*J86/100</f>
        <v>0</v>
      </c>
      <c r="L86" s="84"/>
      <c r="M86" s="17">
        <f>IF(N$51="",$Q$13*J86/100,N$51)</f>
        <v>0</v>
      </c>
      <c r="N86" s="82"/>
      <c r="O86" s="174" t="str">
        <f t="shared" si="16"/>
        <v/>
      </c>
      <c r="P86" s="175">
        <f t="shared" si="21"/>
        <v>0</v>
      </c>
      <c r="Q86" s="170">
        <f>$P$13*P86/100</f>
        <v>0</v>
      </c>
      <c r="R86" s="176"/>
      <c r="S86" s="170">
        <f>IF(T$51="",$Q$13*P86/100,T$51)</f>
        <v>0</v>
      </c>
      <c r="T86" s="177"/>
      <c r="U86" s="45" t="str">
        <f t="shared" si="17"/>
        <v/>
      </c>
      <c r="V86" s="57">
        <f t="shared" si="22"/>
        <v>0</v>
      </c>
      <c r="W86" s="17">
        <f>$P$13*V86/100</f>
        <v>0</v>
      </c>
      <c r="X86" s="84"/>
      <c r="Y86" s="17">
        <f>IF(Z$51="",$Q$13*V86/100,Z$51)</f>
        <v>0</v>
      </c>
      <c r="Z86" s="82"/>
      <c r="AA86" s="45" t="str">
        <f t="shared" si="18"/>
        <v/>
      </c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</row>
    <row r="87" spans="1:51">
      <c r="A87" s="19"/>
      <c r="B87" s="17"/>
      <c r="C87" s="21" t="s">
        <v>18</v>
      </c>
      <c r="D87" s="57">
        <f t="shared" si="19"/>
        <v>0</v>
      </c>
      <c r="E87" s="17">
        <f>$P$14*D87/100</f>
        <v>0</v>
      </c>
      <c r="F87" s="84"/>
      <c r="G87" s="17">
        <f>IF(H$52="",$Q$14*D87/100,H$52*0.25)</f>
        <v>0</v>
      </c>
      <c r="H87" s="82"/>
      <c r="I87" s="45" t="str">
        <f t="shared" si="15"/>
        <v/>
      </c>
      <c r="J87" s="57">
        <f t="shared" si="20"/>
        <v>0</v>
      </c>
      <c r="K87" s="17">
        <f>$P$14*J87/100</f>
        <v>0</v>
      </c>
      <c r="L87" s="84"/>
      <c r="M87" s="17">
        <f>IF(N$52="",$Q$14*J87/100,N$52*0.25)</f>
        <v>0</v>
      </c>
      <c r="N87" s="82"/>
      <c r="O87" s="174" t="str">
        <f t="shared" si="16"/>
        <v/>
      </c>
      <c r="P87" s="175">
        <f t="shared" si="21"/>
        <v>0</v>
      </c>
      <c r="Q87" s="170">
        <f>$P$14*P87/100</f>
        <v>0</v>
      </c>
      <c r="R87" s="176"/>
      <c r="S87" s="170">
        <f>IF(T$52="",$Q$14*P87/100,T$52*0.25)</f>
        <v>0</v>
      </c>
      <c r="T87" s="177"/>
      <c r="U87" s="45" t="str">
        <f t="shared" si="17"/>
        <v/>
      </c>
      <c r="V87" s="57">
        <f t="shared" si="22"/>
        <v>0</v>
      </c>
      <c r="W87" s="17">
        <f>$P$14*V87/100</f>
        <v>0</v>
      </c>
      <c r="X87" s="84"/>
      <c r="Y87" s="17">
        <f>IF(Z$52="",$Q$14*V87/100,Z$52*0.25)</f>
        <v>0</v>
      </c>
      <c r="Z87" s="82"/>
      <c r="AA87" s="45" t="str">
        <f t="shared" si="18"/>
        <v/>
      </c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</row>
    <row r="88" spans="1:51">
      <c r="A88" s="19"/>
      <c r="B88" s="17"/>
      <c r="C88" s="21" t="s">
        <v>19</v>
      </c>
      <c r="D88" s="57">
        <f t="shared" si="19"/>
        <v>0</v>
      </c>
      <c r="E88" s="17">
        <f>$P$15*D88/100</f>
        <v>0</v>
      </c>
      <c r="F88" s="84"/>
      <c r="G88" s="17">
        <f>IF(H$53="",$Q$15*D88/100,H$53)</f>
        <v>0</v>
      </c>
      <c r="H88" s="82"/>
      <c r="I88" s="45" t="str">
        <f t="shared" si="15"/>
        <v/>
      </c>
      <c r="J88" s="57">
        <f t="shared" si="20"/>
        <v>0</v>
      </c>
      <c r="K88" s="17">
        <f>$P$15*J88/100</f>
        <v>0</v>
      </c>
      <c r="L88" s="84"/>
      <c r="M88" s="17">
        <f>IF(N$53="",$Q$15*J88/100,N$53)</f>
        <v>0</v>
      </c>
      <c r="N88" s="82"/>
      <c r="O88" s="174" t="str">
        <f t="shared" si="16"/>
        <v/>
      </c>
      <c r="P88" s="175">
        <f t="shared" si="21"/>
        <v>0</v>
      </c>
      <c r="Q88" s="170">
        <f>$P$15*P88/100</f>
        <v>0</v>
      </c>
      <c r="R88" s="176"/>
      <c r="S88" s="170">
        <f>IF(T$53="",$Q$15*P88/100,T$53)</f>
        <v>0</v>
      </c>
      <c r="T88" s="177"/>
      <c r="U88" s="45" t="str">
        <f t="shared" si="17"/>
        <v/>
      </c>
      <c r="V88" s="57">
        <f t="shared" si="22"/>
        <v>0</v>
      </c>
      <c r="W88" s="17">
        <f>$P$15*V88/100</f>
        <v>0</v>
      </c>
      <c r="X88" s="84"/>
      <c r="Y88" s="17">
        <f>IF(Z$53="",$Q$15*V88/100,Z$53)</f>
        <v>0</v>
      </c>
      <c r="Z88" s="82"/>
      <c r="AA88" s="45" t="str">
        <f t="shared" si="18"/>
        <v/>
      </c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</row>
    <row r="89" spans="1:51">
      <c r="A89" s="19"/>
      <c r="B89" s="17"/>
      <c r="C89" s="21" t="s">
        <v>20</v>
      </c>
      <c r="D89" s="57">
        <f t="shared" si="19"/>
        <v>0</v>
      </c>
      <c r="E89" s="17">
        <f>$P$16*D89/100</f>
        <v>0</v>
      </c>
      <c r="F89" s="84"/>
      <c r="G89" s="17">
        <f>IF(H$54="",$Q$16*D89/100,H$54*109)</f>
        <v>0</v>
      </c>
      <c r="H89" s="82"/>
      <c r="I89" s="45" t="str">
        <f t="shared" si="15"/>
        <v/>
      </c>
      <c r="J89" s="57">
        <f t="shared" si="20"/>
        <v>0</v>
      </c>
      <c r="K89" s="17">
        <f>$P$16*J89/100</f>
        <v>0</v>
      </c>
      <c r="L89" s="84"/>
      <c r="M89" s="17">
        <f>IF(N$54="",$Q$16*J89/100,N$54*109)</f>
        <v>0</v>
      </c>
      <c r="N89" s="82"/>
      <c r="O89" s="174" t="str">
        <f t="shared" si="16"/>
        <v/>
      </c>
      <c r="P89" s="175">
        <f t="shared" si="21"/>
        <v>0</v>
      </c>
      <c r="Q89" s="170">
        <f>$P$16*P89/100</f>
        <v>0</v>
      </c>
      <c r="R89" s="176"/>
      <c r="S89" s="170">
        <f>IF(T$54="",$Q$16*P89/100,T$54*109)</f>
        <v>0</v>
      </c>
      <c r="T89" s="177"/>
      <c r="U89" s="45" t="str">
        <f t="shared" si="17"/>
        <v/>
      </c>
      <c r="V89" s="57">
        <f t="shared" si="22"/>
        <v>0</v>
      </c>
      <c r="W89" s="17">
        <f>$P$16*V89/100</f>
        <v>0</v>
      </c>
      <c r="X89" s="84"/>
      <c r="Y89" s="17">
        <f>IF(Z$54="",$Q$16*V89/100,Z$54*109)</f>
        <v>0</v>
      </c>
      <c r="Z89" s="82"/>
      <c r="AA89" s="45" t="str">
        <f t="shared" si="18"/>
        <v/>
      </c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</row>
    <row r="90" spans="1:51">
      <c r="A90" s="19"/>
      <c r="B90" s="17"/>
      <c r="C90" s="21" t="s">
        <v>210</v>
      </c>
      <c r="D90" s="57">
        <f>F225</f>
        <v>0</v>
      </c>
      <c r="E90" s="17">
        <f>$P$17*D90/100</f>
        <v>0</v>
      </c>
      <c r="F90" s="84"/>
      <c r="G90" s="17">
        <f>100*D90/100</f>
        <v>0</v>
      </c>
      <c r="H90" s="82"/>
      <c r="I90" s="45" t="str">
        <f>IF(D90=0,"",IF(AND(H90="",H91="")," må angis",""))</f>
        <v/>
      </c>
      <c r="J90" s="57">
        <f>L225</f>
        <v>0</v>
      </c>
      <c r="K90" s="17">
        <f>$P$17*J90/100</f>
        <v>0</v>
      </c>
      <c r="L90" s="84"/>
      <c r="M90" s="17">
        <f>100*J90/100</f>
        <v>0</v>
      </c>
      <c r="N90" s="82"/>
      <c r="O90" s="174" t="str">
        <f>IF(J90=0,"",IF(AND(N90="",N91="")," må angis",""))</f>
        <v/>
      </c>
      <c r="P90" s="175">
        <f>R225</f>
        <v>0</v>
      </c>
      <c r="Q90" s="170">
        <f>$P$17*P90/100</f>
        <v>0</v>
      </c>
      <c r="R90" s="176"/>
      <c r="S90" s="170">
        <f>100*P90/100</f>
        <v>0</v>
      </c>
      <c r="T90" s="177"/>
      <c r="U90" s="45" t="str">
        <f>IF(P90=0,"",IF(AND(T90="",T91="")," må angis",""))</f>
        <v/>
      </c>
      <c r="V90" s="57">
        <f>X225</f>
        <v>0</v>
      </c>
      <c r="W90" s="17">
        <f>$P$17*V90/100</f>
        <v>0</v>
      </c>
      <c r="X90" s="84"/>
      <c r="Y90" s="17">
        <f>100*V90/100</f>
        <v>0</v>
      </c>
      <c r="Z90" s="82"/>
      <c r="AA90" s="45" t="str">
        <f>IF(V90=0,"",IF(AND(Z90="",Z91="")," må angis",""))</f>
        <v/>
      </c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</row>
    <row r="91" spans="1:51">
      <c r="A91" s="19"/>
      <c r="B91" s="17"/>
      <c r="C91" s="21" t="s">
        <v>211</v>
      </c>
      <c r="D91" s="57">
        <f>F225</f>
        <v>0</v>
      </c>
      <c r="E91" s="17">
        <f>$P$18*D91/100</f>
        <v>0</v>
      </c>
      <c r="F91" s="84"/>
      <c r="G91" s="17">
        <f>50*D91/100</f>
        <v>0</v>
      </c>
      <c r="H91" s="82"/>
      <c r="I91" s="45" t="str">
        <f>IF(D91=0,"",IF(AND(H90="",H91="")," må angis",""))</f>
        <v/>
      </c>
      <c r="J91" s="57">
        <f>L225</f>
        <v>0</v>
      </c>
      <c r="K91" s="17">
        <f>$P$18*J91/100</f>
        <v>0</v>
      </c>
      <c r="L91" s="84"/>
      <c r="M91" s="17">
        <f>50*J91/100</f>
        <v>0</v>
      </c>
      <c r="N91" s="82"/>
      <c r="O91" s="174" t="str">
        <f>IF(J91=0,"",IF(AND(N90="",N91="")," må angis",""))</f>
        <v/>
      </c>
      <c r="P91" s="175">
        <f>R225</f>
        <v>0</v>
      </c>
      <c r="Q91" s="170">
        <f>$P$18*P91/100</f>
        <v>0</v>
      </c>
      <c r="R91" s="176"/>
      <c r="S91" s="170">
        <f>50*P91/100</f>
        <v>0</v>
      </c>
      <c r="T91" s="177"/>
      <c r="U91" s="45" t="str">
        <f>IF(P91=0,"",IF(AND(T90="",T91="")," må angis",""))</f>
        <v/>
      </c>
      <c r="V91" s="57">
        <f>X225</f>
        <v>0</v>
      </c>
      <c r="W91" s="17">
        <f>$P$18*V91/100</f>
        <v>0</v>
      </c>
      <c r="X91" s="84"/>
      <c r="Y91" s="17">
        <f>50*V91/100</f>
        <v>0</v>
      </c>
      <c r="Z91" s="82"/>
      <c r="AA91" s="45" t="str">
        <f>IF(V91=0,"",IF(AND(Z90="",Z91="")," må angis",""))</f>
        <v/>
      </c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</row>
    <row r="92" spans="1:51">
      <c r="A92" s="19"/>
      <c r="B92" s="17"/>
      <c r="C92" s="21" t="s">
        <v>23</v>
      </c>
      <c r="D92" s="59">
        <f>F226</f>
        <v>0</v>
      </c>
      <c r="E92" s="52">
        <f>$P$19*D92/100</f>
        <v>0</v>
      </c>
      <c r="F92" s="85"/>
      <c r="G92" s="52">
        <f>30*D92/100</f>
        <v>0</v>
      </c>
      <c r="H92" s="78"/>
      <c r="I92" s="45" t="str">
        <f t="shared" si="15"/>
        <v/>
      </c>
      <c r="J92" s="59">
        <f>L226</f>
        <v>0</v>
      </c>
      <c r="K92" s="52">
        <f>$P$19*J92/100</f>
        <v>0</v>
      </c>
      <c r="L92" s="85"/>
      <c r="M92" s="52">
        <f>30*J92/100</f>
        <v>0</v>
      </c>
      <c r="N92" s="78"/>
      <c r="O92" s="174" t="str">
        <f t="shared" si="16"/>
        <v/>
      </c>
      <c r="P92" s="178">
        <f>R226</f>
        <v>0</v>
      </c>
      <c r="Q92" s="179">
        <f>$P$19*P92/100</f>
        <v>0</v>
      </c>
      <c r="R92" s="180"/>
      <c r="S92" s="179">
        <f>30*P92/100</f>
        <v>0</v>
      </c>
      <c r="T92" s="181"/>
      <c r="U92" s="45" t="str">
        <f t="shared" si="17"/>
        <v/>
      </c>
      <c r="V92" s="59">
        <f>X226</f>
        <v>0</v>
      </c>
      <c r="W92" s="52">
        <f>$P$19*V92/100</f>
        <v>0</v>
      </c>
      <c r="X92" s="85"/>
      <c r="Y92" s="52">
        <f>30*V92/100</f>
        <v>0</v>
      </c>
      <c r="Z92" s="78"/>
      <c r="AA92" s="45" t="str">
        <f t="shared" si="18"/>
        <v/>
      </c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</row>
    <row r="93" spans="1:51">
      <c r="A93" s="19"/>
      <c r="B93" s="17"/>
      <c r="C93" s="37"/>
      <c r="D93" s="23" t="s">
        <v>206</v>
      </c>
      <c r="E93" s="17"/>
      <c r="F93" s="17"/>
      <c r="G93" s="17"/>
      <c r="H93" s="17"/>
      <c r="I93" s="17"/>
      <c r="J93" s="23" t="s">
        <v>206</v>
      </c>
      <c r="K93" s="17"/>
      <c r="L93" s="17"/>
      <c r="M93" s="17"/>
      <c r="N93" s="17"/>
      <c r="O93" s="170"/>
      <c r="P93" s="182" t="s">
        <v>206</v>
      </c>
      <c r="Q93" s="170"/>
      <c r="R93" s="170"/>
      <c r="S93" s="170"/>
      <c r="T93" s="170"/>
      <c r="U93" s="17"/>
      <c r="V93" s="23" t="s">
        <v>206</v>
      </c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</row>
    <row r="94" spans="1:51">
      <c r="A94" s="19"/>
      <c r="B94" s="17"/>
      <c r="C94" s="37"/>
      <c r="D94" s="37" t="s">
        <v>338</v>
      </c>
      <c r="E94" s="17"/>
      <c r="F94" s="17"/>
      <c r="G94" s="17"/>
      <c r="H94" s="17"/>
      <c r="I94" s="17"/>
      <c r="J94" s="37" t="s">
        <v>338</v>
      </c>
      <c r="K94" s="17"/>
      <c r="L94" s="17"/>
      <c r="M94" s="17"/>
      <c r="N94" s="17"/>
      <c r="O94" s="170"/>
      <c r="P94" s="183" t="s">
        <v>338</v>
      </c>
      <c r="Q94" s="170"/>
      <c r="R94" s="170"/>
      <c r="S94" s="170"/>
      <c r="T94" s="170"/>
      <c r="U94" s="17"/>
      <c r="V94" s="37" t="s">
        <v>338</v>
      </c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</row>
    <row r="95" spans="1:51">
      <c r="A95" s="19"/>
      <c r="B95" s="17"/>
      <c r="C95" s="37"/>
      <c r="D95" s="17"/>
      <c r="E95" s="17"/>
      <c r="F95" s="17"/>
      <c r="G95" s="17"/>
      <c r="H95" s="17"/>
      <c r="I95" s="17"/>
      <c r="J95" s="21"/>
      <c r="K95" s="17"/>
      <c r="L95" s="17"/>
      <c r="M95" s="17"/>
      <c r="N95" s="17"/>
      <c r="O95" s="170"/>
      <c r="P95" s="171"/>
      <c r="Q95" s="170"/>
      <c r="R95" s="170"/>
      <c r="S95" s="170"/>
      <c r="T95" s="170"/>
      <c r="U95" s="17"/>
      <c r="V95" s="21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</row>
    <row r="96" spans="1:51">
      <c r="A96" s="19"/>
      <c r="B96" s="17"/>
      <c r="C96" s="37"/>
      <c r="D96" s="17"/>
      <c r="E96" s="17"/>
      <c r="F96" s="17"/>
      <c r="G96" s="17"/>
      <c r="H96" s="17"/>
      <c r="I96" s="17"/>
      <c r="J96" s="21"/>
      <c r="K96" s="17"/>
      <c r="L96" s="17"/>
      <c r="M96" s="17"/>
      <c r="N96" s="17"/>
      <c r="O96" s="170"/>
      <c r="P96" s="171"/>
      <c r="Q96" s="170"/>
      <c r="R96" s="170"/>
      <c r="S96" s="170"/>
      <c r="T96" s="170"/>
      <c r="U96" s="17"/>
      <c r="V96" s="21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</row>
    <row r="97" spans="1:51">
      <c r="A97" s="19"/>
      <c r="B97" s="17"/>
      <c r="C97" s="37"/>
      <c r="D97" s="170"/>
      <c r="E97" s="170"/>
      <c r="F97" s="170"/>
      <c r="G97" s="170"/>
      <c r="H97" s="170"/>
      <c r="I97" s="170"/>
      <c r="J97" s="171"/>
      <c r="K97" s="170"/>
      <c r="L97" s="170"/>
      <c r="M97" s="170"/>
      <c r="N97" s="170"/>
      <c r="O97" s="170"/>
      <c r="P97" s="171"/>
      <c r="Q97" s="170"/>
      <c r="R97" s="170"/>
      <c r="S97" s="170"/>
      <c r="T97" s="170"/>
      <c r="U97" s="170"/>
      <c r="V97" s="171"/>
      <c r="W97" s="170"/>
      <c r="X97" s="170"/>
      <c r="Y97" s="170"/>
      <c r="Z97" s="170"/>
      <c r="AA97" s="170"/>
      <c r="AB97" s="170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</row>
    <row r="98" spans="1:51">
      <c r="A98" s="19"/>
      <c r="B98" s="17"/>
      <c r="C98" s="37"/>
      <c r="D98" s="170"/>
      <c r="E98" s="170"/>
      <c r="F98" s="170"/>
      <c r="G98" s="170"/>
      <c r="H98" s="170"/>
      <c r="I98" s="170"/>
      <c r="J98" s="171"/>
      <c r="K98" s="170"/>
      <c r="L98" s="170"/>
      <c r="M98" s="170"/>
      <c r="N98" s="170"/>
      <c r="O98" s="170"/>
      <c r="P98" s="171"/>
      <c r="Q98" s="170"/>
      <c r="R98" s="170"/>
      <c r="S98" s="170"/>
      <c r="T98" s="170"/>
      <c r="U98" s="170"/>
      <c r="V98" s="171"/>
      <c r="W98" s="170"/>
      <c r="X98" s="170"/>
      <c r="Y98" s="170"/>
      <c r="Z98" s="170"/>
      <c r="AA98" s="170"/>
      <c r="AB98" s="170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</row>
    <row r="99" spans="1:51">
      <c r="A99" s="19"/>
      <c r="B99" s="17"/>
      <c r="C99" s="37"/>
      <c r="D99" s="170"/>
      <c r="E99" s="170"/>
      <c r="F99" s="170"/>
      <c r="G99" s="170"/>
      <c r="H99" s="170"/>
      <c r="I99" s="170"/>
      <c r="J99" s="171"/>
      <c r="K99" s="170"/>
      <c r="L99" s="170"/>
      <c r="M99" s="170"/>
      <c r="N99" s="170"/>
      <c r="O99" s="170"/>
      <c r="P99" s="171"/>
      <c r="Q99" s="170"/>
      <c r="R99" s="170"/>
      <c r="S99" s="170"/>
      <c r="T99" s="170"/>
      <c r="U99" s="170"/>
      <c r="V99" s="171"/>
      <c r="W99" s="170"/>
      <c r="X99" s="170"/>
      <c r="Y99" s="170"/>
      <c r="Z99" s="170"/>
      <c r="AA99" s="170"/>
      <c r="AB99" s="170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</row>
    <row r="100" spans="1:51">
      <c r="A100" s="19"/>
      <c r="B100" s="17"/>
      <c r="C100" s="37"/>
      <c r="D100" s="170"/>
      <c r="E100" s="170"/>
      <c r="F100" s="170"/>
      <c r="G100" s="170"/>
      <c r="H100" s="170"/>
      <c r="I100" s="170"/>
      <c r="J100" s="171"/>
      <c r="K100" s="170"/>
      <c r="L100" s="170"/>
      <c r="M100" s="170"/>
      <c r="N100" s="170"/>
      <c r="O100" s="170"/>
      <c r="P100" s="171"/>
      <c r="Q100" s="170"/>
      <c r="R100" s="170"/>
      <c r="S100" s="170"/>
      <c r="T100" s="170"/>
      <c r="U100" s="170"/>
      <c r="V100" s="171"/>
      <c r="W100" s="170"/>
      <c r="X100" s="170"/>
      <c r="Y100" s="170"/>
      <c r="Z100" s="170"/>
      <c r="AA100" s="170"/>
      <c r="AB100" s="170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</row>
    <row r="101" spans="1:51">
      <c r="A101" s="19"/>
      <c r="B101" s="17"/>
      <c r="C101" s="37"/>
      <c r="D101" s="170"/>
      <c r="E101" s="170"/>
      <c r="F101" s="170"/>
      <c r="G101" s="170"/>
      <c r="H101" s="170"/>
      <c r="I101" s="170"/>
      <c r="J101" s="171"/>
      <c r="K101" s="170"/>
      <c r="L101" s="170"/>
      <c r="M101" s="170"/>
      <c r="N101" s="170"/>
      <c r="O101" s="170"/>
      <c r="P101" s="171"/>
      <c r="Q101" s="170"/>
      <c r="R101" s="170"/>
      <c r="S101" s="170"/>
      <c r="T101" s="170"/>
      <c r="U101" s="170"/>
      <c r="V101" s="171"/>
      <c r="W101" s="170"/>
      <c r="X101" s="170"/>
      <c r="Y101" s="170"/>
      <c r="Z101" s="170"/>
      <c r="AA101" s="170"/>
      <c r="AB101" s="170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</row>
    <row r="102" spans="1:51">
      <c r="A102" s="19"/>
      <c r="B102" s="17"/>
      <c r="C102" s="37"/>
      <c r="D102" s="170"/>
      <c r="E102" s="170"/>
      <c r="F102" s="170"/>
      <c r="G102" s="170"/>
      <c r="H102" s="170"/>
      <c r="I102" s="170"/>
      <c r="J102" s="171"/>
      <c r="K102" s="170"/>
      <c r="L102" s="170"/>
      <c r="M102" s="170"/>
      <c r="N102" s="170"/>
      <c r="O102" s="170"/>
      <c r="P102" s="171"/>
      <c r="Q102" s="170"/>
      <c r="R102" s="170"/>
      <c r="S102" s="170"/>
      <c r="T102" s="170"/>
      <c r="U102" s="170"/>
      <c r="V102" s="171"/>
      <c r="W102" s="170"/>
      <c r="X102" s="170"/>
      <c r="Y102" s="170"/>
      <c r="Z102" s="170"/>
      <c r="AA102" s="170"/>
      <c r="AB102" s="170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</row>
    <row r="103" spans="1:51">
      <c r="A103" s="19"/>
      <c r="B103" s="17"/>
      <c r="C103" s="37"/>
      <c r="D103" s="170"/>
      <c r="E103" s="170"/>
      <c r="F103" s="170"/>
      <c r="G103" s="170"/>
      <c r="H103" s="170"/>
      <c r="I103" s="170"/>
      <c r="J103" s="171"/>
      <c r="K103" s="170"/>
      <c r="L103" s="170"/>
      <c r="M103" s="170"/>
      <c r="N103" s="170"/>
      <c r="O103" s="170"/>
      <c r="P103" s="171"/>
      <c r="Q103" s="170"/>
      <c r="R103" s="170"/>
      <c r="S103" s="170"/>
      <c r="T103" s="170"/>
      <c r="U103" s="170"/>
      <c r="V103" s="171"/>
      <c r="W103" s="170"/>
      <c r="X103" s="170"/>
      <c r="Y103" s="170"/>
      <c r="Z103" s="170"/>
      <c r="AA103" s="170"/>
      <c r="AB103" s="170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</row>
    <row r="104" spans="1:51">
      <c r="A104" s="19"/>
      <c r="B104" s="17"/>
      <c r="C104" s="37"/>
      <c r="D104" s="170"/>
      <c r="E104" s="170"/>
      <c r="F104" s="170"/>
      <c r="G104" s="170"/>
      <c r="H104" s="170"/>
      <c r="I104" s="170"/>
      <c r="J104" s="171"/>
      <c r="K104" s="170"/>
      <c r="L104" s="170"/>
      <c r="M104" s="170"/>
      <c r="N104" s="170"/>
      <c r="O104" s="170"/>
      <c r="P104" s="171"/>
      <c r="Q104" s="170"/>
      <c r="R104" s="170"/>
      <c r="S104" s="170"/>
      <c r="T104" s="170"/>
      <c r="U104" s="170"/>
      <c r="V104" s="171"/>
      <c r="W104" s="170"/>
      <c r="X104" s="170"/>
      <c r="Y104" s="170"/>
      <c r="Z104" s="170"/>
      <c r="AA104" s="170"/>
      <c r="AB104" s="170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</row>
    <row r="105" spans="1:51">
      <c r="A105" s="19"/>
      <c r="B105" s="17"/>
      <c r="C105" s="37"/>
      <c r="D105" s="170"/>
      <c r="E105" s="170"/>
      <c r="F105" s="170"/>
      <c r="G105" s="170"/>
      <c r="H105" s="170"/>
      <c r="I105" s="170"/>
      <c r="J105" s="171"/>
      <c r="K105" s="170"/>
      <c r="L105" s="170"/>
      <c r="M105" s="170"/>
      <c r="N105" s="170"/>
      <c r="O105" s="170"/>
      <c r="P105" s="171"/>
      <c r="Q105" s="170"/>
      <c r="R105" s="170"/>
      <c r="S105" s="170"/>
      <c r="T105" s="170"/>
      <c r="U105" s="170"/>
      <c r="V105" s="171"/>
      <c r="W105" s="170"/>
      <c r="X105" s="170"/>
      <c r="Y105" s="170"/>
      <c r="Z105" s="170"/>
      <c r="AA105" s="170"/>
      <c r="AB105" s="170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</row>
    <row r="106" spans="1:51">
      <c r="A106" s="19"/>
      <c r="B106" s="17"/>
      <c r="C106" s="37"/>
      <c r="D106" s="170"/>
      <c r="E106" s="170"/>
      <c r="F106" s="170"/>
      <c r="G106" s="170"/>
      <c r="H106" s="170"/>
      <c r="I106" s="170"/>
      <c r="J106" s="171"/>
      <c r="K106" s="170"/>
      <c r="L106" s="170"/>
      <c r="M106" s="170"/>
      <c r="N106" s="170"/>
      <c r="O106" s="170"/>
      <c r="P106" s="171"/>
      <c r="Q106" s="170"/>
      <c r="R106" s="170"/>
      <c r="S106" s="170"/>
      <c r="T106" s="170"/>
      <c r="U106" s="170"/>
      <c r="V106" s="171"/>
      <c r="W106" s="170"/>
      <c r="X106" s="170"/>
      <c r="Y106" s="170"/>
      <c r="Z106" s="170"/>
      <c r="AA106" s="170"/>
      <c r="AB106" s="170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</row>
    <row r="107" spans="1:51">
      <c r="A107" s="19"/>
      <c r="B107" s="17"/>
      <c r="C107" s="37"/>
      <c r="D107" s="170"/>
      <c r="E107" s="170"/>
      <c r="F107" s="170"/>
      <c r="G107" s="170"/>
      <c r="H107" s="170"/>
      <c r="I107" s="170"/>
      <c r="J107" s="171"/>
      <c r="K107" s="170"/>
      <c r="L107" s="170"/>
      <c r="M107" s="170"/>
      <c r="N107" s="170"/>
      <c r="O107" s="170"/>
      <c r="P107" s="171"/>
      <c r="Q107" s="170"/>
      <c r="R107" s="170"/>
      <c r="S107" s="170"/>
      <c r="T107" s="170"/>
      <c r="U107" s="170"/>
      <c r="V107" s="171"/>
      <c r="W107" s="170"/>
      <c r="X107" s="170"/>
      <c r="Y107" s="170"/>
      <c r="Z107" s="170"/>
      <c r="AA107" s="170"/>
      <c r="AB107" s="170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</row>
    <row r="108" spans="1:51">
      <c r="A108" s="19"/>
      <c r="B108" s="17"/>
      <c r="C108" s="37"/>
      <c r="D108" s="170"/>
      <c r="E108" s="170"/>
      <c r="F108" s="170"/>
      <c r="G108" s="170"/>
      <c r="H108" s="170"/>
      <c r="I108" s="170"/>
      <c r="J108" s="171"/>
      <c r="K108" s="170"/>
      <c r="L108" s="170"/>
      <c r="M108" s="170"/>
      <c r="N108" s="170"/>
      <c r="O108" s="170"/>
      <c r="P108" s="171"/>
      <c r="Q108" s="170"/>
      <c r="R108" s="170"/>
      <c r="S108" s="170"/>
      <c r="T108" s="170"/>
      <c r="U108" s="170"/>
      <c r="V108" s="171"/>
      <c r="W108" s="170"/>
      <c r="X108" s="170"/>
      <c r="Y108" s="170"/>
      <c r="Z108" s="170"/>
      <c r="AA108" s="170"/>
      <c r="AB108" s="170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</row>
    <row r="109" spans="1:51">
      <c r="A109" s="19"/>
      <c r="B109" s="17"/>
      <c r="C109" s="37"/>
      <c r="D109" s="170"/>
      <c r="E109" s="170"/>
      <c r="F109" s="170"/>
      <c r="G109" s="170"/>
      <c r="H109" s="170"/>
      <c r="I109" s="170"/>
      <c r="J109" s="171"/>
      <c r="K109" s="170"/>
      <c r="L109" s="170"/>
      <c r="M109" s="170"/>
      <c r="N109" s="170"/>
      <c r="O109" s="170"/>
      <c r="P109" s="171"/>
      <c r="Q109" s="170"/>
      <c r="R109" s="170"/>
      <c r="S109" s="170"/>
      <c r="T109" s="170"/>
      <c r="U109" s="170"/>
      <c r="V109" s="171"/>
      <c r="W109" s="170"/>
      <c r="X109" s="170"/>
      <c r="Y109" s="170"/>
      <c r="Z109" s="170"/>
      <c r="AA109" s="170"/>
      <c r="AB109" s="170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</row>
    <row r="110" spans="1:51">
      <c r="A110" s="19"/>
      <c r="B110" s="17"/>
      <c r="C110" s="37"/>
      <c r="D110" s="170"/>
      <c r="E110" s="170"/>
      <c r="F110" s="170"/>
      <c r="G110" s="170"/>
      <c r="H110" s="170"/>
      <c r="I110" s="170"/>
      <c r="J110" s="171"/>
      <c r="K110" s="170"/>
      <c r="L110" s="170"/>
      <c r="M110" s="170"/>
      <c r="N110" s="170"/>
      <c r="O110" s="170"/>
      <c r="P110" s="171"/>
      <c r="Q110" s="170"/>
      <c r="R110" s="170"/>
      <c r="S110" s="170"/>
      <c r="T110" s="170"/>
      <c r="U110" s="170"/>
      <c r="V110" s="171"/>
      <c r="W110" s="170"/>
      <c r="X110" s="170"/>
      <c r="Y110" s="170"/>
      <c r="Z110" s="170"/>
      <c r="AA110" s="170"/>
      <c r="AB110" s="170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</row>
    <row r="111" spans="1:51">
      <c r="A111" s="19"/>
      <c r="B111" s="17"/>
      <c r="C111" s="37"/>
      <c r="D111" s="170"/>
      <c r="E111" s="170"/>
      <c r="F111" s="170"/>
      <c r="G111" s="170"/>
      <c r="H111" s="170"/>
      <c r="I111" s="170"/>
      <c r="J111" s="171"/>
      <c r="K111" s="170"/>
      <c r="L111" s="170"/>
      <c r="M111" s="170"/>
      <c r="N111" s="170"/>
      <c r="O111" s="170"/>
      <c r="P111" s="171"/>
      <c r="Q111" s="170"/>
      <c r="R111" s="170"/>
      <c r="S111" s="170"/>
      <c r="T111" s="170"/>
      <c r="U111" s="170"/>
      <c r="V111" s="171"/>
      <c r="W111" s="170"/>
      <c r="X111" s="170"/>
      <c r="Y111" s="170"/>
      <c r="Z111" s="170"/>
      <c r="AA111" s="170"/>
      <c r="AB111" s="170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</row>
    <row r="112" spans="1:51">
      <c r="A112" s="19"/>
      <c r="B112" s="17"/>
      <c r="C112" s="37"/>
      <c r="D112" s="170"/>
      <c r="E112" s="170"/>
      <c r="F112" s="170"/>
      <c r="G112" s="170"/>
      <c r="H112" s="170"/>
      <c r="I112" s="170"/>
      <c r="J112" s="171"/>
      <c r="K112" s="170"/>
      <c r="L112" s="170"/>
      <c r="M112" s="170"/>
      <c r="N112" s="170"/>
      <c r="O112" s="170"/>
      <c r="P112" s="171"/>
      <c r="Q112" s="170"/>
      <c r="R112" s="170"/>
      <c r="S112" s="170"/>
      <c r="T112" s="170"/>
      <c r="U112" s="170"/>
      <c r="V112" s="171"/>
      <c r="W112" s="170"/>
      <c r="X112" s="170"/>
      <c r="Y112" s="170"/>
      <c r="Z112" s="170"/>
      <c r="AA112" s="170"/>
      <c r="AB112" s="170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</row>
    <row r="113" spans="1:51">
      <c r="A113" s="19"/>
      <c r="B113" s="17"/>
      <c r="C113" s="37"/>
      <c r="D113" s="170"/>
      <c r="E113" s="170"/>
      <c r="F113" s="170"/>
      <c r="G113" s="170"/>
      <c r="H113" s="170"/>
      <c r="I113" s="170"/>
      <c r="J113" s="171"/>
      <c r="K113" s="170"/>
      <c r="L113" s="170"/>
      <c r="M113" s="170"/>
      <c r="N113" s="170"/>
      <c r="O113" s="170"/>
      <c r="P113" s="171"/>
      <c r="Q113" s="170"/>
      <c r="R113" s="170"/>
      <c r="S113" s="170"/>
      <c r="T113" s="170"/>
      <c r="U113" s="170"/>
      <c r="V113" s="171"/>
      <c r="W113" s="170"/>
      <c r="X113" s="170"/>
      <c r="Y113" s="170"/>
      <c r="Z113" s="170"/>
      <c r="AA113" s="170"/>
      <c r="AB113" s="170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</row>
    <row r="114" spans="1:51">
      <c r="A114" s="19"/>
      <c r="B114" s="17"/>
      <c r="C114" s="37"/>
      <c r="D114" s="170"/>
      <c r="E114" s="170"/>
      <c r="F114" s="170"/>
      <c r="G114" s="170"/>
      <c r="H114" s="170"/>
      <c r="I114" s="170"/>
      <c r="J114" s="171"/>
      <c r="K114" s="170"/>
      <c r="L114" s="170"/>
      <c r="M114" s="170"/>
      <c r="N114" s="170"/>
      <c r="O114" s="170"/>
      <c r="P114" s="171"/>
      <c r="Q114" s="170"/>
      <c r="R114" s="170"/>
      <c r="S114" s="170"/>
      <c r="T114" s="170"/>
      <c r="U114" s="170"/>
      <c r="V114" s="171"/>
      <c r="W114" s="170"/>
      <c r="X114" s="170"/>
      <c r="Y114" s="170"/>
      <c r="Z114" s="170"/>
      <c r="AA114" s="170"/>
      <c r="AB114" s="170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</row>
    <row r="115" spans="1:51">
      <c r="A115" s="19"/>
      <c r="B115" s="17"/>
      <c r="C115" s="37"/>
      <c r="D115" s="170"/>
      <c r="E115" s="170"/>
      <c r="F115" s="170"/>
      <c r="G115" s="170"/>
      <c r="H115" s="170"/>
      <c r="I115" s="170"/>
      <c r="J115" s="171"/>
      <c r="K115" s="170"/>
      <c r="L115" s="170"/>
      <c r="M115" s="170"/>
      <c r="N115" s="170"/>
      <c r="O115" s="170"/>
      <c r="P115" s="171"/>
      <c r="Q115" s="170"/>
      <c r="R115" s="170"/>
      <c r="S115" s="170"/>
      <c r="T115" s="170"/>
      <c r="U115" s="170"/>
      <c r="V115" s="171"/>
      <c r="W115" s="170"/>
      <c r="X115" s="170"/>
      <c r="Y115" s="170"/>
      <c r="Z115" s="170"/>
      <c r="AA115" s="170"/>
      <c r="AB115" s="170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</row>
    <row r="116" spans="1:51">
      <c r="A116" s="19"/>
      <c r="B116" s="17"/>
      <c r="C116" s="37"/>
      <c r="D116" s="170"/>
      <c r="E116" s="170"/>
      <c r="F116" s="170"/>
      <c r="G116" s="170"/>
      <c r="H116" s="170"/>
      <c r="I116" s="170"/>
      <c r="J116" s="171"/>
      <c r="K116" s="170"/>
      <c r="L116" s="170"/>
      <c r="M116" s="170"/>
      <c r="N116" s="170"/>
      <c r="O116" s="170"/>
      <c r="P116" s="171"/>
      <c r="Q116" s="170"/>
      <c r="R116" s="170"/>
      <c r="S116" s="170"/>
      <c r="T116" s="170"/>
      <c r="U116" s="170"/>
      <c r="V116" s="171"/>
      <c r="W116" s="170"/>
      <c r="X116" s="170"/>
      <c r="Y116" s="170"/>
      <c r="Z116" s="170"/>
      <c r="AA116" s="170"/>
      <c r="AB116" s="170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</row>
    <row r="117" spans="1:51">
      <c r="A117" s="19"/>
      <c r="B117" s="17"/>
      <c r="C117" s="37"/>
      <c r="D117" s="170"/>
      <c r="E117" s="170"/>
      <c r="F117" s="170"/>
      <c r="G117" s="170"/>
      <c r="H117" s="170"/>
      <c r="I117" s="170"/>
      <c r="J117" s="171"/>
      <c r="K117" s="170"/>
      <c r="L117" s="170"/>
      <c r="M117" s="170"/>
      <c r="N117" s="170"/>
      <c r="O117" s="170"/>
      <c r="P117" s="171"/>
      <c r="Q117" s="170"/>
      <c r="R117" s="170"/>
      <c r="S117" s="170"/>
      <c r="T117" s="170"/>
      <c r="U117" s="170"/>
      <c r="V117" s="171"/>
      <c r="W117" s="170"/>
      <c r="X117" s="170"/>
      <c r="Y117" s="170"/>
      <c r="Z117" s="170"/>
      <c r="AA117" s="170"/>
      <c r="AB117" s="170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</row>
    <row r="118" spans="1:51">
      <c r="A118" s="19"/>
      <c r="B118" s="17"/>
      <c r="C118" s="37"/>
      <c r="D118" s="170"/>
      <c r="E118" s="170"/>
      <c r="F118" s="170"/>
      <c r="G118" s="170"/>
      <c r="H118" s="170"/>
      <c r="I118" s="170"/>
      <c r="J118" s="171"/>
      <c r="K118" s="170"/>
      <c r="L118" s="170"/>
      <c r="M118" s="170"/>
      <c r="N118" s="170"/>
      <c r="O118" s="170"/>
      <c r="P118" s="171"/>
      <c r="Q118" s="170"/>
      <c r="R118" s="170"/>
      <c r="S118" s="170"/>
      <c r="T118" s="170"/>
      <c r="U118" s="170"/>
      <c r="V118" s="171"/>
      <c r="W118" s="170"/>
      <c r="X118" s="170"/>
      <c r="Y118" s="170"/>
      <c r="Z118" s="170"/>
      <c r="AA118" s="170"/>
      <c r="AB118" s="170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</row>
    <row r="119" spans="1:51">
      <c r="A119" s="19"/>
      <c r="B119" s="17"/>
      <c r="C119" s="37"/>
      <c r="D119" s="170"/>
      <c r="E119" s="170"/>
      <c r="F119" s="170"/>
      <c r="G119" s="170"/>
      <c r="H119" s="170"/>
      <c r="I119" s="170"/>
      <c r="J119" s="171"/>
      <c r="K119" s="170"/>
      <c r="L119" s="170"/>
      <c r="M119" s="170"/>
      <c r="N119" s="170"/>
      <c r="O119" s="170"/>
      <c r="P119" s="171"/>
      <c r="Q119" s="170"/>
      <c r="R119" s="170"/>
      <c r="S119" s="170"/>
      <c r="T119" s="170"/>
      <c r="U119" s="170"/>
      <c r="V119" s="171"/>
      <c r="W119" s="170"/>
      <c r="X119" s="170"/>
      <c r="Y119" s="170"/>
      <c r="Z119" s="170"/>
      <c r="AA119" s="170"/>
      <c r="AB119" s="170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</row>
    <row r="120" spans="1:51">
      <c r="A120" s="19"/>
      <c r="B120" s="17"/>
      <c r="C120" s="37"/>
      <c r="D120" s="170"/>
      <c r="E120" s="170"/>
      <c r="F120" s="170"/>
      <c r="G120" s="170"/>
      <c r="H120" s="170"/>
      <c r="I120" s="170"/>
      <c r="J120" s="171"/>
      <c r="K120" s="170"/>
      <c r="L120" s="170"/>
      <c r="M120" s="170"/>
      <c r="N120" s="170"/>
      <c r="O120" s="170"/>
      <c r="P120" s="171"/>
      <c r="Q120" s="170"/>
      <c r="R120" s="170"/>
      <c r="S120" s="170"/>
      <c r="T120" s="170"/>
      <c r="U120" s="170"/>
      <c r="V120" s="171"/>
      <c r="W120" s="170"/>
      <c r="X120" s="170"/>
      <c r="Y120" s="170"/>
      <c r="Z120" s="170"/>
      <c r="AA120" s="170"/>
      <c r="AB120" s="170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</row>
    <row r="121" spans="1:51">
      <c r="A121" s="19"/>
      <c r="B121" s="17"/>
      <c r="C121" s="37"/>
      <c r="D121" s="170"/>
      <c r="E121" s="170"/>
      <c r="F121" s="170"/>
      <c r="G121" s="170"/>
      <c r="H121" s="170"/>
      <c r="I121" s="170"/>
      <c r="J121" s="171"/>
      <c r="K121" s="170"/>
      <c r="L121" s="170"/>
      <c r="M121" s="170"/>
      <c r="N121" s="170"/>
      <c r="O121" s="170"/>
      <c r="P121" s="171"/>
      <c r="Q121" s="170"/>
      <c r="R121" s="170"/>
      <c r="S121" s="170"/>
      <c r="T121" s="170"/>
      <c r="U121" s="170"/>
      <c r="V121" s="171"/>
      <c r="W121" s="170"/>
      <c r="X121" s="170"/>
      <c r="Y121" s="170"/>
      <c r="Z121" s="170"/>
      <c r="AA121" s="170"/>
      <c r="AB121" s="170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</row>
    <row r="122" spans="1:51">
      <c r="A122" s="19"/>
      <c r="B122" s="17"/>
      <c r="C122" s="37"/>
      <c r="D122" s="170"/>
      <c r="E122" s="170"/>
      <c r="F122" s="170"/>
      <c r="G122" s="170"/>
      <c r="H122" s="170"/>
      <c r="I122" s="170"/>
      <c r="J122" s="171"/>
      <c r="K122" s="170"/>
      <c r="L122" s="170"/>
      <c r="M122" s="170"/>
      <c r="N122" s="170"/>
      <c r="O122" s="170"/>
      <c r="P122" s="171"/>
      <c r="Q122" s="170"/>
      <c r="R122" s="170"/>
      <c r="S122" s="170"/>
      <c r="T122" s="170"/>
      <c r="U122" s="170"/>
      <c r="V122" s="171"/>
      <c r="W122" s="170"/>
      <c r="X122" s="170"/>
      <c r="Y122" s="170"/>
      <c r="Z122" s="170"/>
      <c r="AA122" s="170"/>
      <c r="AB122" s="170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</row>
    <row r="123" spans="1:51">
      <c r="A123" s="19"/>
      <c r="B123" s="17"/>
      <c r="C123" s="37"/>
      <c r="D123" s="170"/>
      <c r="E123" s="170"/>
      <c r="F123" s="170"/>
      <c r="G123" s="170"/>
      <c r="H123" s="170"/>
      <c r="I123" s="170"/>
      <c r="J123" s="171"/>
      <c r="K123" s="170"/>
      <c r="L123" s="170"/>
      <c r="M123" s="170"/>
      <c r="N123" s="170"/>
      <c r="O123" s="170"/>
      <c r="P123" s="171"/>
      <c r="Q123" s="170"/>
      <c r="R123" s="170"/>
      <c r="S123" s="170"/>
      <c r="T123" s="170"/>
      <c r="U123" s="170"/>
      <c r="V123" s="171"/>
      <c r="W123" s="170"/>
      <c r="X123" s="170"/>
      <c r="Y123" s="170"/>
      <c r="Z123" s="170"/>
      <c r="AA123" s="170"/>
      <c r="AB123" s="170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</row>
    <row r="124" spans="1:51">
      <c r="A124" s="19"/>
      <c r="B124" s="17"/>
      <c r="C124" s="37"/>
      <c r="D124" s="170"/>
      <c r="E124" s="170"/>
      <c r="F124" s="170"/>
      <c r="G124" s="170"/>
      <c r="H124" s="170"/>
      <c r="I124" s="170"/>
      <c r="J124" s="171"/>
      <c r="K124" s="170"/>
      <c r="L124" s="170"/>
      <c r="M124" s="170"/>
      <c r="N124" s="170"/>
      <c r="O124" s="170"/>
      <c r="P124" s="171"/>
      <c r="Q124" s="170"/>
      <c r="R124" s="170"/>
      <c r="S124" s="170"/>
      <c r="T124" s="170"/>
      <c r="U124" s="170"/>
      <c r="V124" s="171"/>
      <c r="W124" s="170"/>
      <c r="X124" s="170"/>
      <c r="Y124" s="170"/>
      <c r="Z124" s="170"/>
      <c r="AA124" s="170"/>
      <c r="AB124" s="170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</row>
    <row r="125" spans="1:51">
      <c r="A125" s="19"/>
      <c r="B125" s="17"/>
      <c r="C125" s="37"/>
      <c r="D125" s="170"/>
      <c r="E125" s="170"/>
      <c r="F125" s="170"/>
      <c r="G125" s="170"/>
      <c r="H125" s="170"/>
      <c r="I125" s="170"/>
      <c r="J125" s="171"/>
      <c r="K125" s="170"/>
      <c r="L125" s="170"/>
      <c r="M125" s="170"/>
      <c r="N125" s="170"/>
      <c r="O125" s="170"/>
      <c r="P125" s="171"/>
      <c r="Q125" s="170"/>
      <c r="R125" s="170"/>
      <c r="S125" s="170"/>
      <c r="T125" s="170"/>
      <c r="U125" s="170"/>
      <c r="V125" s="171"/>
      <c r="W125" s="170"/>
      <c r="X125" s="170"/>
      <c r="Y125" s="170"/>
      <c r="Z125" s="170"/>
      <c r="AA125" s="170"/>
      <c r="AB125" s="170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</row>
    <row r="126" spans="1:51">
      <c r="A126" s="19"/>
      <c r="B126" s="17"/>
      <c r="C126" s="37"/>
      <c r="D126" s="170"/>
      <c r="E126" s="170"/>
      <c r="F126" s="170"/>
      <c r="G126" s="170"/>
      <c r="H126" s="170"/>
      <c r="I126" s="170"/>
      <c r="J126" s="171"/>
      <c r="K126" s="170"/>
      <c r="L126" s="170"/>
      <c r="M126" s="170"/>
      <c r="N126" s="170"/>
      <c r="O126" s="170"/>
      <c r="P126" s="171"/>
      <c r="Q126" s="170"/>
      <c r="R126" s="170"/>
      <c r="S126" s="170"/>
      <c r="T126" s="170"/>
      <c r="U126" s="170"/>
      <c r="V126" s="171"/>
      <c r="W126" s="170"/>
      <c r="X126" s="170"/>
      <c r="Y126" s="170"/>
      <c r="Z126" s="170"/>
      <c r="AA126" s="170"/>
      <c r="AB126" s="170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</row>
    <row r="127" spans="1:51">
      <c r="A127" s="19"/>
      <c r="B127" s="17"/>
      <c r="C127" s="37"/>
      <c r="D127" s="170"/>
      <c r="E127" s="170"/>
      <c r="F127" s="170"/>
      <c r="G127" s="170"/>
      <c r="H127" s="170"/>
      <c r="I127" s="170"/>
      <c r="J127" s="171"/>
      <c r="K127" s="170"/>
      <c r="L127" s="170"/>
      <c r="M127" s="170"/>
      <c r="N127" s="170"/>
      <c r="O127" s="170"/>
      <c r="P127" s="171"/>
      <c r="Q127" s="170"/>
      <c r="R127" s="170"/>
      <c r="S127" s="170"/>
      <c r="T127" s="170"/>
      <c r="U127" s="170"/>
      <c r="V127" s="171"/>
      <c r="W127" s="170"/>
      <c r="X127" s="170"/>
      <c r="Y127" s="170"/>
      <c r="Z127" s="170"/>
      <c r="AA127" s="170"/>
      <c r="AB127" s="170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</row>
    <row r="128" spans="1:51">
      <c r="A128" s="19"/>
      <c r="B128" s="17"/>
      <c r="C128" s="37"/>
      <c r="D128" s="170"/>
      <c r="E128" s="170"/>
      <c r="F128" s="170"/>
      <c r="G128" s="170"/>
      <c r="H128" s="170"/>
      <c r="I128" s="170"/>
      <c r="J128" s="171"/>
      <c r="K128" s="170"/>
      <c r="L128" s="170"/>
      <c r="M128" s="170"/>
      <c r="N128" s="170"/>
      <c r="O128" s="170"/>
      <c r="P128" s="171"/>
      <c r="Q128" s="170"/>
      <c r="R128" s="170"/>
      <c r="S128" s="170"/>
      <c r="T128" s="170"/>
      <c r="U128" s="170"/>
      <c r="V128" s="171"/>
      <c r="W128" s="170"/>
      <c r="X128" s="170"/>
      <c r="Y128" s="170"/>
      <c r="Z128" s="170"/>
      <c r="AA128" s="170"/>
      <c r="AB128" s="170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</row>
    <row r="129" spans="1:51">
      <c r="A129" s="19"/>
      <c r="B129" s="17"/>
      <c r="C129" s="37"/>
      <c r="D129" s="170"/>
      <c r="E129" s="170"/>
      <c r="F129" s="170"/>
      <c r="G129" s="170"/>
      <c r="H129" s="170"/>
      <c r="I129" s="170"/>
      <c r="J129" s="171"/>
      <c r="K129" s="170"/>
      <c r="L129" s="170"/>
      <c r="M129" s="170"/>
      <c r="N129" s="170"/>
      <c r="O129" s="170"/>
      <c r="P129" s="171"/>
      <c r="Q129" s="170"/>
      <c r="R129" s="170"/>
      <c r="S129" s="170"/>
      <c r="T129" s="170"/>
      <c r="U129" s="170"/>
      <c r="V129" s="171"/>
      <c r="W129" s="170"/>
      <c r="X129" s="170"/>
      <c r="Y129" s="170"/>
      <c r="Z129" s="170"/>
      <c r="AA129" s="170"/>
      <c r="AB129" s="170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</row>
    <row r="130" spans="1:51">
      <c r="A130" s="19"/>
      <c r="B130" s="17"/>
      <c r="C130" s="37"/>
      <c r="D130" s="170"/>
      <c r="E130" s="170"/>
      <c r="F130" s="170"/>
      <c r="G130" s="170"/>
      <c r="H130" s="170"/>
      <c r="I130" s="170"/>
      <c r="J130" s="171"/>
      <c r="K130" s="170"/>
      <c r="L130" s="170"/>
      <c r="M130" s="170"/>
      <c r="N130" s="170"/>
      <c r="O130" s="170"/>
      <c r="P130" s="171"/>
      <c r="Q130" s="170"/>
      <c r="R130" s="170"/>
      <c r="S130" s="170"/>
      <c r="T130" s="170"/>
      <c r="U130" s="170"/>
      <c r="V130" s="171"/>
      <c r="W130" s="170"/>
      <c r="X130" s="170"/>
      <c r="Y130" s="170"/>
      <c r="Z130" s="170"/>
      <c r="AA130" s="170"/>
      <c r="AB130" s="170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</row>
    <row r="131" spans="1:51">
      <c r="A131" s="19"/>
      <c r="B131" s="17"/>
      <c r="C131" s="37"/>
      <c r="D131" s="170"/>
      <c r="E131" s="170"/>
      <c r="F131" s="170"/>
      <c r="G131" s="170"/>
      <c r="H131" s="170"/>
      <c r="I131" s="170"/>
      <c r="J131" s="171"/>
      <c r="K131" s="170"/>
      <c r="L131" s="170"/>
      <c r="M131" s="170"/>
      <c r="N131" s="170"/>
      <c r="O131" s="170"/>
      <c r="P131" s="171"/>
      <c r="Q131" s="170"/>
      <c r="R131" s="170"/>
      <c r="S131" s="170"/>
      <c r="T131" s="170"/>
      <c r="U131" s="170"/>
      <c r="V131" s="171"/>
      <c r="W131" s="170"/>
      <c r="X131" s="170"/>
      <c r="Y131" s="170"/>
      <c r="Z131" s="170"/>
      <c r="AA131" s="170"/>
      <c r="AB131" s="170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</row>
    <row r="132" spans="1:51">
      <c r="A132" s="19"/>
      <c r="B132" s="17"/>
      <c r="C132" s="37"/>
      <c r="D132" s="170"/>
      <c r="E132" s="170"/>
      <c r="F132" s="170"/>
      <c r="G132" s="170"/>
      <c r="H132" s="170"/>
      <c r="I132" s="170"/>
      <c r="J132" s="171"/>
      <c r="K132" s="170"/>
      <c r="L132" s="170"/>
      <c r="M132" s="170"/>
      <c r="N132" s="170"/>
      <c r="O132" s="170"/>
      <c r="P132" s="171"/>
      <c r="Q132" s="170"/>
      <c r="R132" s="170"/>
      <c r="S132" s="170"/>
      <c r="T132" s="170"/>
      <c r="U132" s="170"/>
      <c r="V132" s="171"/>
      <c r="W132" s="170"/>
      <c r="X132" s="170"/>
      <c r="Y132" s="170"/>
      <c r="Z132" s="170"/>
      <c r="AA132" s="170"/>
      <c r="AB132" s="170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</row>
    <row r="133" spans="1:51">
      <c r="A133" s="19"/>
      <c r="B133" s="17"/>
      <c r="C133" s="223"/>
      <c r="D133" s="111"/>
      <c r="E133" s="111"/>
      <c r="F133" s="111"/>
      <c r="G133" s="111"/>
      <c r="H133" s="111"/>
      <c r="I133" s="111"/>
      <c r="J133" s="224"/>
      <c r="K133" s="111"/>
      <c r="L133" s="111"/>
      <c r="M133" s="111"/>
      <c r="N133" s="111"/>
      <c r="O133" s="111"/>
      <c r="P133" s="224"/>
      <c r="Q133" s="111"/>
      <c r="R133" s="111"/>
      <c r="S133" s="111"/>
      <c r="T133" s="111"/>
      <c r="U133" s="111"/>
      <c r="V133" s="224"/>
      <c r="W133" s="111"/>
      <c r="X133" s="111"/>
      <c r="Y133" s="111"/>
      <c r="Z133" s="111"/>
      <c r="AA133" s="111"/>
      <c r="AB133" s="111"/>
      <c r="AC133" s="111"/>
      <c r="AD133" s="111"/>
      <c r="AE133" s="111"/>
      <c r="AF133" s="111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</row>
    <row r="134" spans="1:51">
      <c r="A134" s="19"/>
      <c r="B134" s="17"/>
      <c r="C134" s="223"/>
      <c r="D134" s="111"/>
      <c r="E134" s="111"/>
      <c r="F134" s="111"/>
      <c r="G134" s="111"/>
      <c r="H134" s="111"/>
      <c r="I134" s="111"/>
      <c r="J134" s="224"/>
      <c r="K134" s="111"/>
      <c r="L134" s="111"/>
      <c r="M134" s="111"/>
      <c r="N134" s="111"/>
      <c r="O134" s="111"/>
      <c r="P134" s="224"/>
      <c r="Q134" s="111"/>
      <c r="R134" s="111"/>
      <c r="S134" s="111"/>
      <c r="T134" s="111"/>
      <c r="U134" s="111"/>
      <c r="V134" s="224"/>
      <c r="W134" s="111"/>
      <c r="X134" s="111"/>
      <c r="Y134" s="111"/>
      <c r="Z134" s="111"/>
      <c r="AA134" s="111"/>
      <c r="AB134" s="111"/>
      <c r="AC134" s="111"/>
      <c r="AD134" s="111"/>
      <c r="AE134" s="111"/>
      <c r="AF134" s="111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</row>
    <row r="135" spans="1:51">
      <c r="A135" s="19"/>
      <c r="B135" s="17"/>
      <c r="C135" s="223"/>
      <c r="D135" s="111"/>
      <c r="E135" s="111"/>
      <c r="F135" s="111"/>
      <c r="G135" s="111"/>
      <c r="H135" s="111"/>
      <c r="I135" s="111"/>
      <c r="J135" s="224"/>
      <c r="K135" s="111"/>
      <c r="L135" s="111"/>
      <c r="M135" s="111"/>
      <c r="N135" s="111"/>
      <c r="O135" s="111"/>
      <c r="P135" s="224"/>
      <c r="Q135" s="111"/>
      <c r="R135" s="111"/>
      <c r="S135" s="111"/>
      <c r="T135" s="111"/>
      <c r="U135" s="111"/>
      <c r="V135" s="224"/>
      <c r="W135" s="111"/>
      <c r="X135" s="111"/>
      <c r="Y135" s="111"/>
      <c r="Z135" s="111"/>
      <c r="AA135" s="111"/>
      <c r="AB135" s="111"/>
      <c r="AC135" s="111"/>
      <c r="AD135" s="111"/>
      <c r="AE135" s="111"/>
      <c r="AF135" s="111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</row>
    <row r="136" spans="1:51">
      <c r="A136" s="19"/>
      <c r="B136" s="17"/>
      <c r="C136" s="223"/>
      <c r="D136" s="111"/>
      <c r="E136" s="111"/>
      <c r="F136" s="111"/>
      <c r="G136" s="111"/>
      <c r="H136" s="111"/>
      <c r="I136" s="111"/>
      <c r="J136" s="224"/>
      <c r="K136" s="111"/>
      <c r="L136" s="111"/>
      <c r="M136" s="111"/>
      <c r="N136" s="111"/>
      <c r="O136" s="111"/>
      <c r="P136" s="224"/>
      <c r="Q136" s="111"/>
      <c r="R136" s="111"/>
      <c r="S136" s="111"/>
      <c r="T136" s="111"/>
      <c r="U136" s="111"/>
      <c r="V136" s="224"/>
      <c r="W136" s="111"/>
      <c r="X136" s="111"/>
      <c r="Y136" s="111"/>
      <c r="Z136" s="111"/>
      <c r="AA136" s="111"/>
      <c r="AB136" s="111"/>
      <c r="AC136" s="111"/>
      <c r="AD136" s="111"/>
      <c r="AE136" s="111"/>
      <c r="AF136" s="111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</row>
    <row r="137" spans="1:51">
      <c r="A137" s="19"/>
      <c r="B137" s="17"/>
      <c r="C137" s="223"/>
      <c r="D137" s="111"/>
      <c r="E137" s="111"/>
      <c r="F137" s="111"/>
      <c r="G137" s="111"/>
      <c r="H137" s="111"/>
      <c r="I137" s="111"/>
      <c r="J137" s="224"/>
      <c r="K137" s="111"/>
      <c r="L137" s="111"/>
      <c r="M137" s="111"/>
      <c r="N137" s="111"/>
      <c r="O137" s="111"/>
      <c r="P137" s="224"/>
      <c r="Q137" s="111"/>
      <c r="R137" s="111"/>
      <c r="S137" s="111"/>
      <c r="T137" s="111"/>
      <c r="U137" s="111"/>
      <c r="V137" s="224"/>
      <c r="W137" s="111"/>
      <c r="X137" s="111"/>
      <c r="Y137" s="111"/>
      <c r="Z137" s="111"/>
      <c r="AA137" s="111"/>
      <c r="AB137" s="111"/>
      <c r="AC137" s="111"/>
      <c r="AD137" s="111"/>
      <c r="AE137" s="111"/>
      <c r="AF137" s="111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</row>
    <row r="138" spans="1:51">
      <c r="A138" s="19"/>
      <c r="B138" s="17"/>
      <c r="C138" s="223"/>
      <c r="D138" s="111"/>
      <c r="E138" s="111"/>
      <c r="F138" s="111"/>
      <c r="G138" s="111"/>
      <c r="H138" s="111"/>
      <c r="I138" s="111"/>
      <c r="J138" s="224"/>
      <c r="K138" s="111"/>
      <c r="L138" s="111"/>
      <c r="M138" s="111"/>
      <c r="N138" s="111"/>
      <c r="O138" s="111"/>
      <c r="P138" s="224"/>
      <c r="Q138" s="111"/>
      <c r="R138" s="111"/>
      <c r="S138" s="111"/>
      <c r="T138" s="111"/>
      <c r="U138" s="111"/>
      <c r="V138" s="224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1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</row>
    <row r="139" spans="1:51">
      <c r="A139" s="19"/>
      <c r="B139" s="17"/>
      <c r="C139" s="223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</row>
    <row r="140" spans="1:51">
      <c r="A140" s="19"/>
      <c r="B140" s="17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111"/>
      <c r="AC140" s="111"/>
      <c r="AD140" s="111"/>
      <c r="AE140" s="111"/>
      <c r="AF140" s="111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</row>
    <row r="141" spans="1:51" ht="14.25">
      <c r="A141" s="19"/>
      <c r="B141" s="17"/>
      <c r="C141" s="111"/>
      <c r="D141" s="111"/>
      <c r="E141" s="111"/>
      <c r="F141" s="111"/>
      <c r="G141" s="111"/>
      <c r="H141" s="111"/>
      <c r="I141" s="111"/>
      <c r="J141" s="111"/>
      <c r="K141" s="225"/>
      <c r="L141" s="225"/>
      <c r="M141" s="225"/>
      <c r="N141" s="111"/>
      <c r="O141" s="111"/>
      <c r="P141" s="111"/>
      <c r="Q141" s="225"/>
      <c r="R141" s="225"/>
      <c r="S141" s="225"/>
      <c r="T141" s="111"/>
      <c r="U141" s="111"/>
      <c r="V141" s="111"/>
      <c r="W141" s="225"/>
      <c r="X141" s="225"/>
      <c r="Y141" s="225"/>
      <c r="Z141" s="111"/>
      <c r="AA141" s="111"/>
      <c r="AB141" s="111"/>
      <c r="AC141" s="111"/>
      <c r="AD141" s="111"/>
      <c r="AE141" s="111"/>
      <c r="AF141" s="111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</row>
    <row r="142" spans="1:51" ht="14.25">
      <c r="A142" s="19"/>
      <c r="B142" s="17"/>
      <c r="C142" s="226" t="s">
        <v>416</v>
      </c>
      <c r="D142" s="111">
        <v>1.1499999999999999</v>
      </c>
      <c r="E142" s="111"/>
      <c r="F142" s="111"/>
      <c r="G142" s="111"/>
      <c r="H142" s="111"/>
      <c r="I142" s="111"/>
      <c r="J142" s="111"/>
      <c r="K142" s="225"/>
      <c r="L142" s="225"/>
      <c r="M142" s="225"/>
      <c r="N142" s="111"/>
      <c r="O142" s="111"/>
      <c r="P142" s="111"/>
      <c r="Q142" s="225"/>
      <c r="R142" s="225"/>
      <c r="S142" s="225"/>
      <c r="T142" s="111"/>
      <c r="U142" s="111"/>
      <c r="V142" s="111"/>
      <c r="W142" s="225"/>
      <c r="X142" s="225"/>
      <c r="Y142" s="225"/>
      <c r="Z142" s="111"/>
      <c r="AA142" s="111"/>
      <c r="AB142" s="111"/>
      <c r="AC142" s="111"/>
      <c r="AD142" s="111"/>
      <c r="AE142" s="111"/>
      <c r="AF142" s="111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</row>
    <row r="143" spans="1:51" ht="14.25">
      <c r="A143" s="19"/>
      <c r="B143" s="17"/>
      <c r="C143" s="111"/>
      <c r="D143" s="111"/>
      <c r="E143" s="111"/>
      <c r="F143" s="111"/>
      <c r="G143" s="111"/>
      <c r="H143" s="111"/>
      <c r="I143" s="111"/>
      <c r="J143" s="111"/>
      <c r="K143" s="225"/>
      <c r="L143" s="225"/>
      <c r="M143" s="225"/>
      <c r="N143" s="111"/>
      <c r="O143" s="111"/>
      <c r="P143" s="111"/>
      <c r="Q143" s="225"/>
      <c r="R143" s="225"/>
      <c r="S143" s="225"/>
      <c r="T143" s="111"/>
      <c r="U143" s="111"/>
      <c r="V143" s="111"/>
      <c r="W143" s="225"/>
      <c r="X143" s="225"/>
      <c r="Y143" s="225"/>
      <c r="Z143" s="111"/>
      <c r="AA143" s="111"/>
      <c r="AB143" s="111"/>
      <c r="AC143" s="111"/>
      <c r="AD143" s="111"/>
      <c r="AE143" s="111"/>
      <c r="AF143" s="111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</row>
    <row r="144" spans="1:51">
      <c r="C144" s="111"/>
      <c r="D144" s="111">
        <v>2</v>
      </c>
      <c r="E144" s="111">
        <v>3</v>
      </c>
      <c r="F144" s="111">
        <v>4</v>
      </c>
      <c r="G144" s="111">
        <v>5</v>
      </c>
      <c r="H144" s="111">
        <v>6</v>
      </c>
      <c r="I144" s="111"/>
      <c r="J144" s="111">
        <v>2</v>
      </c>
      <c r="K144" s="111">
        <v>3</v>
      </c>
      <c r="L144" s="111">
        <v>4</v>
      </c>
      <c r="M144" s="111">
        <v>5</v>
      </c>
      <c r="N144" s="111">
        <v>6</v>
      </c>
      <c r="O144" s="111"/>
      <c r="P144" s="111">
        <v>2</v>
      </c>
      <c r="Q144" s="111">
        <v>3</v>
      </c>
      <c r="R144" s="111">
        <v>4</v>
      </c>
      <c r="S144" s="111">
        <v>5</v>
      </c>
      <c r="T144" s="111">
        <v>6</v>
      </c>
      <c r="U144" s="111"/>
      <c r="V144" s="111">
        <v>2</v>
      </c>
      <c r="W144" s="111">
        <v>3</v>
      </c>
      <c r="X144" s="111">
        <v>4</v>
      </c>
      <c r="Y144" s="111">
        <v>5</v>
      </c>
      <c r="Z144" s="111">
        <v>6</v>
      </c>
      <c r="AA144" s="227"/>
      <c r="AB144" s="227"/>
      <c r="AC144" s="227"/>
      <c r="AD144" s="227"/>
      <c r="AE144" s="227"/>
      <c r="AF144" s="227"/>
    </row>
    <row r="145" spans="3:32" ht="38.25">
      <c r="C145" s="111"/>
      <c r="D145" s="163" t="s">
        <v>31</v>
      </c>
      <c r="E145" s="163" t="s">
        <v>26</v>
      </c>
      <c r="F145" s="163" t="s">
        <v>27</v>
      </c>
      <c r="G145" s="163" t="s">
        <v>28</v>
      </c>
      <c r="H145" s="163" t="s">
        <v>199</v>
      </c>
      <c r="I145" s="111"/>
      <c r="J145" s="163" t="s">
        <v>31</v>
      </c>
      <c r="K145" s="163" t="s">
        <v>26</v>
      </c>
      <c r="L145" s="163" t="s">
        <v>27</v>
      </c>
      <c r="M145" s="163" t="s">
        <v>28</v>
      </c>
      <c r="N145" s="163" t="s">
        <v>199</v>
      </c>
      <c r="O145" s="228"/>
      <c r="P145" s="163" t="s">
        <v>31</v>
      </c>
      <c r="Q145" s="163" t="s">
        <v>26</v>
      </c>
      <c r="R145" s="163" t="s">
        <v>27</v>
      </c>
      <c r="S145" s="163" t="s">
        <v>28</v>
      </c>
      <c r="T145" s="163" t="s">
        <v>199</v>
      </c>
      <c r="U145" s="111"/>
      <c r="V145" s="163" t="s">
        <v>31</v>
      </c>
      <c r="W145" s="163" t="s">
        <v>26</v>
      </c>
      <c r="X145" s="163" t="s">
        <v>27</v>
      </c>
      <c r="Y145" s="163" t="s">
        <v>28</v>
      </c>
      <c r="Z145" s="163" t="s">
        <v>199</v>
      </c>
      <c r="AA145" s="227"/>
      <c r="AB145" s="227"/>
      <c r="AC145" s="227"/>
      <c r="AD145" s="227"/>
      <c r="AE145" s="227"/>
      <c r="AF145" s="227"/>
    </row>
    <row r="146" spans="3:32">
      <c r="C146" s="224" t="s">
        <v>36</v>
      </c>
      <c r="D146" s="111" t="e">
        <f>D25*(VLOOKUP('Nøkkelinfo og veiledning'!$F$10,Utslippsfaktorer!$C$7:$I$35,D$144,0)/1.15)/1000</f>
        <v>#N/A</v>
      </c>
      <c r="E146" s="111" t="e">
        <f>E25*(VLOOKUP('Nøkkelinfo og veiledning'!$F$10,Utslippsfaktorer!$C$7:$I$35,E$144,0)/1.15)/1000</f>
        <v>#N/A</v>
      </c>
      <c r="F146" s="111" t="e">
        <f>F25*(VLOOKUP('Nøkkelinfo og veiledning'!$F$10,Utslippsfaktorer!$C$7:$I$35,F$144,0)/1.15)/1000</f>
        <v>#N/A</v>
      </c>
      <c r="G146" s="111" t="e">
        <f>G25*(VLOOKUP('Nøkkelinfo og veiledning'!$F$10,Utslippsfaktorer!$C$7:$I$35,G$144,0)/1.15)/1000</f>
        <v>#N/A</v>
      </c>
      <c r="H146" s="111" t="e">
        <f>H25*(VLOOKUP('Nøkkelinfo og veiledning'!$F$10,Utslippsfaktorer!$C$7:$I$35,H$144,0)/1.15)/1000</f>
        <v>#N/A</v>
      </c>
      <c r="I146" s="111"/>
      <c r="J146" s="111" t="e">
        <f>J25*(VLOOKUP('Nøkkelinfo og veiledning'!$F$10,Utslippsfaktorer!$C$7:$I$35,J$144,0)/1.15)/1000</f>
        <v>#N/A</v>
      </c>
      <c r="K146" s="111" t="e">
        <f>K25*(VLOOKUP('Nøkkelinfo og veiledning'!$F$10,Utslippsfaktorer!$C$7:$I$35,K$144,0)/1.15)/1000</f>
        <v>#N/A</v>
      </c>
      <c r="L146" s="111" t="e">
        <f>L25*(VLOOKUP('Nøkkelinfo og veiledning'!$F$10,Utslippsfaktorer!$C$7:$I$35,L$144,0)/1.15)/1000</f>
        <v>#N/A</v>
      </c>
      <c r="M146" s="111" t="e">
        <f>M25*(VLOOKUP('Nøkkelinfo og veiledning'!$F$10,Utslippsfaktorer!$C$7:$I$35,M$144,0)/1.15)/1000</f>
        <v>#N/A</v>
      </c>
      <c r="N146" s="111" t="e">
        <f>N25*(VLOOKUP('Nøkkelinfo og veiledning'!$F$10,Utslippsfaktorer!$C$7:$I$35,N$144,0)/1.15)/1000</f>
        <v>#N/A</v>
      </c>
      <c r="O146" s="111"/>
      <c r="P146" s="111" t="e">
        <f>P25*(VLOOKUP('Nøkkelinfo og veiledning'!$F$10,Utslippsfaktorer!$C$7:$I$35,P$144,0)/1.15)/1000</f>
        <v>#N/A</v>
      </c>
      <c r="Q146" s="111" t="e">
        <f>Q25*(VLOOKUP('Nøkkelinfo og veiledning'!$F$10,Utslippsfaktorer!$C$7:$I$35,Q$144,0)/1.15)/1000</f>
        <v>#N/A</v>
      </c>
      <c r="R146" s="111" t="e">
        <f>R25*(VLOOKUP('Nøkkelinfo og veiledning'!$F$10,Utslippsfaktorer!$C$7:$I$35,R$144,0)/1.15)/1000</f>
        <v>#N/A</v>
      </c>
      <c r="S146" s="111" t="e">
        <f>S25*(VLOOKUP('Nøkkelinfo og veiledning'!$F$10,Utslippsfaktorer!$C$7:$I$35,S$144,0)/1.15)/1000</f>
        <v>#N/A</v>
      </c>
      <c r="T146" s="111" t="e">
        <f>T25*(VLOOKUP('Nøkkelinfo og veiledning'!$F$10,Utslippsfaktorer!$C$7:$I$35,T$144,0)/1.15)/1000</f>
        <v>#N/A</v>
      </c>
      <c r="U146" s="111"/>
      <c r="V146" s="111" t="e">
        <f>V25*(VLOOKUP('Nøkkelinfo og veiledning'!$F$10,Utslippsfaktorer!$C$7:$I$35,V$144,0)/1.15)/1000</f>
        <v>#N/A</v>
      </c>
      <c r="W146" s="111" t="e">
        <f>W25*(VLOOKUP('Nøkkelinfo og veiledning'!$F$10,Utslippsfaktorer!$C$7:$I$35,W$144,0)/1.15)/1000</f>
        <v>#N/A</v>
      </c>
      <c r="X146" s="111" t="e">
        <f>X25*(VLOOKUP('Nøkkelinfo og veiledning'!$F$10,Utslippsfaktorer!$C$7:$I$35,X$144,0)/1.15)/1000</f>
        <v>#N/A</v>
      </c>
      <c r="Y146" s="111" t="e">
        <f>Y25*(VLOOKUP('Nøkkelinfo og veiledning'!$F$10,Utslippsfaktorer!$C$7:$I$35,Y$144,0)/1.15)/1000</f>
        <v>#N/A</v>
      </c>
      <c r="Z146" s="111" t="e">
        <f>Z25*(VLOOKUP('Nøkkelinfo og veiledning'!$F$10,Utslippsfaktorer!$C$7:$I$35,Z$144,0)/1.15)/1000</f>
        <v>#N/A</v>
      </c>
      <c r="AA146" s="227"/>
      <c r="AB146" s="227"/>
      <c r="AC146" s="227"/>
      <c r="AD146" s="227"/>
      <c r="AE146" s="227"/>
      <c r="AF146" s="227"/>
    </row>
    <row r="147" spans="3:32">
      <c r="C147" s="224" t="s">
        <v>37</v>
      </c>
      <c r="D147" s="111" t="e">
        <f>D26*(VLOOKUP('Nøkkelinfo og veiledning'!$F$10,Utslippsfaktorer!$C$7:$I$35,D$144,0)/1.15)/1000</f>
        <v>#N/A</v>
      </c>
      <c r="E147" s="111" t="e">
        <f>E26*(VLOOKUP('Nøkkelinfo og veiledning'!$F$10,Utslippsfaktorer!$C$7:$I$35,E$144,0)/1.15)/1000</f>
        <v>#N/A</v>
      </c>
      <c r="F147" s="111" t="e">
        <f>F26*(VLOOKUP('Nøkkelinfo og veiledning'!$F$10,Utslippsfaktorer!$C$7:$I$35,F$144,0)/1.15)/1000</f>
        <v>#N/A</v>
      </c>
      <c r="G147" s="111" t="e">
        <f>G26*(VLOOKUP('Nøkkelinfo og veiledning'!$F$10,Utslippsfaktorer!$C$7:$I$35,G$144,0)/1.15)/1000</f>
        <v>#N/A</v>
      </c>
      <c r="H147" s="111" t="e">
        <f>H26*(VLOOKUP('Nøkkelinfo og veiledning'!$F$10,Utslippsfaktorer!$C$7:$I$35,H$144,0)/1.15)/1000</f>
        <v>#N/A</v>
      </c>
      <c r="I147" s="111"/>
      <c r="J147" s="111" t="e">
        <f>J26*(VLOOKUP('Nøkkelinfo og veiledning'!$F$10,Utslippsfaktorer!$C$7:$I$35,J$144,0)/1.15)/1000</f>
        <v>#N/A</v>
      </c>
      <c r="K147" s="111" t="e">
        <f>K26*(VLOOKUP('Nøkkelinfo og veiledning'!$F$10,Utslippsfaktorer!$C$7:$I$35,K$144,0)/1.15)/1000</f>
        <v>#N/A</v>
      </c>
      <c r="L147" s="111" t="e">
        <f>L26*(VLOOKUP('Nøkkelinfo og veiledning'!$F$10,Utslippsfaktorer!$C$7:$I$35,L$144,0)/1.15)/1000</f>
        <v>#N/A</v>
      </c>
      <c r="M147" s="111" t="e">
        <f>M26*(VLOOKUP('Nøkkelinfo og veiledning'!$F$10,Utslippsfaktorer!$C$7:$I$35,M$144,0)/1.15)/1000</f>
        <v>#N/A</v>
      </c>
      <c r="N147" s="111" t="e">
        <f>N26*(VLOOKUP('Nøkkelinfo og veiledning'!$F$10,Utslippsfaktorer!$C$7:$I$35,N$144,0)/1.15)/1000</f>
        <v>#N/A</v>
      </c>
      <c r="O147" s="111"/>
      <c r="P147" s="111" t="e">
        <f>P26*(VLOOKUP('Nøkkelinfo og veiledning'!$F$10,Utslippsfaktorer!$C$7:$I$35,P$144,0)/1.15)/1000</f>
        <v>#N/A</v>
      </c>
      <c r="Q147" s="111" t="e">
        <f>Q26*(VLOOKUP('Nøkkelinfo og veiledning'!$F$10,Utslippsfaktorer!$C$7:$I$35,Q$144,0)/1.15)/1000</f>
        <v>#N/A</v>
      </c>
      <c r="R147" s="111" t="e">
        <f>R26*(VLOOKUP('Nøkkelinfo og veiledning'!$F$10,Utslippsfaktorer!$C$7:$I$35,R$144,0)/1.15)/1000</f>
        <v>#N/A</v>
      </c>
      <c r="S147" s="111" t="e">
        <f>S26*(VLOOKUP('Nøkkelinfo og veiledning'!$F$10,Utslippsfaktorer!$C$7:$I$35,S$144,0)/1.15)/1000</f>
        <v>#N/A</v>
      </c>
      <c r="T147" s="111" t="e">
        <f>T26*(VLOOKUP('Nøkkelinfo og veiledning'!$F$10,Utslippsfaktorer!$C$7:$I$35,T$144,0)/1.15)/1000</f>
        <v>#N/A</v>
      </c>
      <c r="U147" s="111"/>
      <c r="V147" s="111" t="e">
        <f>V26*(VLOOKUP('Nøkkelinfo og veiledning'!$F$10,Utslippsfaktorer!$C$7:$I$35,V$144,0)/1.15)/1000</f>
        <v>#N/A</v>
      </c>
      <c r="W147" s="111" t="e">
        <f>W26*(VLOOKUP('Nøkkelinfo og veiledning'!$F$10,Utslippsfaktorer!$C$7:$I$35,W$144,0)/1.15)/1000</f>
        <v>#N/A</v>
      </c>
      <c r="X147" s="111" t="e">
        <f>X26*(VLOOKUP('Nøkkelinfo og veiledning'!$F$10,Utslippsfaktorer!$C$7:$I$35,X$144,0)/1.15)/1000</f>
        <v>#N/A</v>
      </c>
      <c r="Y147" s="111" t="e">
        <f>Y26*(VLOOKUP('Nøkkelinfo og veiledning'!$F$10,Utslippsfaktorer!$C$7:$I$35,Y$144,0)/1.15)/1000</f>
        <v>#N/A</v>
      </c>
      <c r="Z147" s="111" t="e">
        <f>Z26*(VLOOKUP('Nøkkelinfo og veiledning'!$F$10,Utslippsfaktorer!$C$7:$I$35,Z$144,0)/1.15)/1000</f>
        <v>#N/A</v>
      </c>
      <c r="AA147" s="227"/>
      <c r="AB147" s="227"/>
      <c r="AC147" s="227"/>
      <c r="AD147" s="227"/>
      <c r="AE147" s="227"/>
      <c r="AF147" s="227"/>
    </row>
    <row r="148" spans="3:32">
      <c r="C148" s="224" t="s">
        <v>139</v>
      </c>
      <c r="D148" s="111" t="e">
        <f>D27*(VLOOKUP('Nøkkelinfo og veiledning'!$F$10,Utslippsfaktorer!$C$7:$I$35,D$144,0)/1.15)/1000</f>
        <v>#N/A</v>
      </c>
      <c r="E148" s="111" t="e">
        <f>E27*(VLOOKUP('Nøkkelinfo og veiledning'!$F$10,Utslippsfaktorer!$C$7:$I$35,E$144,0)/1.15)/1000</f>
        <v>#N/A</v>
      </c>
      <c r="F148" s="111" t="e">
        <f>F27*(VLOOKUP('Nøkkelinfo og veiledning'!$F$10,Utslippsfaktorer!$C$7:$I$35,F$144,0)/1.15)/1000</f>
        <v>#N/A</v>
      </c>
      <c r="G148" s="111" t="e">
        <f>G27*(VLOOKUP('Nøkkelinfo og veiledning'!$F$10,Utslippsfaktorer!$C$7:$I$35,G$144,0)/1.15)/1000</f>
        <v>#N/A</v>
      </c>
      <c r="H148" s="111" t="e">
        <f>H27*(VLOOKUP('Nøkkelinfo og veiledning'!$F$10,Utslippsfaktorer!$C$7:$I$35,H$144,0)/1.15)/1000</f>
        <v>#N/A</v>
      </c>
      <c r="I148" s="111"/>
      <c r="J148" s="111" t="e">
        <f>J27*(VLOOKUP('Nøkkelinfo og veiledning'!$F$10,Utslippsfaktorer!$C$7:$I$35,J$144,0)/1.15)/1000</f>
        <v>#N/A</v>
      </c>
      <c r="K148" s="111" t="e">
        <f>K27*(VLOOKUP('Nøkkelinfo og veiledning'!$F$10,Utslippsfaktorer!$C$7:$I$35,K$144,0)/1.15)/1000</f>
        <v>#N/A</v>
      </c>
      <c r="L148" s="111" t="e">
        <f>L27*(VLOOKUP('Nøkkelinfo og veiledning'!$F$10,Utslippsfaktorer!$C$7:$I$35,L$144,0)/1.15)/1000</f>
        <v>#N/A</v>
      </c>
      <c r="M148" s="111" t="e">
        <f>M27*(VLOOKUP('Nøkkelinfo og veiledning'!$F$10,Utslippsfaktorer!$C$7:$I$35,M$144,0)/1.15)/1000</f>
        <v>#N/A</v>
      </c>
      <c r="N148" s="111" t="e">
        <f>N27*(VLOOKUP('Nøkkelinfo og veiledning'!$F$10,Utslippsfaktorer!$C$7:$I$35,N$144,0)/1.15)/1000</f>
        <v>#N/A</v>
      </c>
      <c r="O148" s="111"/>
      <c r="P148" s="111" t="e">
        <f>P27*(VLOOKUP('Nøkkelinfo og veiledning'!$F$10,Utslippsfaktorer!$C$7:$I$35,P$144,0)/1.15)/1000</f>
        <v>#N/A</v>
      </c>
      <c r="Q148" s="111" t="e">
        <f>Q27*(VLOOKUP('Nøkkelinfo og veiledning'!$F$10,Utslippsfaktorer!$C$7:$I$35,Q$144,0)/1.15)/1000</f>
        <v>#N/A</v>
      </c>
      <c r="R148" s="111" t="e">
        <f>R27*(VLOOKUP('Nøkkelinfo og veiledning'!$F$10,Utslippsfaktorer!$C$7:$I$35,R$144,0)/1.15)/1000</f>
        <v>#N/A</v>
      </c>
      <c r="S148" s="111" t="e">
        <f>S27*(VLOOKUP('Nøkkelinfo og veiledning'!$F$10,Utslippsfaktorer!$C$7:$I$35,S$144,0)/1.15)/1000</f>
        <v>#N/A</v>
      </c>
      <c r="T148" s="111" t="e">
        <f>T27*(VLOOKUP('Nøkkelinfo og veiledning'!$F$10,Utslippsfaktorer!$C$7:$I$35,T$144,0)/1.15)/1000</f>
        <v>#N/A</v>
      </c>
      <c r="U148" s="111"/>
      <c r="V148" s="111" t="e">
        <f>V27*(VLOOKUP('Nøkkelinfo og veiledning'!$F$10,Utslippsfaktorer!$C$7:$I$35,V$144,0)/1.15)/1000</f>
        <v>#N/A</v>
      </c>
      <c r="W148" s="111" t="e">
        <f>W27*(VLOOKUP('Nøkkelinfo og veiledning'!$F$10,Utslippsfaktorer!$C$7:$I$35,W$144,0)/1.15)/1000</f>
        <v>#N/A</v>
      </c>
      <c r="X148" s="111" t="e">
        <f>X27*(VLOOKUP('Nøkkelinfo og veiledning'!$F$10,Utslippsfaktorer!$C$7:$I$35,X$144,0)/1.15)/1000</f>
        <v>#N/A</v>
      </c>
      <c r="Y148" s="111" t="e">
        <f>Y27*(VLOOKUP('Nøkkelinfo og veiledning'!$F$10,Utslippsfaktorer!$C$7:$I$35,Y$144,0)/1.15)/1000</f>
        <v>#N/A</v>
      </c>
      <c r="Z148" s="111" t="e">
        <f>Z27*(VLOOKUP('Nøkkelinfo og veiledning'!$F$10,Utslippsfaktorer!$C$7:$I$35,Z$144,0)/1.15)/1000</f>
        <v>#N/A</v>
      </c>
      <c r="AA148" s="227"/>
      <c r="AB148" s="227"/>
      <c r="AC148" s="227"/>
      <c r="AD148" s="227"/>
      <c r="AE148" s="227"/>
      <c r="AF148" s="227"/>
    </row>
    <row r="149" spans="3:32">
      <c r="C149" s="224" t="s">
        <v>12</v>
      </c>
      <c r="D149" s="111" t="e">
        <f>D28*(VLOOKUP('Nøkkelinfo og veiledning'!$F$10,Utslippsfaktorer!$K$7:$Q$35,D$144,0)/1.15)/1000</f>
        <v>#N/A</v>
      </c>
      <c r="E149" s="111" t="e">
        <f>E28*(VLOOKUP('Nøkkelinfo og veiledning'!$F$10,Utslippsfaktorer!$K$7:$Q$35,E$144,0)/1.15)/1000</f>
        <v>#N/A</v>
      </c>
      <c r="F149" s="111" t="e">
        <f>F28*(VLOOKUP('Nøkkelinfo og veiledning'!$F$10,Utslippsfaktorer!$K$7:$Q$35,F$144,0)/1.15)/1000</f>
        <v>#N/A</v>
      </c>
      <c r="G149" s="111" t="e">
        <f>G28*(VLOOKUP('Nøkkelinfo og veiledning'!$F$10,Utslippsfaktorer!$K$7:$Q$35,G$144,0)/1.15)/1000</f>
        <v>#N/A</v>
      </c>
      <c r="H149" s="111" t="e">
        <f>H28*(VLOOKUP('Nøkkelinfo og veiledning'!$F$10,Utslippsfaktorer!$K$7:$Q$35,H$144,0)/1.15)/1000</f>
        <v>#N/A</v>
      </c>
      <c r="I149" s="111"/>
      <c r="J149" s="111" t="e">
        <f>J28*(VLOOKUP('Nøkkelinfo og veiledning'!$F$10,Utslippsfaktorer!$K$7:$Q$35,J$144,0)/1.15)/1000</f>
        <v>#N/A</v>
      </c>
      <c r="K149" s="111" t="e">
        <f>K28*(VLOOKUP('Nøkkelinfo og veiledning'!$F$10,Utslippsfaktorer!$K$7:$Q$35,K$144,0)/1.15)/1000</f>
        <v>#N/A</v>
      </c>
      <c r="L149" s="111" t="e">
        <f>L28*(VLOOKUP('Nøkkelinfo og veiledning'!$F$10,Utslippsfaktorer!$K$7:$Q$35,L$144,0)/1.15)/1000</f>
        <v>#N/A</v>
      </c>
      <c r="M149" s="111" t="e">
        <f>M28*(VLOOKUP('Nøkkelinfo og veiledning'!$F$10,Utslippsfaktorer!$K$7:$Q$35,M$144,0)/1.15)/1000</f>
        <v>#N/A</v>
      </c>
      <c r="N149" s="111" t="e">
        <f>N28*(VLOOKUP('Nøkkelinfo og veiledning'!$F$10,Utslippsfaktorer!$K$7:$Q$35,N$144,0)/1.15)/1000</f>
        <v>#N/A</v>
      </c>
      <c r="O149" s="111"/>
      <c r="P149" s="111" t="e">
        <f>P28*(VLOOKUP('Nøkkelinfo og veiledning'!$F$10,Utslippsfaktorer!$K$7:$Q$35,P$144,0)/1.15)/1000</f>
        <v>#N/A</v>
      </c>
      <c r="Q149" s="111" t="e">
        <f>Q28*(VLOOKUP('Nøkkelinfo og veiledning'!$F$10,Utslippsfaktorer!$K$7:$Q$35,Q$144,0)/1.15)/1000</f>
        <v>#N/A</v>
      </c>
      <c r="R149" s="111" t="e">
        <f>R28*(VLOOKUP('Nøkkelinfo og veiledning'!$F$10,Utslippsfaktorer!$K$7:$Q$35,R$144,0)/1.15)/1000</f>
        <v>#N/A</v>
      </c>
      <c r="S149" s="111" t="e">
        <f>S28*(VLOOKUP('Nøkkelinfo og veiledning'!$F$10,Utslippsfaktorer!$K$7:$Q$35,S$144,0)/1.15)/1000</f>
        <v>#N/A</v>
      </c>
      <c r="T149" s="111" t="e">
        <f>T28*(VLOOKUP('Nøkkelinfo og veiledning'!$F$10,Utslippsfaktorer!$K$7:$Q$35,T$144,0)/1.15)/1000</f>
        <v>#N/A</v>
      </c>
      <c r="U149" s="111"/>
      <c r="V149" s="111" t="e">
        <f>V28*(VLOOKUP('Nøkkelinfo og veiledning'!$F$10,Utslippsfaktorer!$K$7:$Q$35,V$144,0)/1.15)/1000</f>
        <v>#N/A</v>
      </c>
      <c r="W149" s="111" t="e">
        <f>W28*(VLOOKUP('Nøkkelinfo og veiledning'!$F$10,Utslippsfaktorer!$K$7:$Q$35,W$144,0)/1.15)/1000</f>
        <v>#N/A</v>
      </c>
      <c r="X149" s="111" t="e">
        <f>X28*(VLOOKUP('Nøkkelinfo og veiledning'!$F$10,Utslippsfaktorer!$K$7:$Q$35,X$144,0)/1.15)/1000</f>
        <v>#N/A</v>
      </c>
      <c r="Y149" s="111" t="e">
        <f>Y28*(VLOOKUP('Nøkkelinfo og veiledning'!$F$10,Utslippsfaktorer!$K$7:$Q$35,Y$144,0)/1.15)/1000</f>
        <v>#N/A</v>
      </c>
      <c r="Z149" s="111" t="e">
        <f>Z28*(VLOOKUP('Nøkkelinfo og veiledning'!$F$10,Utslippsfaktorer!$K$7:$Q$35,Z$144,0)/1.15)/1000</f>
        <v>#N/A</v>
      </c>
      <c r="AA149" s="227"/>
      <c r="AB149" s="227"/>
      <c r="AC149" s="227"/>
      <c r="AD149" s="227"/>
      <c r="AE149" s="227"/>
      <c r="AF149" s="227"/>
    </row>
    <row r="150" spans="3:32">
      <c r="C150" s="224" t="s">
        <v>13</v>
      </c>
      <c r="D150" s="111" t="e">
        <f>D29*(VLOOKUP('Nøkkelinfo og veiledning'!$F$10,Utslippsfaktorer!$S$7:$Y$35,D$144,0)/1.15)/1000</f>
        <v>#N/A</v>
      </c>
      <c r="E150" s="111" t="e">
        <f>E29*(VLOOKUP('Nøkkelinfo og veiledning'!$F$10,Utslippsfaktorer!$S$7:$Y$35,E$144,0)/1.15)/1000</f>
        <v>#N/A</v>
      </c>
      <c r="F150" s="111" t="e">
        <f>F29*(VLOOKUP('Nøkkelinfo og veiledning'!$F$10,Utslippsfaktorer!$S$7:$Y$35,F$144,0)/1.15)/1000</f>
        <v>#N/A</v>
      </c>
      <c r="G150" s="111" t="e">
        <f>G29*(VLOOKUP('Nøkkelinfo og veiledning'!$F$10,Utslippsfaktorer!$S$7:$Y$35,G$144,0)/1.15)/1000</f>
        <v>#N/A</v>
      </c>
      <c r="H150" s="111" t="e">
        <f>H29*(VLOOKUP('Nøkkelinfo og veiledning'!$F$10,Utslippsfaktorer!$S$7:$Y$35,H$144,0)/1.15)/1000</f>
        <v>#N/A</v>
      </c>
      <c r="I150" s="111"/>
      <c r="J150" s="111" t="e">
        <f>J29*(VLOOKUP('Nøkkelinfo og veiledning'!$F$10,Utslippsfaktorer!$S$7:$Y$35,J$144,0)/1.15)/1000</f>
        <v>#N/A</v>
      </c>
      <c r="K150" s="111" t="e">
        <f>K29*(VLOOKUP('Nøkkelinfo og veiledning'!$F$10,Utslippsfaktorer!$S$7:$Y$35,K$144,0)/1.15)/1000</f>
        <v>#N/A</v>
      </c>
      <c r="L150" s="111" t="e">
        <f>L29*(VLOOKUP('Nøkkelinfo og veiledning'!$F$10,Utslippsfaktorer!$S$7:$Y$35,L$144,0)/1.15)/1000</f>
        <v>#N/A</v>
      </c>
      <c r="M150" s="111" t="e">
        <f>M29*(VLOOKUP('Nøkkelinfo og veiledning'!$F$10,Utslippsfaktorer!$S$7:$Y$35,M$144,0)/1.15)/1000</f>
        <v>#N/A</v>
      </c>
      <c r="N150" s="111" t="e">
        <f>N29*(VLOOKUP('Nøkkelinfo og veiledning'!$F$10,Utslippsfaktorer!$S$7:$Y$35,N$144,0)/1.15)/1000</f>
        <v>#N/A</v>
      </c>
      <c r="O150" s="111"/>
      <c r="P150" s="111" t="e">
        <f>P29*(VLOOKUP('Nøkkelinfo og veiledning'!$F$10,Utslippsfaktorer!$S$7:$Y$35,P$144,0)/1.15)/1000</f>
        <v>#N/A</v>
      </c>
      <c r="Q150" s="111" t="e">
        <f>Q29*(VLOOKUP('Nøkkelinfo og veiledning'!$F$10,Utslippsfaktorer!$S$7:$Y$35,Q$144,0)/1.15)/1000</f>
        <v>#N/A</v>
      </c>
      <c r="R150" s="111" t="e">
        <f>R29*(VLOOKUP('Nøkkelinfo og veiledning'!$F$10,Utslippsfaktorer!$S$7:$Y$35,R$144,0)/1.15)/1000</f>
        <v>#N/A</v>
      </c>
      <c r="S150" s="111" t="e">
        <f>S29*(VLOOKUP('Nøkkelinfo og veiledning'!$F$10,Utslippsfaktorer!$S$7:$Y$35,S$144,0)/1.15)/1000</f>
        <v>#N/A</v>
      </c>
      <c r="T150" s="111" t="e">
        <f>T29*(VLOOKUP('Nøkkelinfo og veiledning'!$F$10,Utslippsfaktorer!$S$7:$Y$35,T$144,0)/1.15)/1000</f>
        <v>#N/A</v>
      </c>
      <c r="U150" s="111"/>
      <c r="V150" s="111" t="e">
        <f>V29*(VLOOKUP('Nøkkelinfo og veiledning'!$F$10,Utslippsfaktorer!$S$7:$Y$35,V$144,0)/1.15)/1000</f>
        <v>#N/A</v>
      </c>
      <c r="W150" s="111" t="e">
        <f>W29*(VLOOKUP('Nøkkelinfo og veiledning'!$F$10,Utslippsfaktorer!$S$7:$Y$35,W$144,0)/1.15)/1000</f>
        <v>#N/A</v>
      </c>
      <c r="X150" s="111" t="e">
        <f>X29*(VLOOKUP('Nøkkelinfo og veiledning'!$F$10,Utslippsfaktorer!$S$7:$Y$35,X$144,0)/1.15)/1000</f>
        <v>#N/A</v>
      </c>
      <c r="Y150" s="111" t="e">
        <f>Y29*(VLOOKUP('Nøkkelinfo og veiledning'!$F$10,Utslippsfaktorer!$S$7:$Y$35,Y$144,0)/1.15)/1000</f>
        <v>#N/A</v>
      </c>
      <c r="Z150" s="111" t="e">
        <f>Z29*(VLOOKUP('Nøkkelinfo og veiledning'!$F$10,Utslippsfaktorer!$S$7:$Y$35,Z$144,0)/1.15)/1000</f>
        <v>#N/A</v>
      </c>
      <c r="AA150" s="227"/>
      <c r="AB150" s="227"/>
      <c r="AC150" s="227"/>
      <c r="AD150" s="227"/>
      <c r="AE150" s="227"/>
      <c r="AF150" s="227"/>
    </row>
    <row r="151" spans="3:32">
      <c r="C151" s="224" t="s">
        <v>24</v>
      </c>
      <c r="D151" s="111" t="e">
        <f>D30*(VLOOKUP('Nøkkelinfo og veiledning'!$F$10,Utslippsfaktorer!$AA$7:$AG$35,D$144,0)/1.15)/1000</f>
        <v>#N/A</v>
      </c>
      <c r="E151" s="111" t="e">
        <f>E30*(VLOOKUP('Nøkkelinfo og veiledning'!$F$10,Utslippsfaktorer!$AA$7:$AG$35,E$144,0)/1.15)/1000</f>
        <v>#N/A</v>
      </c>
      <c r="F151" s="111" t="e">
        <f>F30*(VLOOKUP('Nøkkelinfo og veiledning'!$F$10,Utslippsfaktorer!$AA$7:$AG$35,F$144,0)/1.15)/1000</f>
        <v>#N/A</v>
      </c>
      <c r="G151" s="111" t="e">
        <f>G30*(VLOOKUP('Nøkkelinfo og veiledning'!$F$10,Utslippsfaktorer!$AA$7:$AG$35,G$144,0)/1.15)/1000</f>
        <v>#N/A</v>
      </c>
      <c r="H151" s="111" t="e">
        <f>H30*(VLOOKUP('Nøkkelinfo og veiledning'!$F$10,Utslippsfaktorer!$AA$7:$AG$35,H$144,0)/1.15)/1000</f>
        <v>#N/A</v>
      </c>
      <c r="I151" s="111"/>
      <c r="J151" s="111" t="e">
        <f>J30*(VLOOKUP('Nøkkelinfo og veiledning'!$F$10,Utslippsfaktorer!$AA$7:$AG$35,J$144,0)/1.15)/1000</f>
        <v>#N/A</v>
      </c>
      <c r="K151" s="111" t="e">
        <f>K30*(VLOOKUP('Nøkkelinfo og veiledning'!$F$10,Utslippsfaktorer!$AA$7:$AG$35,K$144,0)/1.15)/1000</f>
        <v>#N/A</v>
      </c>
      <c r="L151" s="111" t="e">
        <f>L30*(VLOOKUP('Nøkkelinfo og veiledning'!$F$10,Utslippsfaktorer!$AA$7:$AG$35,L$144,0)/1.15)/1000</f>
        <v>#N/A</v>
      </c>
      <c r="M151" s="111" t="e">
        <f>M30*(VLOOKUP('Nøkkelinfo og veiledning'!$F$10,Utslippsfaktorer!$AA$7:$AG$35,M$144,0)/1.15)/1000</f>
        <v>#N/A</v>
      </c>
      <c r="N151" s="111" t="e">
        <f>N30*(VLOOKUP('Nøkkelinfo og veiledning'!$F$10,Utslippsfaktorer!$AA$7:$AG$35,N$144,0)/1.15)/1000</f>
        <v>#N/A</v>
      </c>
      <c r="O151" s="111"/>
      <c r="P151" s="111" t="e">
        <f>P30*(VLOOKUP('Nøkkelinfo og veiledning'!$F$10,Utslippsfaktorer!$AA$7:$AG$35,P$144,0)/1.15)/1000</f>
        <v>#N/A</v>
      </c>
      <c r="Q151" s="111" t="e">
        <f>Q30*(VLOOKUP('Nøkkelinfo og veiledning'!$F$10,Utslippsfaktorer!$AA$7:$AG$35,Q$144,0)/1.15)/1000</f>
        <v>#N/A</v>
      </c>
      <c r="R151" s="111" t="e">
        <f>R30*(VLOOKUP('Nøkkelinfo og veiledning'!$F$10,Utslippsfaktorer!$AA$7:$AG$35,R$144,0)/1.15)/1000</f>
        <v>#N/A</v>
      </c>
      <c r="S151" s="111" t="e">
        <f>S30*(VLOOKUP('Nøkkelinfo og veiledning'!$F$10,Utslippsfaktorer!$AA$7:$AG$35,S$144,0)/1.15)/1000</f>
        <v>#N/A</v>
      </c>
      <c r="T151" s="111" t="e">
        <f>T30*(VLOOKUP('Nøkkelinfo og veiledning'!$F$10,Utslippsfaktorer!$AA$7:$AG$35,T$144,0)/1.15)/1000</f>
        <v>#N/A</v>
      </c>
      <c r="U151" s="111"/>
      <c r="V151" s="111" t="e">
        <f>V30*(VLOOKUP('Nøkkelinfo og veiledning'!$F$10,Utslippsfaktorer!$AA$7:$AG$35,V$144,0)/1.15)/1000</f>
        <v>#N/A</v>
      </c>
      <c r="W151" s="111" t="e">
        <f>W30*(VLOOKUP('Nøkkelinfo og veiledning'!$F$10,Utslippsfaktorer!$AA$7:$AG$35,W$144,0)/1.15)/1000</f>
        <v>#N/A</v>
      </c>
      <c r="X151" s="111" t="e">
        <f>X30*(VLOOKUP('Nøkkelinfo og veiledning'!$F$10,Utslippsfaktorer!$AA$7:$AG$35,X$144,0)/1.15)/1000</f>
        <v>#N/A</v>
      </c>
      <c r="Y151" s="111" t="e">
        <f>Y30*(VLOOKUP('Nøkkelinfo og veiledning'!$F$10,Utslippsfaktorer!$AA$7:$AG$35,Y$144,0)/1.15)/1000</f>
        <v>#N/A</v>
      </c>
      <c r="Z151" s="111" t="e">
        <f>Z30*(VLOOKUP('Nøkkelinfo og veiledning'!$F$10,Utslippsfaktorer!$AA$7:$AG$35,Z$144,0)/1.15)/1000</f>
        <v>#N/A</v>
      </c>
      <c r="AA151" s="227"/>
      <c r="AB151" s="227"/>
      <c r="AC151" s="227"/>
      <c r="AD151" s="227"/>
      <c r="AE151" s="227"/>
      <c r="AF151" s="227"/>
    </row>
    <row r="152" spans="3:32">
      <c r="C152" s="224" t="s">
        <v>15</v>
      </c>
      <c r="D152" s="111" t="e">
        <f>D31*(VLOOKUP('Nøkkelinfo og veiledning'!$F$10,Utslippsfaktorer!$AI$7:$AO$35,D$144,0)/1.15)/1000</f>
        <v>#N/A</v>
      </c>
      <c r="E152" s="111" t="e">
        <f>E31*(VLOOKUP('Nøkkelinfo og veiledning'!$F$10,Utslippsfaktorer!$AI$7:$AO$35,E$144,0)/1.15)/1000</f>
        <v>#N/A</v>
      </c>
      <c r="F152" s="111" t="e">
        <f>F31*(VLOOKUP('Nøkkelinfo og veiledning'!$F$10,Utslippsfaktorer!$AI$7:$AO$35,F$144,0)/1.15)/1000</f>
        <v>#N/A</v>
      </c>
      <c r="G152" s="111" t="e">
        <f>G31*(VLOOKUP('Nøkkelinfo og veiledning'!$F$10,Utslippsfaktorer!$AI$7:$AO$35,G$144,0)/1.15)/1000</f>
        <v>#N/A</v>
      </c>
      <c r="H152" s="111" t="e">
        <f>H31*(VLOOKUP('Nøkkelinfo og veiledning'!$F$10,Utslippsfaktorer!$AI$7:$AO$35,H$144,0)/1.15)/1000</f>
        <v>#N/A</v>
      </c>
      <c r="I152" s="111"/>
      <c r="J152" s="111" t="e">
        <f>J31*(VLOOKUP('Nøkkelinfo og veiledning'!$F$10,Utslippsfaktorer!$AI$7:$AO$35,J$144,0)/1.15)/1000</f>
        <v>#N/A</v>
      </c>
      <c r="K152" s="111" t="e">
        <f>K31*(VLOOKUP('Nøkkelinfo og veiledning'!$F$10,Utslippsfaktorer!$AI$7:$AO$35,K$144,0)/1.15)/1000</f>
        <v>#N/A</v>
      </c>
      <c r="L152" s="111" t="e">
        <f>L31*(VLOOKUP('Nøkkelinfo og veiledning'!$F$10,Utslippsfaktorer!$AI$7:$AO$35,L$144,0)/1.15)/1000</f>
        <v>#N/A</v>
      </c>
      <c r="M152" s="111" t="e">
        <f>M31*(VLOOKUP('Nøkkelinfo og veiledning'!$F$10,Utslippsfaktorer!$AI$7:$AO$35,M$144,0)/1.15)/1000</f>
        <v>#N/A</v>
      </c>
      <c r="N152" s="111" t="e">
        <f>N31*(VLOOKUP('Nøkkelinfo og veiledning'!$F$10,Utslippsfaktorer!$AI$7:$AO$35,N$144,0)/1.15)/1000</f>
        <v>#N/A</v>
      </c>
      <c r="O152" s="111"/>
      <c r="P152" s="111" t="e">
        <f>P31*(VLOOKUP('Nøkkelinfo og veiledning'!$F$10,Utslippsfaktorer!$AI$7:$AO$35,P$144,0)/1.15)/1000</f>
        <v>#N/A</v>
      </c>
      <c r="Q152" s="111" t="e">
        <f>Q31*(VLOOKUP('Nøkkelinfo og veiledning'!$F$10,Utslippsfaktorer!$AI$7:$AO$35,Q$144,0)/1.15)/1000</f>
        <v>#N/A</v>
      </c>
      <c r="R152" s="111" t="e">
        <f>R31*(VLOOKUP('Nøkkelinfo og veiledning'!$F$10,Utslippsfaktorer!$AI$7:$AO$35,R$144,0)/1.15)/1000</f>
        <v>#N/A</v>
      </c>
      <c r="S152" s="111" t="e">
        <f>S31*(VLOOKUP('Nøkkelinfo og veiledning'!$F$10,Utslippsfaktorer!$AI$7:$AO$35,S$144,0)/1.15)/1000</f>
        <v>#N/A</v>
      </c>
      <c r="T152" s="111" t="e">
        <f>T31*(VLOOKUP('Nøkkelinfo og veiledning'!$F$10,Utslippsfaktorer!$AI$7:$AO$35,T$144,0)/1.15)/1000</f>
        <v>#N/A</v>
      </c>
      <c r="U152" s="111"/>
      <c r="V152" s="111" t="e">
        <f>V31*(VLOOKUP('Nøkkelinfo og veiledning'!$F$10,Utslippsfaktorer!$AI$7:$AO$35,V$144,0)/1.15)/1000</f>
        <v>#N/A</v>
      </c>
      <c r="W152" s="111" t="e">
        <f>W31*(VLOOKUP('Nøkkelinfo og veiledning'!$F$10,Utslippsfaktorer!$AI$7:$AO$35,W$144,0)/1.15)/1000</f>
        <v>#N/A</v>
      </c>
      <c r="X152" s="111" t="e">
        <f>X31*(VLOOKUP('Nøkkelinfo og veiledning'!$F$10,Utslippsfaktorer!$AI$7:$AO$35,X$144,0)/1.15)/1000</f>
        <v>#N/A</v>
      </c>
      <c r="Y152" s="111" t="e">
        <f>Y31*(VLOOKUP('Nøkkelinfo og veiledning'!$F$10,Utslippsfaktorer!$AI$7:$AO$35,Y$144,0)/1.15)/1000</f>
        <v>#N/A</v>
      </c>
      <c r="Z152" s="111" t="e">
        <f>Z31*(VLOOKUP('Nøkkelinfo og veiledning'!$F$10,Utslippsfaktorer!$AI$7:$AO$35,Z$144,0)/1.15)/1000</f>
        <v>#N/A</v>
      </c>
      <c r="AA152" s="227"/>
      <c r="AB152" s="227"/>
      <c r="AC152" s="227"/>
      <c r="AD152" s="227"/>
      <c r="AE152" s="227"/>
      <c r="AF152" s="227"/>
    </row>
    <row r="153" spans="3:32">
      <c r="C153" s="224" t="s">
        <v>16</v>
      </c>
      <c r="D153" s="111" t="e">
        <f>D32*(VLOOKUP('Nøkkelinfo og veiledning'!$F$10,Utslippsfaktorer!$AQ$7:$AW$35,D$144,0)/1.15)/1000</f>
        <v>#N/A</v>
      </c>
      <c r="E153" s="111" t="e">
        <f>E32*(VLOOKUP('Nøkkelinfo og veiledning'!$F$10,Utslippsfaktorer!$AQ$7:$AW$35,E$144,0)/1.15)/1000</f>
        <v>#N/A</v>
      </c>
      <c r="F153" s="111" t="e">
        <f>F32*(VLOOKUP('Nøkkelinfo og veiledning'!$F$10,Utslippsfaktorer!$AQ$7:$AW$35,F$144,0)/1.15)/1000</f>
        <v>#N/A</v>
      </c>
      <c r="G153" s="111" t="e">
        <f>G32*(VLOOKUP('Nøkkelinfo og veiledning'!$F$10,Utslippsfaktorer!$AQ$7:$AW$35,G$144,0)/1.15)/1000</f>
        <v>#N/A</v>
      </c>
      <c r="H153" s="111" t="e">
        <f>H32*(VLOOKUP('Nøkkelinfo og veiledning'!$F$10,Utslippsfaktorer!$AQ$7:$AW$35,H$144,0)/1.15)/1000</f>
        <v>#N/A</v>
      </c>
      <c r="I153" s="111"/>
      <c r="J153" s="111" t="e">
        <f>J32*(VLOOKUP('Nøkkelinfo og veiledning'!$F$10,Utslippsfaktorer!$AQ$7:$AW$35,J$144,0)/1.15)/1000</f>
        <v>#N/A</v>
      </c>
      <c r="K153" s="111" t="e">
        <f>K32*(VLOOKUP('Nøkkelinfo og veiledning'!$F$10,Utslippsfaktorer!$AQ$7:$AW$35,K$144,0)/1.15)/1000</f>
        <v>#N/A</v>
      </c>
      <c r="L153" s="111" t="e">
        <f>L32*(VLOOKUP('Nøkkelinfo og veiledning'!$F$10,Utslippsfaktorer!$AQ$7:$AW$35,L$144,0)/1.15)/1000</f>
        <v>#N/A</v>
      </c>
      <c r="M153" s="111" t="e">
        <f>M32*(VLOOKUP('Nøkkelinfo og veiledning'!$F$10,Utslippsfaktorer!$AQ$7:$AW$35,M$144,0)/1.15)/1000</f>
        <v>#N/A</v>
      </c>
      <c r="N153" s="111" t="e">
        <f>N32*(VLOOKUP('Nøkkelinfo og veiledning'!$F$10,Utslippsfaktorer!$AQ$7:$AW$35,N$144,0)/1.15)/1000</f>
        <v>#N/A</v>
      </c>
      <c r="O153" s="111"/>
      <c r="P153" s="111" t="e">
        <f>P32*(VLOOKUP('Nøkkelinfo og veiledning'!$F$10,Utslippsfaktorer!$AQ$7:$AW$35,P$144,0)/1.15)/1000</f>
        <v>#N/A</v>
      </c>
      <c r="Q153" s="111" t="e">
        <f>Q32*(VLOOKUP('Nøkkelinfo og veiledning'!$F$10,Utslippsfaktorer!$AQ$7:$AW$35,Q$144,0)/1.15)/1000</f>
        <v>#N/A</v>
      </c>
      <c r="R153" s="111" t="e">
        <f>R32*(VLOOKUP('Nøkkelinfo og veiledning'!$F$10,Utslippsfaktorer!$AQ$7:$AW$35,R$144,0)/1.15)/1000</f>
        <v>#N/A</v>
      </c>
      <c r="S153" s="111" t="e">
        <f>S32*(VLOOKUP('Nøkkelinfo og veiledning'!$F$10,Utslippsfaktorer!$AQ$7:$AW$35,S$144,0)/1.15)/1000</f>
        <v>#N/A</v>
      </c>
      <c r="T153" s="111" t="e">
        <f>T32*(VLOOKUP('Nøkkelinfo og veiledning'!$F$10,Utslippsfaktorer!$AQ$7:$AW$35,T$144,0)/1.15)/1000</f>
        <v>#N/A</v>
      </c>
      <c r="U153" s="111"/>
      <c r="V153" s="111" t="e">
        <f>V32*(VLOOKUP('Nøkkelinfo og veiledning'!$F$10,Utslippsfaktorer!$AQ$7:$AW$35,V$144,0)/1.15)/1000</f>
        <v>#N/A</v>
      </c>
      <c r="W153" s="111" t="e">
        <f>W32*(VLOOKUP('Nøkkelinfo og veiledning'!$F$10,Utslippsfaktorer!$AQ$7:$AW$35,W$144,0)/1.15)/1000</f>
        <v>#N/A</v>
      </c>
      <c r="X153" s="111" t="e">
        <f>X32*(VLOOKUP('Nøkkelinfo og veiledning'!$F$10,Utslippsfaktorer!$AQ$7:$AW$35,X$144,0)/1.15)/1000</f>
        <v>#N/A</v>
      </c>
      <c r="Y153" s="111" t="e">
        <f>Y32*(VLOOKUP('Nøkkelinfo og veiledning'!$F$10,Utslippsfaktorer!$AQ$7:$AW$35,Y$144,0)/1.15)/1000</f>
        <v>#N/A</v>
      </c>
      <c r="Z153" s="111" t="e">
        <f>Z32*(VLOOKUP('Nøkkelinfo og veiledning'!$F$10,Utslippsfaktorer!$AQ$7:$AW$35,Z$144,0)/1.15)/1000</f>
        <v>#N/A</v>
      </c>
      <c r="AA153" s="227"/>
      <c r="AB153" s="227"/>
      <c r="AC153" s="227"/>
      <c r="AD153" s="227"/>
      <c r="AE153" s="227"/>
      <c r="AF153" s="227"/>
    </row>
    <row r="154" spans="3:32">
      <c r="C154" s="224" t="s">
        <v>17</v>
      </c>
      <c r="D154" s="111" t="e">
        <f>D33*(VLOOKUP('Nøkkelinfo og veiledning'!$F$10,Utslippsfaktorer!$C$44:$I$72,D$144,0)/1.15)/1000</f>
        <v>#N/A</v>
      </c>
      <c r="E154" s="111" t="e">
        <f>E33*(VLOOKUP('Nøkkelinfo og veiledning'!$F$10,Utslippsfaktorer!$C$44:$I$72,E$144,0)/1.15)/1000</f>
        <v>#N/A</v>
      </c>
      <c r="F154" s="111" t="e">
        <f>F33*(VLOOKUP('Nøkkelinfo og veiledning'!$F$10,Utslippsfaktorer!$C$44:$I$72,F$144,0)/1.15)/1000</f>
        <v>#N/A</v>
      </c>
      <c r="G154" s="111" t="e">
        <f>G33*(VLOOKUP('Nøkkelinfo og veiledning'!$F$10,Utslippsfaktorer!$C$44:$I$72,G$144,0)/1.15)/1000</f>
        <v>#N/A</v>
      </c>
      <c r="H154" s="111" t="e">
        <f>H33*(VLOOKUP('Nøkkelinfo og veiledning'!$F$10,Utslippsfaktorer!$C$44:$I$72,H$144,0)/1.15)/1000</f>
        <v>#N/A</v>
      </c>
      <c r="I154" s="111"/>
      <c r="J154" s="111" t="e">
        <f>J33*(VLOOKUP('Nøkkelinfo og veiledning'!$F$10,Utslippsfaktorer!$C$44:$I$72,J$144,0)/1.15)/1000</f>
        <v>#N/A</v>
      </c>
      <c r="K154" s="111" t="e">
        <f>K33*(VLOOKUP('Nøkkelinfo og veiledning'!$F$10,Utslippsfaktorer!$C$44:$I$72,K$144,0)/1.15)/1000</f>
        <v>#N/A</v>
      </c>
      <c r="L154" s="111" t="e">
        <f>L33*(VLOOKUP('Nøkkelinfo og veiledning'!$F$10,Utslippsfaktorer!$C$44:$I$72,L$144,0)/1.15)/1000</f>
        <v>#N/A</v>
      </c>
      <c r="M154" s="111" t="e">
        <f>M33*(VLOOKUP('Nøkkelinfo og veiledning'!$F$10,Utslippsfaktorer!$C$44:$I$72,M$144,0)/1.15)/1000</f>
        <v>#N/A</v>
      </c>
      <c r="N154" s="111" t="e">
        <f>N33*(VLOOKUP('Nøkkelinfo og veiledning'!$F$10,Utslippsfaktorer!$C$44:$I$72,N$144,0)/1.15)/1000</f>
        <v>#N/A</v>
      </c>
      <c r="O154" s="111"/>
      <c r="P154" s="111" t="e">
        <f>P33*(VLOOKUP('Nøkkelinfo og veiledning'!$F$10,Utslippsfaktorer!$C$44:$I$72,P$144,0)/1.15)/1000</f>
        <v>#N/A</v>
      </c>
      <c r="Q154" s="111" t="e">
        <f>Q33*(VLOOKUP('Nøkkelinfo og veiledning'!$F$10,Utslippsfaktorer!$C$44:$I$72,Q$144,0)/1.15)/1000</f>
        <v>#N/A</v>
      </c>
      <c r="R154" s="111" t="e">
        <f>R33*(VLOOKUP('Nøkkelinfo og veiledning'!$F$10,Utslippsfaktorer!$C$44:$I$72,R$144,0)/1.15)/1000</f>
        <v>#N/A</v>
      </c>
      <c r="S154" s="111" t="e">
        <f>S33*(VLOOKUP('Nøkkelinfo og veiledning'!$F$10,Utslippsfaktorer!$C$44:$I$72,S$144,0)/1.15)/1000</f>
        <v>#N/A</v>
      </c>
      <c r="T154" s="111" t="e">
        <f>T33*(VLOOKUP('Nøkkelinfo og veiledning'!$F$10,Utslippsfaktorer!$C$44:$I$72,T$144,0)/1.15)/1000</f>
        <v>#N/A</v>
      </c>
      <c r="U154" s="111"/>
      <c r="V154" s="111" t="e">
        <f>V33*(VLOOKUP('Nøkkelinfo og veiledning'!$F$10,Utslippsfaktorer!$C$44:$I$72,V$144,0)/1.15)/1000</f>
        <v>#N/A</v>
      </c>
      <c r="W154" s="111" t="e">
        <f>W33*(VLOOKUP('Nøkkelinfo og veiledning'!$F$10,Utslippsfaktorer!$C$44:$I$72,W$144,0)/1.15)/1000</f>
        <v>#N/A</v>
      </c>
      <c r="X154" s="111" t="e">
        <f>X33*(VLOOKUP('Nøkkelinfo og veiledning'!$F$10,Utslippsfaktorer!$C$44:$I$72,X$144,0)/1.15)/1000</f>
        <v>#N/A</v>
      </c>
      <c r="Y154" s="111" t="e">
        <f>Y33*(VLOOKUP('Nøkkelinfo og veiledning'!$F$10,Utslippsfaktorer!$C$44:$I$72,Y$144,0)/1.15)/1000</f>
        <v>#N/A</v>
      </c>
      <c r="Z154" s="111" t="e">
        <f>Z33*(VLOOKUP('Nøkkelinfo og veiledning'!$F$10,Utslippsfaktorer!$C$44:$I$72,Z$144,0)/1.15)/1000</f>
        <v>#N/A</v>
      </c>
      <c r="AA154" s="227"/>
      <c r="AB154" s="227"/>
      <c r="AC154" s="227"/>
      <c r="AD154" s="227"/>
      <c r="AE154" s="227"/>
      <c r="AF154" s="227"/>
    </row>
    <row r="155" spans="3:32">
      <c r="C155" s="224" t="s">
        <v>18</v>
      </c>
      <c r="D155" s="111" t="e">
        <f>D34*(VLOOKUP('Nøkkelinfo og veiledning'!$F$10,Utslippsfaktorer!$K$44:$Q$72,D$144,0)/1.15)/1000</f>
        <v>#N/A</v>
      </c>
      <c r="E155" s="111" t="e">
        <f>E34*(VLOOKUP('Nøkkelinfo og veiledning'!$F$10,Utslippsfaktorer!$K$44:$Q$72,E$144,0)/1.15)/1000</f>
        <v>#N/A</v>
      </c>
      <c r="F155" s="111" t="e">
        <f>F34*(VLOOKUP('Nøkkelinfo og veiledning'!$F$10,Utslippsfaktorer!$K$44:$Q$72,F$144,0)/1.15)/1000</f>
        <v>#N/A</v>
      </c>
      <c r="G155" s="111" t="e">
        <f>G34*(VLOOKUP('Nøkkelinfo og veiledning'!$F$10,Utslippsfaktorer!$K$44:$Q$72,G$144,0)/1.15)/1000</f>
        <v>#N/A</v>
      </c>
      <c r="H155" s="111" t="e">
        <f>H34*(VLOOKUP('Nøkkelinfo og veiledning'!$F$10,Utslippsfaktorer!$K$44:$Q$72,H$144,0)/1.15)/1000</f>
        <v>#N/A</v>
      </c>
      <c r="I155" s="111"/>
      <c r="J155" s="111" t="e">
        <f>J34*(VLOOKUP('Nøkkelinfo og veiledning'!$F$10,Utslippsfaktorer!$K$44:$Q$72,J$144,0)/1.15)/1000</f>
        <v>#N/A</v>
      </c>
      <c r="K155" s="111" t="e">
        <f>K34*(VLOOKUP('Nøkkelinfo og veiledning'!$F$10,Utslippsfaktorer!$K$44:$Q$72,K$144,0)/1.15)/1000</f>
        <v>#N/A</v>
      </c>
      <c r="L155" s="111" t="e">
        <f>L34*(VLOOKUP('Nøkkelinfo og veiledning'!$F$10,Utslippsfaktorer!$K$44:$Q$72,L$144,0)/1.15)/1000</f>
        <v>#N/A</v>
      </c>
      <c r="M155" s="111" t="e">
        <f>M34*(VLOOKUP('Nøkkelinfo og veiledning'!$F$10,Utslippsfaktorer!$K$44:$Q$72,M$144,0)/1.15)/1000</f>
        <v>#N/A</v>
      </c>
      <c r="N155" s="111" t="e">
        <f>N34*(VLOOKUP('Nøkkelinfo og veiledning'!$F$10,Utslippsfaktorer!$K$44:$Q$72,N$144,0)/1.15)/1000</f>
        <v>#N/A</v>
      </c>
      <c r="O155" s="111"/>
      <c r="P155" s="111" t="e">
        <f>P34*(VLOOKUP('Nøkkelinfo og veiledning'!$F$10,Utslippsfaktorer!$K$44:$Q$72,P$144,0)/1.15)/1000</f>
        <v>#N/A</v>
      </c>
      <c r="Q155" s="111" t="e">
        <f>Q34*(VLOOKUP('Nøkkelinfo og veiledning'!$F$10,Utslippsfaktorer!$K$44:$Q$72,Q$144,0)/1.15)/1000</f>
        <v>#N/A</v>
      </c>
      <c r="R155" s="111" t="e">
        <f>R34*(VLOOKUP('Nøkkelinfo og veiledning'!$F$10,Utslippsfaktorer!$K$44:$Q$72,R$144,0)/1.15)/1000</f>
        <v>#N/A</v>
      </c>
      <c r="S155" s="111" t="e">
        <f>S34*(VLOOKUP('Nøkkelinfo og veiledning'!$F$10,Utslippsfaktorer!$K$44:$Q$72,S$144,0)/1.15)/1000</f>
        <v>#N/A</v>
      </c>
      <c r="T155" s="111" t="e">
        <f>T34*(VLOOKUP('Nøkkelinfo og veiledning'!$F$10,Utslippsfaktorer!$K$44:$Q$72,T$144,0)/1.15)/1000</f>
        <v>#N/A</v>
      </c>
      <c r="U155" s="111"/>
      <c r="V155" s="111" t="e">
        <f>V34*(VLOOKUP('Nøkkelinfo og veiledning'!$F$10,Utslippsfaktorer!$K$44:$Q$72,V$144,0)/1.15)/1000</f>
        <v>#N/A</v>
      </c>
      <c r="W155" s="111" t="e">
        <f>W34*(VLOOKUP('Nøkkelinfo og veiledning'!$F$10,Utslippsfaktorer!$K$44:$Q$72,W$144,0)/1.15)/1000</f>
        <v>#N/A</v>
      </c>
      <c r="X155" s="111" t="e">
        <f>X34*(VLOOKUP('Nøkkelinfo og veiledning'!$F$10,Utslippsfaktorer!$K$44:$Q$72,X$144,0)/1.15)/1000</f>
        <v>#N/A</v>
      </c>
      <c r="Y155" s="111" t="e">
        <f>Y34*(VLOOKUP('Nøkkelinfo og veiledning'!$F$10,Utslippsfaktorer!$K$44:$Q$72,Y$144,0)/1.15)/1000</f>
        <v>#N/A</v>
      </c>
      <c r="Z155" s="111" t="e">
        <f>Z34*(VLOOKUP('Nøkkelinfo og veiledning'!$F$10,Utslippsfaktorer!$K$44:$Q$72,Z$144,0)/1.15)/1000</f>
        <v>#N/A</v>
      </c>
      <c r="AA155" s="227"/>
      <c r="AB155" s="227"/>
      <c r="AC155" s="227"/>
      <c r="AD155" s="227"/>
      <c r="AE155" s="227"/>
      <c r="AF155" s="227"/>
    </row>
    <row r="156" spans="3:32">
      <c r="C156" s="224" t="s">
        <v>19</v>
      </c>
      <c r="D156" s="111" t="e">
        <f>D35*(VLOOKUP('Nøkkelinfo og veiledning'!$F$10,Utslippsfaktorer!$S$42:$Y$72,D$144,0)/1.15)/1000</f>
        <v>#N/A</v>
      </c>
      <c r="E156" s="111" t="e">
        <f>E35*(VLOOKUP('Nøkkelinfo og veiledning'!$F$10,Utslippsfaktorer!$S$42:$Y$72,E$144,0)/1.15)/1000</f>
        <v>#N/A</v>
      </c>
      <c r="F156" s="111" t="e">
        <f>F35*(VLOOKUP('Nøkkelinfo og veiledning'!$F$10,Utslippsfaktorer!$S$42:$Y$72,F$144,0)/1.15)/1000</f>
        <v>#N/A</v>
      </c>
      <c r="G156" s="111" t="e">
        <f>G35*(VLOOKUP('Nøkkelinfo og veiledning'!$F$10,Utslippsfaktorer!$S$42:$Y$72,G$144,0)/1.15)/1000</f>
        <v>#N/A</v>
      </c>
      <c r="H156" s="111" t="e">
        <f>H35*(VLOOKUP('Nøkkelinfo og veiledning'!$F$10,Utslippsfaktorer!$S$42:$Y$72,H$144,0)/1.15)/1000</f>
        <v>#N/A</v>
      </c>
      <c r="I156" s="111"/>
      <c r="J156" s="111" t="e">
        <f>J35*(VLOOKUP('Nøkkelinfo og veiledning'!$F$10,Utslippsfaktorer!$S$42:$Y$72,J$144,0)/1.15)/1000</f>
        <v>#N/A</v>
      </c>
      <c r="K156" s="111" t="e">
        <f>K35*(VLOOKUP('Nøkkelinfo og veiledning'!$F$10,Utslippsfaktorer!$S$42:$Y$72,K$144,0)/1.15)/1000</f>
        <v>#N/A</v>
      </c>
      <c r="L156" s="111" t="e">
        <f>L35*(VLOOKUP('Nøkkelinfo og veiledning'!$F$10,Utslippsfaktorer!$S$42:$Y$72,L$144,0)/1.15)/1000</f>
        <v>#N/A</v>
      </c>
      <c r="M156" s="111" t="e">
        <f>M35*(VLOOKUP('Nøkkelinfo og veiledning'!$F$10,Utslippsfaktorer!$S$42:$Y$72,M$144,0)/1.15)/1000</f>
        <v>#N/A</v>
      </c>
      <c r="N156" s="111" t="e">
        <f>N35*(VLOOKUP('Nøkkelinfo og veiledning'!$F$10,Utslippsfaktorer!$S$42:$Y$72,N$144,0)/1.15)/1000</f>
        <v>#N/A</v>
      </c>
      <c r="O156" s="111"/>
      <c r="P156" s="111" t="e">
        <f>P35*(VLOOKUP('Nøkkelinfo og veiledning'!$F$10,Utslippsfaktorer!$S$42:$Y$72,P$144,0)/1.15)/1000</f>
        <v>#N/A</v>
      </c>
      <c r="Q156" s="111" t="e">
        <f>Q35*(VLOOKUP('Nøkkelinfo og veiledning'!$F$10,Utslippsfaktorer!$S$42:$Y$72,Q$144,0)/1.15)/1000</f>
        <v>#N/A</v>
      </c>
      <c r="R156" s="111" t="e">
        <f>R35*(VLOOKUP('Nøkkelinfo og veiledning'!$F$10,Utslippsfaktorer!$S$42:$Y$72,R$144,0)/1.15)/1000</f>
        <v>#N/A</v>
      </c>
      <c r="S156" s="111" t="e">
        <f>S35*(VLOOKUP('Nøkkelinfo og veiledning'!$F$10,Utslippsfaktorer!$S$42:$Y$72,S$144,0)/1.15)/1000</f>
        <v>#N/A</v>
      </c>
      <c r="T156" s="111" t="e">
        <f>T35*(VLOOKUP('Nøkkelinfo og veiledning'!$F$10,Utslippsfaktorer!$S$42:$Y$72,T$144,0)/1.15)/1000</f>
        <v>#N/A</v>
      </c>
      <c r="U156" s="111"/>
      <c r="V156" s="111" t="e">
        <f>V35*(VLOOKUP('Nøkkelinfo og veiledning'!$F$10,Utslippsfaktorer!$S$42:$Y$72,V$144,0)/1.15)/1000</f>
        <v>#N/A</v>
      </c>
      <c r="W156" s="111" t="e">
        <f>W35*(VLOOKUP('Nøkkelinfo og veiledning'!$F$10,Utslippsfaktorer!$S$42:$Y$72,W$144,0)/1.15)/1000</f>
        <v>#N/A</v>
      </c>
      <c r="X156" s="111" t="e">
        <f>X35*(VLOOKUP('Nøkkelinfo og veiledning'!$F$10,Utslippsfaktorer!$S$42:$Y$72,X$144,0)/1.15)/1000</f>
        <v>#N/A</v>
      </c>
      <c r="Y156" s="111" t="e">
        <f>Y35*(VLOOKUP('Nøkkelinfo og veiledning'!$F$10,Utslippsfaktorer!$S$42:$Y$72,Y$144,0)/1.15)/1000</f>
        <v>#N/A</v>
      </c>
      <c r="Z156" s="111" t="e">
        <f>Z35*(VLOOKUP('Nøkkelinfo og veiledning'!$F$10,Utslippsfaktorer!$S$42:$Y$72,Z$144,0)/1.15)/1000</f>
        <v>#N/A</v>
      </c>
      <c r="AA156" s="227"/>
      <c r="AB156" s="227"/>
      <c r="AC156" s="227"/>
      <c r="AD156" s="227"/>
      <c r="AE156" s="227"/>
      <c r="AF156" s="227"/>
    </row>
    <row r="157" spans="3:32">
      <c r="C157" s="224" t="s">
        <v>20</v>
      </c>
      <c r="D157" s="111" t="e">
        <f>D36*(VLOOKUP('Nøkkelinfo og veiledning'!$F$10,Utslippsfaktorer!$AA$44:$AG$72,D$144,0)/$D$142)/1000</f>
        <v>#N/A</v>
      </c>
      <c r="E157" s="111" t="e">
        <f>E36*(VLOOKUP('Nøkkelinfo og veiledning'!$F$10,Utslippsfaktorer!$AA$44:$AG$72,E$144,0)/$D$142)/1000</f>
        <v>#N/A</v>
      </c>
      <c r="F157" s="111" t="e">
        <f>F36*(VLOOKUP('Nøkkelinfo og veiledning'!$F$10,Utslippsfaktorer!$AA$44:$AG$72,F$144,0)/$D$142)/1000</f>
        <v>#N/A</v>
      </c>
      <c r="G157" s="111" t="e">
        <f>G36*(VLOOKUP('Nøkkelinfo og veiledning'!$F$10,Utslippsfaktorer!$AA$44:$AG$72,G$144,0)/$D$142)/1000</f>
        <v>#N/A</v>
      </c>
      <c r="H157" s="111" t="e">
        <f>H36*(VLOOKUP('Nøkkelinfo og veiledning'!$F$10,Utslippsfaktorer!$AA$44:$AG$72,H$144,0)/$D$142)/1000</f>
        <v>#N/A</v>
      </c>
      <c r="I157" s="111"/>
      <c r="J157" s="111" t="e">
        <f>J36*(VLOOKUP('Nøkkelinfo og veiledning'!$F$10,Utslippsfaktorer!$AA$44:$AG$72,J$144,0)/$D$142)/1000</f>
        <v>#N/A</v>
      </c>
      <c r="K157" s="111" t="e">
        <f>K36*(VLOOKUP('Nøkkelinfo og veiledning'!$F$10,Utslippsfaktorer!$AA$44:$AG$72,K$144,0)/$D$142)/1000</f>
        <v>#N/A</v>
      </c>
      <c r="L157" s="111" t="e">
        <f>L36*(VLOOKUP('Nøkkelinfo og veiledning'!$F$10,Utslippsfaktorer!$AA$44:$AG$72,L$144,0)/$D$142)/1000</f>
        <v>#N/A</v>
      </c>
      <c r="M157" s="111" t="e">
        <f>M36*(VLOOKUP('Nøkkelinfo og veiledning'!$F$10,Utslippsfaktorer!$AA$44:$AG$72,M$144,0)/$D$142)/1000</f>
        <v>#N/A</v>
      </c>
      <c r="N157" s="111" t="e">
        <f>N36*(VLOOKUP('Nøkkelinfo og veiledning'!$F$10,Utslippsfaktorer!$AA$44:$AG$72,N$144,0)/$D$142)/1000</f>
        <v>#N/A</v>
      </c>
      <c r="O157" s="111"/>
      <c r="P157" s="111" t="e">
        <f>P36*(VLOOKUP('Nøkkelinfo og veiledning'!$F$10,Utslippsfaktorer!$AA$44:$AG$72,P$144,0)/$D$142)/1000</f>
        <v>#N/A</v>
      </c>
      <c r="Q157" s="111" t="e">
        <f>Q36*(VLOOKUP('Nøkkelinfo og veiledning'!$F$10,Utslippsfaktorer!$AA$44:$AG$72,Q$144,0)/$D$142)/1000</f>
        <v>#N/A</v>
      </c>
      <c r="R157" s="111" t="e">
        <f>R36*(VLOOKUP('Nøkkelinfo og veiledning'!$F$10,Utslippsfaktorer!$AA$44:$AG$72,R$144,0)/$D$142)/1000</f>
        <v>#N/A</v>
      </c>
      <c r="S157" s="111" t="e">
        <f>S36*(VLOOKUP('Nøkkelinfo og veiledning'!$F$10,Utslippsfaktorer!$AA$44:$AG$72,S$144,0)/$D$142)/1000</f>
        <v>#N/A</v>
      </c>
      <c r="T157" s="111" t="e">
        <f>T36*(VLOOKUP('Nøkkelinfo og veiledning'!$F$10,Utslippsfaktorer!$AA$44:$AG$72,T$144,0)/$D$142)/1000</f>
        <v>#N/A</v>
      </c>
      <c r="U157" s="111"/>
      <c r="V157" s="111" t="e">
        <f>V36*(VLOOKUP('Nøkkelinfo og veiledning'!$F$10,Utslippsfaktorer!$AA$44:$AG$72,V$144,0)/$D$142)/1000</f>
        <v>#N/A</v>
      </c>
      <c r="W157" s="111" t="e">
        <f>W36*(VLOOKUP('Nøkkelinfo og veiledning'!$F$10,Utslippsfaktorer!$AA$44:$AG$72,W$144,0)/$D$142)/1000</f>
        <v>#N/A</v>
      </c>
      <c r="X157" s="111" t="e">
        <f>X36*(VLOOKUP('Nøkkelinfo og veiledning'!$F$10,Utslippsfaktorer!$AA$44:$AG$72,X$144,0)/$D$142)/1000</f>
        <v>#N/A</v>
      </c>
      <c r="Y157" s="111" t="e">
        <f>Y36*(VLOOKUP('Nøkkelinfo og veiledning'!$F$10,Utslippsfaktorer!$AA$44:$AG$72,Y$144,0)/$D$142)/1000</f>
        <v>#N/A</v>
      </c>
      <c r="Z157" s="111" t="e">
        <f>Z36*(VLOOKUP('Nøkkelinfo og veiledning'!$F$10,Utslippsfaktorer!$AA$44:$AG$72,Z$144,0)/$D$142)/1000</f>
        <v>#N/A</v>
      </c>
      <c r="AA157" s="227"/>
      <c r="AB157" s="227"/>
      <c r="AC157" s="227"/>
      <c r="AD157" s="227"/>
      <c r="AE157" s="227"/>
      <c r="AF157" s="227"/>
    </row>
    <row r="158" spans="3:32">
      <c r="C158" s="224" t="s">
        <v>120</v>
      </c>
      <c r="D158" s="111" t="e">
        <f>D37*(VLOOKUP('Nøkkelinfo og veiledning'!$F$10,Utslippsfaktorer!$AI$44:$AO$72,D$144,0)/$D$142)/1000</f>
        <v>#N/A</v>
      </c>
      <c r="E158" s="111" t="e">
        <f>E37*(VLOOKUP('Nøkkelinfo og veiledning'!$F$10,Utslippsfaktorer!$AI$44:$AO$72,E$144,0)/$D$142)/1000</f>
        <v>#N/A</v>
      </c>
      <c r="F158" s="111" t="e">
        <f>F37*(VLOOKUP('Nøkkelinfo og veiledning'!$F$10,Utslippsfaktorer!$AI$44:$AO$72,F$144,0)/$D$142)/1000</f>
        <v>#N/A</v>
      </c>
      <c r="G158" s="111" t="e">
        <f>G37*(VLOOKUP('Nøkkelinfo og veiledning'!$F$10,Utslippsfaktorer!$AI$44:$AO$72,G$144,0)/$D$142)/1000</f>
        <v>#N/A</v>
      </c>
      <c r="H158" s="111" t="e">
        <f>H37*(VLOOKUP('Nøkkelinfo og veiledning'!$F$10,Utslippsfaktorer!$AI$44:$AO$72,H$144,0)/$D$142)/1000</f>
        <v>#N/A</v>
      </c>
      <c r="I158" s="111"/>
      <c r="J158" s="111" t="e">
        <f>J37*(VLOOKUP('Nøkkelinfo og veiledning'!$F$10,Utslippsfaktorer!$AI$44:$AO$72,J$144,0)/$D$142)/1000</f>
        <v>#N/A</v>
      </c>
      <c r="K158" s="111" t="e">
        <f>K37*(VLOOKUP('Nøkkelinfo og veiledning'!$F$10,Utslippsfaktorer!$AI$44:$AO$72,K$144,0)/$D$142)/1000</f>
        <v>#N/A</v>
      </c>
      <c r="L158" s="111" t="e">
        <f>L37*(VLOOKUP('Nøkkelinfo og veiledning'!$F$10,Utslippsfaktorer!$AI$44:$AO$72,L$144,0)/$D$142)/1000</f>
        <v>#N/A</v>
      </c>
      <c r="M158" s="111" t="e">
        <f>M37*(VLOOKUP('Nøkkelinfo og veiledning'!$F$10,Utslippsfaktorer!$AI$44:$AO$72,M$144,0)/$D$142)/1000</f>
        <v>#N/A</v>
      </c>
      <c r="N158" s="111" t="e">
        <f>N37*(VLOOKUP('Nøkkelinfo og veiledning'!$F$10,Utslippsfaktorer!$AI$44:$AO$72,N$144,0)/$D$142)/1000</f>
        <v>#N/A</v>
      </c>
      <c r="O158" s="111"/>
      <c r="P158" s="111" t="e">
        <f>P37*(VLOOKUP('Nøkkelinfo og veiledning'!$F$10,Utslippsfaktorer!$AI$44:$AO$72,P$144,0)/$D$142)/1000</f>
        <v>#N/A</v>
      </c>
      <c r="Q158" s="111" t="e">
        <f>Q37*(VLOOKUP('Nøkkelinfo og veiledning'!$F$10,Utslippsfaktorer!$AI$44:$AO$72,Q$144,0)/$D$142)/1000</f>
        <v>#N/A</v>
      </c>
      <c r="R158" s="111" t="e">
        <f>R37*(VLOOKUP('Nøkkelinfo og veiledning'!$F$10,Utslippsfaktorer!$AI$44:$AO$72,R$144,0)/$D$142)/1000</f>
        <v>#N/A</v>
      </c>
      <c r="S158" s="111" t="e">
        <f>S37*(VLOOKUP('Nøkkelinfo og veiledning'!$F$10,Utslippsfaktorer!$AI$44:$AO$72,S$144,0)/$D$142)/1000</f>
        <v>#N/A</v>
      </c>
      <c r="T158" s="111" t="e">
        <f>T37*(VLOOKUP('Nøkkelinfo og veiledning'!$F$10,Utslippsfaktorer!$AI$44:$AO$72,T$144,0)/$D$142)/1000</f>
        <v>#N/A</v>
      </c>
      <c r="U158" s="111"/>
      <c r="V158" s="111" t="e">
        <f>V37*(VLOOKUP('Nøkkelinfo og veiledning'!$F$10,Utslippsfaktorer!$AI$44:$AO$72,V$144,0)/$D$142)/1000</f>
        <v>#N/A</v>
      </c>
      <c r="W158" s="111" t="e">
        <f>W37*(VLOOKUP('Nøkkelinfo og veiledning'!$F$10,Utslippsfaktorer!$AI$44:$AO$72,W$144,0)/$D$142)/1000</f>
        <v>#N/A</v>
      </c>
      <c r="X158" s="111" t="e">
        <f>X37*(VLOOKUP('Nøkkelinfo og veiledning'!$F$10,Utslippsfaktorer!$AI$44:$AO$72,X$144,0)/$D$142)/1000</f>
        <v>#N/A</v>
      </c>
      <c r="Y158" s="111" t="e">
        <f>Y37*(VLOOKUP('Nøkkelinfo og veiledning'!$F$10,Utslippsfaktorer!$AI$44:$AO$72,Y$144,0)/$D$142)/1000</f>
        <v>#N/A</v>
      </c>
      <c r="Z158" s="111" t="e">
        <f>Z37*(VLOOKUP('Nøkkelinfo og veiledning'!$F$10,Utslippsfaktorer!$AI$44:$AO$72,Z$144,0)/$D$142)/1000</f>
        <v>#N/A</v>
      </c>
      <c r="AA158" s="227"/>
      <c r="AB158" s="227"/>
      <c r="AC158" s="227"/>
      <c r="AD158" s="227"/>
      <c r="AE158" s="227"/>
      <c r="AF158" s="227"/>
    </row>
    <row r="159" spans="3:32">
      <c r="C159" s="224" t="s">
        <v>23</v>
      </c>
      <c r="D159" s="111" t="e">
        <f>D38*(VLOOKUP('Nøkkelinfo og veiledning'!$F$10,Utslippsfaktorer!$AQ$44:$AW$72,D$144,0)/$D$142)/1000</f>
        <v>#N/A</v>
      </c>
      <c r="E159" s="111" t="e">
        <f>E38*(VLOOKUP('Nøkkelinfo og veiledning'!$F$10,Utslippsfaktorer!$AQ$44:$AW$72,E$144,0)/$D$142)/1000</f>
        <v>#N/A</v>
      </c>
      <c r="F159" s="111" t="e">
        <f>F38*(VLOOKUP('Nøkkelinfo og veiledning'!$F$10,Utslippsfaktorer!$AQ$44:$AW$72,F$144,0)/$D$142)/1000</f>
        <v>#N/A</v>
      </c>
      <c r="G159" s="111" t="e">
        <f>G38*(VLOOKUP('Nøkkelinfo og veiledning'!$F$10,Utslippsfaktorer!$AQ$44:$AW$72,G$144,0)/$D$142)/1000</f>
        <v>#N/A</v>
      </c>
      <c r="H159" s="111" t="e">
        <f>H38*(VLOOKUP('Nøkkelinfo og veiledning'!$F$10,Utslippsfaktorer!$AQ$44:$AW$72,H$144,0)/$D$142)/1000</f>
        <v>#N/A</v>
      </c>
      <c r="I159" s="111"/>
      <c r="J159" s="111" t="e">
        <f>J38*(VLOOKUP('Nøkkelinfo og veiledning'!$F$10,Utslippsfaktorer!$AQ$44:$AW$72,J$144,0)/$D$142)/1000</f>
        <v>#N/A</v>
      </c>
      <c r="K159" s="111" t="e">
        <f>K38*(VLOOKUP('Nøkkelinfo og veiledning'!$F$10,Utslippsfaktorer!$AQ$44:$AW$72,K$144,0)/$D$142)/1000</f>
        <v>#N/A</v>
      </c>
      <c r="L159" s="111" t="e">
        <f>L38*(VLOOKUP('Nøkkelinfo og veiledning'!$F$10,Utslippsfaktorer!$AQ$44:$AW$72,L$144,0)/$D$142)/1000</f>
        <v>#N/A</v>
      </c>
      <c r="M159" s="111" t="e">
        <f>M38*(VLOOKUP('Nøkkelinfo og veiledning'!$F$10,Utslippsfaktorer!$AQ$44:$AW$72,M$144,0)/$D$142)/1000</f>
        <v>#N/A</v>
      </c>
      <c r="N159" s="111" t="e">
        <f>N38*(VLOOKUP('Nøkkelinfo og veiledning'!$F$10,Utslippsfaktorer!$AQ$44:$AW$72,N$144,0)/$D$142)/1000</f>
        <v>#N/A</v>
      </c>
      <c r="O159" s="111"/>
      <c r="P159" s="111" t="e">
        <f>P38*(VLOOKUP('Nøkkelinfo og veiledning'!$F$10,Utslippsfaktorer!$AQ$44:$AW$72,P$144,0)/$D$142)/1000</f>
        <v>#N/A</v>
      </c>
      <c r="Q159" s="111" t="e">
        <f>Q38*(VLOOKUP('Nøkkelinfo og veiledning'!$F$10,Utslippsfaktorer!$AQ$44:$AW$72,Q$144,0)/$D$142)/1000</f>
        <v>#N/A</v>
      </c>
      <c r="R159" s="111" t="e">
        <f>R38*(VLOOKUP('Nøkkelinfo og veiledning'!$F$10,Utslippsfaktorer!$AQ$44:$AW$72,R$144,0)/$D$142)/1000</f>
        <v>#N/A</v>
      </c>
      <c r="S159" s="111" t="e">
        <f>S38*(VLOOKUP('Nøkkelinfo og veiledning'!$F$10,Utslippsfaktorer!$AQ$44:$AW$72,S$144,0)/$D$142)/1000</f>
        <v>#N/A</v>
      </c>
      <c r="T159" s="111" t="e">
        <f>T38*(VLOOKUP('Nøkkelinfo og veiledning'!$F$10,Utslippsfaktorer!$AQ$44:$AW$72,T$144,0)/$D$142)/1000</f>
        <v>#N/A</v>
      </c>
      <c r="U159" s="111"/>
      <c r="V159" s="111" t="e">
        <f>V38*(VLOOKUP('Nøkkelinfo og veiledning'!$F$10,Utslippsfaktorer!$AQ$44:$AW$72,V$144,0)/$D$142)/1000</f>
        <v>#N/A</v>
      </c>
      <c r="W159" s="111" t="e">
        <f>W38*(VLOOKUP('Nøkkelinfo og veiledning'!$F$10,Utslippsfaktorer!$AQ$44:$AW$72,W$144,0)/$D$142)/1000</f>
        <v>#N/A</v>
      </c>
      <c r="X159" s="111" t="e">
        <f>X38*(VLOOKUP('Nøkkelinfo og veiledning'!$F$10,Utslippsfaktorer!$AQ$44:$AW$72,X$144,0)/$D$142)/1000</f>
        <v>#N/A</v>
      </c>
      <c r="Y159" s="111" t="e">
        <f>Y38*(VLOOKUP('Nøkkelinfo og veiledning'!$F$10,Utslippsfaktorer!$AQ$44:$AW$72,Y$144,0)/$D$142)/1000</f>
        <v>#N/A</v>
      </c>
      <c r="Z159" s="111" t="e">
        <f>Z38*(VLOOKUP('Nøkkelinfo og veiledning'!$F$10,Utslippsfaktorer!$AQ$44:$AW$72,Z$144,0)/$D$142)/1000</f>
        <v>#N/A</v>
      </c>
      <c r="AA159" s="227"/>
      <c r="AB159" s="227"/>
      <c r="AC159" s="227"/>
      <c r="AD159" s="227"/>
      <c r="AE159" s="227"/>
      <c r="AF159" s="227"/>
    </row>
    <row r="160" spans="3:32">
      <c r="C160" s="111"/>
      <c r="D160" s="111">
        <v>7</v>
      </c>
      <c r="E160" s="111"/>
      <c r="F160" s="111"/>
      <c r="G160" s="111"/>
      <c r="H160" s="111"/>
      <c r="I160" s="111"/>
      <c r="J160" s="111">
        <v>7</v>
      </c>
      <c r="K160" s="111"/>
      <c r="L160" s="111"/>
      <c r="M160" s="111"/>
      <c r="N160" s="111"/>
      <c r="O160" s="111"/>
      <c r="P160" s="111">
        <v>7</v>
      </c>
      <c r="Q160" s="111"/>
      <c r="R160" s="111"/>
      <c r="S160" s="111"/>
      <c r="T160" s="111"/>
      <c r="U160" s="111"/>
      <c r="V160" s="111">
        <v>7</v>
      </c>
      <c r="W160" s="111"/>
      <c r="X160" s="111"/>
      <c r="Y160" s="111"/>
      <c r="Z160" s="111"/>
      <c r="AA160" s="227"/>
      <c r="AB160" s="227"/>
      <c r="AC160" s="227"/>
      <c r="AD160" s="227"/>
      <c r="AE160" s="227"/>
      <c r="AF160" s="227"/>
    </row>
    <row r="161" spans="3:32">
      <c r="C161" s="111"/>
      <c r="D161" s="163" t="s">
        <v>200</v>
      </c>
      <c r="E161" s="163"/>
      <c r="F161" s="163" t="s">
        <v>304</v>
      </c>
      <c r="G161" s="111">
        <f>SUM(E47,H44,I57,I77)</f>
        <v>0</v>
      </c>
      <c r="H161" s="111"/>
      <c r="I161" s="111"/>
      <c r="J161" s="163" t="s">
        <v>200</v>
      </c>
      <c r="K161" s="163"/>
      <c r="L161" s="163" t="s">
        <v>305</v>
      </c>
      <c r="M161" s="111">
        <f>IF('Nøkkelinfo og veiledning'!F13&gt;1,SUM(K47,N44,O57,O77),0)</f>
        <v>0</v>
      </c>
      <c r="N161" s="111"/>
      <c r="O161" s="111"/>
      <c r="P161" s="163" t="s">
        <v>200</v>
      </c>
      <c r="Q161" s="163"/>
      <c r="R161" s="163" t="s">
        <v>306</v>
      </c>
      <c r="S161" s="111">
        <f>IF('Nøkkelinfo og veiledning'!F13&gt;2,SUM(Q47,T44,U57,U77),0)</f>
        <v>0</v>
      </c>
      <c r="T161" s="111"/>
      <c r="U161" s="111"/>
      <c r="V161" s="163" t="s">
        <v>200</v>
      </c>
      <c r="W161" s="163"/>
      <c r="X161" s="163" t="s">
        <v>307</v>
      </c>
      <c r="Y161" s="111">
        <f>IF('Nøkkelinfo og veiledning'!F13&gt;3,SUM(W47,Z44,AA57,AA77),0)</f>
        <v>0</v>
      </c>
      <c r="Z161" s="111"/>
      <c r="AA161" s="227"/>
      <c r="AB161" s="227"/>
      <c r="AC161" s="227"/>
      <c r="AD161" s="227"/>
      <c r="AE161" s="227"/>
      <c r="AF161" s="227"/>
    </row>
    <row r="162" spans="3:32">
      <c r="C162" s="224" t="s">
        <v>36</v>
      </c>
      <c r="D162" s="229" t="e">
        <f>H211*(VLOOKUP('Nøkkelinfo og veiledning'!$F$10,Utslippsfaktorer!$C$7:$I$35,D$160,0)/$D$142)/1000</f>
        <v>#N/A</v>
      </c>
      <c r="E162" s="229"/>
      <c r="F162" s="229"/>
      <c r="G162" s="111"/>
      <c r="H162" s="111"/>
      <c r="I162" s="111"/>
      <c r="J162" s="229">
        <f>IF('Nøkkelinfo og veiledning'!$F$13&gt;1,N211*(VLOOKUP('Nøkkelinfo og veiledning'!$F$10,Utslippsfaktorer!$C$7:$I$35,J$160,0)/D142)/1000,0)</f>
        <v>0</v>
      </c>
      <c r="K162" s="229"/>
      <c r="L162" s="229"/>
      <c r="M162" s="111"/>
      <c r="N162" s="111"/>
      <c r="O162" s="111"/>
      <c r="P162" s="229">
        <f>IF('Nøkkelinfo og veiledning'!$F$13&gt;1,T211*(VLOOKUP('Nøkkelinfo og veiledning'!$F$10,Utslippsfaktorer!$C$7:$I$35,P$160,0)/D142)/1000,0)</f>
        <v>0</v>
      </c>
      <c r="Q162" s="229"/>
      <c r="R162" s="229"/>
      <c r="S162" s="111"/>
      <c r="T162" s="111"/>
      <c r="U162" s="111"/>
      <c r="V162" s="229">
        <f>IF('Nøkkelinfo og veiledning'!$F$13&gt;1,Z211*(VLOOKUP('Nøkkelinfo og veiledning'!$F$10,Utslippsfaktorer!$C$7:$I$35,V$160,0)/D142)/1000,0)</f>
        <v>0</v>
      </c>
      <c r="W162" s="229"/>
      <c r="X162" s="229"/>
      <c r="Y162" s="111"/>
      <c r="Z162" s="111"/>
      <c r="AA162" s="227"/>
      <c r="AB162" s="227"/>
      <c r="AC162" s="227"/>
      <c r="AD162" s="227"/>
      <c r="AE162" s="227"/>
      <c r="AF162" s="227"/>
    </row>
    <row r="163" spans="3:32">
      <c r="C163" s="224" t="s">
        <v>37</v>
      </c>
      <c r="D163" s="229" t="e">
        <f>H212*(VLOOKUP('Nøkkelinfo og veiledning'!$F$10,Utslippsfaktorer!$C$7:$I$35,D$160,0)/$D$142)/1000</f>
        <v>#N/A</v>
      </c>
      <c r="E163" s="229"/>
      <c r="F163" s="229"/>
      <c r="G163" s="111"/>
      <c r="H163" s="111"/>
      <c r="I163" s="111"/>
      <c r="J163" s="229">
        <f>IF('Nøkkelinfo og veiledning'!$F$13&gt;1,N212*(VLOOKUP('Nøkkelinfo og veiledning'!$F$10,Utslippsfaktorer!$C$7:$I$35,J$160,0)/D142)/1000,0)</f>
        <v>0</v>
      </c>
      <c r="K163" s="229"/>
      <c r="L163" s="229"/>
      <c r="M163" s="111"/>
      <c r="N163" s="111"/>
      <c r="O163" s="111"/>
      <c r="P163" s="229">
        <f>IF('Nøkkelinfo og veiledning'!$F$13&gt;1,T212*(VLOOKUP('Nøkkelinfo og veiledning'!$F$10,Utslippsfaktorer!$C$7:$I$35,P$160,0)/D142)/1000,0)</f>
        <v>0</v>
      </c>
      <c r="Q163" s="229"/>
      <c r="R163" s="229"/>
      <c r="S163" s="111"/>
      <c r="T163" s="111"/>
      <c r="U163" s="111"/>
      <c r="V163" s="229">
        <f>IF('Nøkkelinfo og veiledning'!$F$13&gt;1,Z212*(VLOOKUP('Nøkkelinfo og veiledning'!$F$10,Utslippsfaktorer!$C$7:$I$35,V$160,0)/D142)/1000,0)</f>
        <v>0</v>
      </c>
      <c r="W163" s="229"/>
      <c r="X163" s="229"/>
      <c r="Y163" s="111"/>
      <c r="Z163" s="111"/>
      <c r="AA163" s="227"/>
      <c r="AB163" s="227"/>
      <c r="AC163" s="227"/>
      <c r="AD163" s="227"/>
      <c r="AE163" s="227"/>
      <c r="AF163" s="227"/>
    </row>
    <row r="164" spans="3:32">
      <c r="C164" s="224" t="s">
        <v>139</v>
      </c>
      <c r="D164" s="229" t="e">
        <f>H213*(VLOOKUP('Nøkkelinfo og veiledning'!$F$10,Utslippsfaktorer!$C$7:$I$35,D$160,0)/$D$142)/1000</f>
        <v>#N/A</v>
      </c>
      <c r="E164" s="229"/>
      <c r="F164" s="229"/>
      <c r="G164" s="111"/>
      <c r="H164" s="111"/>
      <c r="I164" s="111"/>
      <c r="J164" s="229">
        <f>IF('Nøkkelinfo og veiledning'!$F$13&gt;1,N213*(VLOOKUP('Nøkkelinfo og veiledning'!$F$10,Utslippsfaktorer!$C$7:$I$35,J$160,0)/1.15)/1000,0)</f>
        <v>0</v>
      </c>
      <c r="K164" s="229"/>
      <c r="L164" s="229"/>
      <c r="M164" s="111"/>
      <c r="N164" s="111"/>
      <c r="O164" s="111"/>
      <c r="P164" s="229">
        <f>IF('Nøkkelinfo og veiledning'!$F$13&gt;1,T213*(VLOOKUP('Nøkkelinfo og veiledning'!$F$10,Utslippsfaktorer!$C$7:$I$35,P$160,0)/D142)/1000,0)</f>
        <v>0</v>
      </c>
      <c r="Q164" s="229"/>
      <c r="R164" s="229"/>
      <c r="S164" s="111"/>
      <c r="T164" s="111"/>
      <c r="U164" s="111"/>
      <c r="V164" s="229">
        <f>IF('Nøkkelinfo og veiledning'!$F$13&gt;1,Z213*(VLOOKUP('Nøkkelinfo og veiledning'!$F$10,Utslippsfaktorer!$C$7:$I$35,V$160,0)/D142)/1000,0)</f>
        <v>0</v>
      </c>
      <c r="W164" s="229"/>
      <c r="X164" s="229"/>
      <c r="Y164" s="111"/>
      <c r="Z164" s="111"/>
      <c r="AA164" s="227"/>
      <c r="AB164" s="227"/>
      <c r="AC164" s="227"/>
      <c r="AD164" s="227"/>
      <c r="AE164" s="227"/>
      <c r="AF164" s="227"/>
    </row>
    <row r="165" spans="3:32">
      <c r="C165" s="224" t="s">
        <v>12</v>
      </c>
      <c r="D165" s="229" t="e">
        <f>H214*(VLOOKUP('Nøkkelinfo og veiledning'!$F$10,Utslippsfaktorer!$K$7:$Q$35,D$160,0)/D142)/1000</f>
        <v>#N/A</v>
      </c>
      <c r="E165" s="229"/>
      <c r="F165" s="229"/>
      <c r="G165" s="111"/>
      <c r="H165" s="111"/>
      <c r="I165" s="111"/>
      <c r="J165" s="229">
        <f>IF('Nøkkelinfo og veiledning'!$F$13&gt;1,N214*(VLOOKUP('Nøkkelinfo og veiledning'!$F$10,Utslippsfaktorer!$K$7:$Q$35,J$160,0)/D142)/1000,0)</f>
        <v>0</v>
      </c>
      <c r="K165" s="229"/>
      <c r="L165" s="229"/>
      <c r="M165" s="111"/>
      <c r="N165" s="111"/>
      <c r="O165" s="111"/>
      <c r="P165" s="229">
        <f>IF('Nøkkelinfo og veiledning'!$F$13&gt;1,T214*(VLOOKUP('Nøkkelinfo og veiledning'!$F$10,Utslippsfaktorer!$K$7:$Q$35,P$160,0)/D142)/1000,0)</f>
        <v>0</v>
      </c>
      <c r="Q165" s="229"/>
      <c r="R165" s="229"/>
      <c r="S165" s="111"/>
      <c r="T165" s="111"/>
      <c r="U165" s="111"/>
      <c r="V165" s="229">
        <f>IF('Nøkkelinfo og veiledning'!$F$13&gt;1,Z214*(VLOOKUP('Nøkkelinfo og veiledning'!$F$10,Utslippsfaktorer!$K$7:$Q$35,V$160,0)/D142)/1000,0)</f>
        <v>0</v>
      </c>
      <c r="W165" s="229"/>
      <c r="X165" s="229"/>
      <c r="Y165" s="111"/>
      <c r="Z165" s="111"/>
      <c r="AA165" s="227"/>
      <c r="AB165" s="227"/>
      <c r="AC165" s="227"/>
      <c r="AD165" s="227"/>
      <c r="AE165" s="227"/>
      <c r="AF165" s="227"/>
    </row>
    <row r="166" spans="3:32">
      <c r="C166" s="224" t="s">
        <v>13</v>
      </c>
      <c r="D166" s="229" t="e">
        <f>F218*(VLOOKUP('Nøkkelinfo og veiledning'!$F$10,Utslippsfaktorer!$S$7:$Y$35,D$160,0)/D142)/1000</f>
        <v>#N/A</v>
      </c>
      <c r="E166" s="229"/>
      <c r="F166" s="229"/>
      <c r="G166" s="111"/>
      <c r="H166" s="111"/>
      <c r="I166" s="111"/>
      <c r="J166" s="229">
        <f>IF('Nøkkelinfo og veiledning'!$F$13&gt;1,L218*(VLOOKUP('Nøkkelinfo og veiledning'!$F$10,Utslippsfaktorer!$S$7:$Y$35,J$160,0)/D142)/1000,0)</f>
        <v>0</v>
      </c>
      <c r="K166" s="229"/>
      <c r="L166" s="229"/>
      <c r="M166" s="111"/>
      <c r="N166" s="111"/>
      <c r="O166" s="111"/>
      <c r="P166" s="229">
        <f>IF('Nøkkelinfo og veiledning'!$F$13&gt;1,R218*(VLOOKUP('Nøkkelinfo og veiledning'!$F$10,Utslippsfaktorer!$S$7:$Y$35,P$160,0)/D142)/1000,0)</f>
        <v>0</v>
      </c>
      <c r="Q166" s="229"/>
      <c r="R166" s="229"/>
      <c r="S166" s="111"/>
      <c r="T166" s="111"/>
      <c r="U166" s="111"/>
      <c r="V166" s="229">
        <f>IF('Nøkkelinfo og veiledning'!$F$13&gt;1,X218*(VLOOKUP('Nøkkelinfo og veiledning'!$F$10,Utslippsfaktorer!$S$7:$Y$35,V$160,0)/D142)/1000,0)</f>
        <v>0</v>
      </c>
      <c r="W166" s="229"/>
      <c r="X166" s="229"/>
      <c r="Y166" s="111"/>
      <c r="Z166" s="111"/>
      <c r="AA166" s="227"/>
      <c r="AB166" s="227"/>
      <c r="AC166" s="227"/>
      <c r="AD166" s="227"/>
      <c r="AE166" s="227"/>
      <c r="AF166" s="227"/>
    </row>
    <row r="167" spans="3:32">
      <c r="C167" s="224" t="s">
        <v>24</v>
      </c>
      <c r="D167" s="229">
        <f>IFERROR(F217*(VLOOKUP('Nøkkelinfo og veiledning'!$F$10,Utslippsfaktorer!$AA$7:$AG$35,D$160,0)/D142)/1000,0)</f>
        <v>0</v>
      </c>
      <c r="E167" s="229"/>
      <c r="F167" s="229"/>
      <c r="G167" s="111"/>
      <c r="H167" s="111"/>
      <c r="I167" s="111"/>
      <c r="J167" s="229">
        <f>IFERROR(IF('Nøkkelinfo og veiledning'!$F$13&gt;1,L217*(VLOOKUP('Nøkkelinfo og veiledning'!$F$10,Utslippsfaktorer!$AA$7:$AG$35,J$160,0)/D142)/1000,0),0)</f>
        <v>0</v>
      </c>
      <c r="K167" s="229"/>
      <c r="L167" s="229"/>
      <c r="M167" s="111"/>
      <c r="N167" s="111"/>
      <c r="O167" s="111"/>
      <c r="P167" s="229">
        <f>IFERROR(IF('Nøkkelinfo og veiledning'!$F$13&gt;1,R217*(VLOOKUP('Nøkkelinfo og veiledning'!$F$10,Utslippsfaktorer!$AA$7:$AG$35,P$160,0)/D142)/1000,0),0)</f>
        <v>0</v>
      </c>
      <c r="Q167" s="229"/>
      <c r="R167" s="229"/>
      <c r="S167" s="111"/>
      <c r="T167" s="111"/>
      <c r="U167" s="111"/>
      <c r="V167" s="229">
        <f>IFERROR(IF('Nøkkelinfo og veiledning'!$F$13&gt;1,X217*(VLOOKUP('Nøkkelinfo og veiledning'!$F$10,Utslippsfaktorer!$AA$7:$AG$35,V$160,0)/D142)/1000,0),0)</f>
        <v>0</v>
      </c>
      <c r="W167" s="229"/>
      <c r="X167" s="229"/>
      <c r="Y167" s="111"/>
      <c r="Z167" s="111"/>
      <c r="AA167" s="227"/>
      <c r="AB167" s="227"/>
      <c r="AC167" s="227"/>
      <c r="AD167" s="227"/>
      <c r="AE167" s="227"/>
      <c r="AF167" s="227"/>
    </row>
    <row r="168" spans="3:32">
      <c r="C168" s="224" t="s">
        <v>15</v>
      </c>
      <c r="D168" s="229" t="e">
        <f>F219*(VLOOKUP('Nøkkelinfo og veiledning'!$F$10,Utslippsfaktorer!$AI$7:$AO$35,D$160,0)/D142)/1000</f>
        <v>#N/A</v>
      </c>
      <c r="E168" s="229"/>
      <c r="F168" s="229"/>
      <c r="G168" s="111"/>
      <c r="H168" s="111"/>
      <c r="I168" s="111"/>
      <c r="J168" s="229">
        <f>IFERROR(IF('Nøkkelinfo og veiledning'!$F$13&gt;1,L219*(VLOOKUP('Nøkkelinfo og veiledning'!$F$10,Utslippsfaktorer!$AI$7:$AO$35,J$160,0)/D142)/1000,0),0)</f>
        <v>0</v>
      </c>
      <c r="K168" s="229"/>
      <c r="L168" s="229"/>
      <c r="M168" s="111"/>
      <c r="N168" s="111"/>
      <c r="O168" s="111"/>
      <c r="P168" s="229">
        <f>IFERROR(IF('Nøkkelinfo og veiledning'!$F$13&gt;1,R219*(VLOOKUP('Nøkkelinfo og veiledning'!$F$10,Utslippsfaktorer!$AI$7:$AO$35,P$160,0)/D142)/1000,0),0)</f>
        <v>0</v>
      </c>
      <c r="Q168" s="229"/>
      <c r="R168" s="229"/>
      <c r="S168" s="111"/>
      <c r="T168" s="111"/>
      <c r="U168" s="111"/>
      <c r="V168" s="229">
        <f>IFERROR(IF('Nøkkelinfo og veiledning'!$F$13&gt;1,X219*(VLOOKUP('Nøkkelinfo og veiledning'!$F$10,Utslippsfaktorer!$AI$7:$AO$35,V$160,0)/D142)/1000,0),0)</f>
        <v>0</v>
      </c>
      <c r="W168" s="229"/>
      <c r="X168" s="229"/>
      <c r="Y168" s="111"/>
      <c r="Z168" s="111"/>
      <c r="AA168" s="227"/>
      <c r="AB168" s="227"/>
      <c r="AC168" s="227"/>
      <c r="AD168" s="227"/>
      <c r="AE168" s="227"/>
      <c r="AF168" s="227"/>
    </row>
    <row r="169" spans="3:32">
      <c r="C169" s="224" t="s">
        <v>16</v>
      </c>
      <c r="D169" s="229" t="e">
        <f>F220*(VLOOKUP('Nøkkelinfo og veiledning'!$F$10,Utslippsfaktorer!$AQ$7:$AW$35,D$160,0)/D142)/1000</f>
        <v>#N/A</v>
      </c>
      <c r="E169" s="229"/>
      <c r="F169" s="229"/>
      <c r="G169" s="111"/>
      <c r="H169" s="111"/>
      <c r="I169" s="111"/>
      <c r="J169" s="229">
        <f>IFERROR(IF('Nøkkelinfo og veiledning'!$F$13&gt;1,L220*(VLOOKUP('Nøkkelinfo og veiledning'!$F$10,Utslippsfaktorer!$AQ$7:$AW$35,J$160,0)/D142)/1000,0),0)</f>
        <v>0</v>
      </c>
      <c r="K169" s="229"/>
      <c r="L169" s="229"/>
      <c r="M169" s="111"/>
      <c r="N169" s="111"/>
      <c r="O169" s="111"/>
      <c r="P169" s="229">
        <f>IFERROR(IF('Nøkkelinfo og veiledning'!$F$13&gt;1,R220*(VLOOKUP('Nøkkelinfo og veiledning'!$F$10,Utslippsfaktorer!$AQ$7:$AW$35,P$160,0)/D142)/1000,0),0)</f>
        <v>0</v>
      </c>
      <c r="Q169" s="229"/>
      <c r="R169" s="229"/>
      <c r="S169" s="111"/>
      <c r="T169" s="111"/>
      <c r="U169" s="111"/>
      <c r="V169" s="229">
        <f>IFERROR(IF('Nøkkelinfo og veiledning'!$F$13&gt;1,X220*(VLOOKUP('Nøkkelinfo og veiledning'!$F$10,Utslippsfaktorer!$AQ$7:$AW$35,V$160,0)/D142)/1000,0),0)</f>
        <v>0</v>
      </c>
      <c r="W169" s="229"/>
      <c r="X169" s="229"/>
      <c r="Y169" s="111"/>
      <c r="Z169" s="111"/>
      <c r="AA169" s="227"/>
      <c r="AB169" s="227"/>
      <c r="AC169" s="227"/>
      <c r="AD169" s="227"/>
      <c r="AE169" s="227"/>
      <c r="AF169" s="227"/>
    </row>
    <row r="170" spans="3:32">
      <c r="C170" s="224" t="s">
        <v>17</v>
      </c>
      <c r="D170" s="229" t="e">
        <f>F221*(VLOOKUP('Nøkkelinfo og veiledning'!$F$10,Utslippsfaktorer!$C$44:$I$72,D$160,0)/D142)/1000</f>
        <v>#N/A</v>
      </c>
      <c r="E170" s="229"/>
      <c r="F170" s="229"/>
      <c r="G170" s="111"/>
      <c r="H170" s="111"/>
      <c r="I170" s="111"/>
      <c r="J170" s="229">
        <f>IFERROR(IF('Nøkkelinfo og veiledning'!$F$13&gt;1,L221*(VLOOKUP('Nøkkelinfo og veiledning'!$F$10,Utslippsfaktorer!$C$44:$I$72,J$160,0)/D142)/1000,0),0)</f>
        <v>0</v>
      </c>
      <c r="K170" s="229"/>
      <c r="L170" s="229"/>
      <c r="M170" s="111"/>
      <c r="N170" s="111"/>
      <c r="O170" s="111"/>
      <c r="P170" s="229">
        <f>IFERROR(IF('Nøkkelinfo og veiledning'!$F$13&gt;1,R221*(VLOOKUP('Nøkkelinfo og veiledning'!$F$10,Utslippsfaktorer!$C$44:$I$72,P$160,0)/D142)/1000,0),0)</f>
        <v>0</v>
      </c>
      <c r="Q170" s="229"/>
      <c r="R170" s="229"/>
      <c r="S170" s="111"/>
      <c r="T170" s="111"/>
      <c r="U170" s="111"/>
      <c r="V170" s="229">
        <f>IFERROR(IF('Nøkkelinfo og veiledning'!$F$13&gt;1,X221*(VLOOKUP('Nøkkelinfo og veiledning'!$F$10,Utslippsfaktorer!$C$44:$I$72,V$160,0)/D142)/1000,0),0)</f>
        <v>0</v>
      </c>
      <c r="W170" s="229"/>
      <c r="X170" s="229"/>
      <c r="Y170" s="111"/>
      <c r="Z170" s="111"/>
      <c r="AA170" s="227"/>
      <c r="AB170" s="227"/>
      <c r="AC170" s="227"/>
      <c r="AD170" s="227"/>
      <c r="AE170" s="227"/>
      <c r="AF170" s="227"/>
    </row>
    <row r="171" spans="3:32">
      <c r="C171" s="224" t="s">
        <v>18</v>
      </c>
      <c r="D171" s="229" t="e">
        <f>F222*(VLOOKUP('Nøkkelinfo og veiledning'!$F$10,Utslippsfaktorer!$K$44:$Q$72,D$160,0)/D142)/1000</f>
        <v>#N/A</v>
      </c>
      <c r="E171" s="229"/>
      <c r="F171" s="229"/>
      <c r="G171" s="111"/>
      <c r="H171" s="111"/>
      <c r="I171" s="111"/>
      <c r="J171" s="229">
        <f>IFERROR(IF('Nøkkelinfo og veiledning'!$F$13&gt;1,L222*(VLOOKUP('Nøkkelinfo og veiledning'!$F$10,Utslippsfaktorer!$K$44:$Q$72,J$160,0)/D142)/1000,0),0)</f>
        <v>0</v>
      </c>
      <c r="K171" s="229"/>
      <c r="L171" s="229"/>
      <c r="M171" s="111"/>
      <c r="N171" s="111"/>
      <c r="O171" s="111"/>
      <c r="P171" s="229">
        <f>IFERROR(IF('Nøkkelinfo og veiledning'!$F$13&gt;1,R222*(VLOOKUP('Nøkkelinfo og veiledning'!$F$10,Utslippsfaktorer!$K$44:$Q$72,P$160,0)/D142)/1000,0),0)</f>
        <v>0</v>
      </c>
      <c r="Q171" s="229"/>
      <c r="R171" s="229"/>
      <c r="S171" s="111"/>
      <c r="T171" s="111"/>
      <c r="U171" s="111"/>
      <c r="V171" s="229">
        <f>IFERROR(IF('Nøkkelinfo og veiledning'!$F$13&gt;1,X222*(VLOOKUP('Nøkkelinfo og veiledning'!$F$10,Utslippsfaktorer!$K$44:$Q$72,V$160,0)/D142)/1000,0),0)</f>
        <v>0</v>
      </c>
      <c r="W171" s="229"/>
      <c r="X171" s="229"/>
      <c r="Y171" s="111"/>
      <c r="Z171" s="111"/>
      <c r="AA171" s="227"/>
      <c r="AB171" s="227"/>
      <c r="AC171" s="227"/>
      <c r="AD171" s="227"/>
      <c r="AE171" s="227"/>
      <c r="AF171" s="227"/>
    </row>
    <row r="172" spans="3:32">
      <c r="C172" s="224" t="s">
        <v>19</v>
      </c>
      <c r="D172" s="229" t="e">
        <f>F223*(VLOOKUP('Nøkkelinfo og veiledning'!$F$10,Utslippsfaktorer!$S$42:$Y$72,D$160,0)/D142)/1000</f>
        <v>#N/A</v>
      </c>
      <c r="E172" s="226"/>
      <c r="F172" s="226"/>
      <c r="G172" s="111"/>
      <c r="H172" s="111"/>
      <c r="I172" s="111"/>
      <c r="J172" s="229">
        <f>IFERROR(IF('Nøkkelinfo og veiledning'!$F$13&gt;1,L223*(VLOOKUP('Nøkkelinfo og veiledning'!$F$10,Utslippsfaktorer!$S$42:$Y$72,J$160,0)/D142)/1000,0),0)</f>
        <v>0</v>
      </c>
      <c r="K172" s="226"/>
      <c r="L172" s="226"/>
      <c r="M172" s="111"/>
      <c r="N172" s="111"/>
      <c r="O172" s="111"/>
      <c r="P172" s="229">
        <f>IFERROR(IF('Nøkkelinfo og veiledning'!$F$13&gt;1,R223*(VLOOKUP('Nøkkelinfo og veiledning'!$F$10,Utslippsfaktorer!$S$42:$Y$72,P$160,0)/D142)/1000,0),0)</f>
        <v>0</v>
      </c>
      <c r="Q172" s="226"/>
      <c r="R172" s="226"/>
      <c r="S172" s="111"/>
      <c r="T172" s="111"/>
      <c r="U172" s="111"/>
      <c r="V172" s="229">
        <f>IFERROR(IF('Nøkkelinfo og veiledning'!$F$13&gt;1,X223*(VLOOKUP('Nøkkelinfo og veiledning'!$F$10,Utslippsfaktorer!$S$42:$Y$72,V$160,0)/D142)/1000,0),0)</f>
        <v>0</v>
      </c>
      <c r="W172" s="226"/>
      <c r="X172" s="226"/>
      <c r="Y172" s="111"/>
      <c r="Z172" s="111"/>
      <c r="AA172" s="227"/>
      <c r="AB172" s="227"/>
      <c r="AC172" s="227"/>
      <c r="AD172" s="227"/>
      <c r="AE172" s="227"/>
      <c r="AF172" s="227"/>
    </row>
    <row r="173" spans="3:32">
      <c r="C173" s="224" t="s">
        <v>20</v>
      </c>
      <c r="D173" s="229" t="e">
        <f>F224*(VLOOKUP('Nøkkelinfo og veiledning'!$F$10,Utslippsfaktorer!$AA$44:$AG$72,D$160,0)/D142)/1000</f>
        <v>#N/A</v>
      </c>
      <c r="E173" s="226"/>
      <c r="F173" s="226"/>
      <c r="G173" s="111"/>
      <c r="H173" s="111"/>
      <c r="I173" s="111"/>
      <c r="J173" s="229">
        <f>IFERROR(IF('Nøkkelinfo og veiledning'!$F$13&gt;1,L224*(VLOOKUP('Nøkkelinfo og veiledning'!$F$10,Utslippsfaktorer!$AA$44:$AG$72,J$160,0)/D142)/1000,0),0)</f>
        <v>0</v>
      </c>
      <c r="K173" s="226"/>
      <c r="L173" s="226"/>
      <c r="M173" s="111"/>
      <c r="N173" s="111"/>
      <c r="O173" s="111"/>
      <c r="P173" s="229">
        <f>IFERROR(IF('Nøkkelinfo og veiledning'!$F$13&gt;1,R224*(VLOOKUP('Nøkkelinfo og veiledning'!$F$10,Utslippsfaktorer!$AA$44:$AG$72,P$160,0)/D142)/1000,0),0)</f>
        <v>0</v>
      </c>
      <c r="Q173" s="226"/>
      <c r="R173" s="226"/>
      <c r="S173" s="111"/>
      <c r="T173" s="111"/>
      <c r="U173" s="111"/>
      <c r="V173" s="229">
        <f>IFERROR(IF('Nøkkelinfo og veiledning'!$F$13&gt;1,X224*(VLOOKUP('Nøkkelinfo og veiledning'!$F$10,Utslippsfaktorer!$AA$44:$AG$72,V$160,0)/D142)/1000,0),0)</f>
        <v>0</v>
      </c>
      <c r="W173" s="226"/>
      <c r="X173" s="226"/>
      <c r="Y173" s="111"/>
      <c r="Z173" s="111"/>
      <c r="AA173" s="227"/>
      <c r="AB173" s="227"/>
      <c r="AC173" s="227"/>
      <c r="AD173" s="227"/>
      <c r="AE173" s="227"/>
      <c r="AF173" s="227"/>
    </row>
    <row r="174" spans="3:32">
      <c r="C174" s="224" t="s">
        <v>120</v>
      </c>
      <c r="D174" s="229" t="e">
        <f>F225*(VLOOKUP('Nøkkelinfo og veiledning'!$F$10,Utslippsfaktorer!$AI$44:$AO$72,D$160,0)/D142)/1000</f>
        <v>#N/A</v>
      </c>
      <c r="E174" s="226"/>
      <c r="F174" s="226"/>
      <c r="G174" s="111"/>
      <c r="H174" s="111"/>
      <c r="I174" s="111"/>
      <c r="J174" s="229">
        <f>IFERROR(IF('Nøkkelinfo og veiledning'!$F$13&gt;1,L225*(VLOOKUP('Nøkkelinfo og veiledning'!$F$10,Utslippsfaktorer!$AI$44:$AO$72,J$160,0)/D142)/1000,0),0)</f>
        <v>0</v>
      </c>
      <c r="K174" s="226"/>
      <c r="L174" s="226"/>
      <c r="M174" s="111"/>
      <c r="N174" s="111"/>
      <c r="O174" s="111"/>
      <c r="P174" s="229">
        <f>IFERROR(IF('Nøkkelinfo og veiledning'!$F$13&gt;1,R225*(VLOOKUP('Nøkkelinfo og veiledning'!$F$10,Utslippsfaktorer!$AI$44:$AO$72,P$160,0)/D142)/1000,0),0)</f>
        <v>0</v>
      </c>
      <c r="Q174" s="226"/>
      <c r="R174" s="226"/>
      <c r="S174" s="111"/>
      <c r="T174" s="111"/>
      <c r="U174" s="111"/>
      <c r="V174" s="229">
        <f>IFERROR(IF('Nøkkelinfo og veiledning'!$F$13&gt;1,X225*(VLOOKUP('Nøkkelinfo og veiledning'!$F$10,Utslippsfaktorer!$AI$44:$AO$72,V$160,0)/D142)/1000,0),0)</f>
        <v>0</v>
      </c>
      <c r="W174" s="226"/>
      <c r="X174" s="226"/>
      <c r="Y174" s="111"/>
      <c r="Z174" s="111"/>
      <c r="AA174" s="227"/>
      <c r="AB174" s="227"/>
      <c r="AC174" s="227"/>
      <c r="AD174" s="227"/>
      <c r="AE174" s="227"/>
      <c r="AF174" s="227"/>
    </row>
    <row r="175" spans="3:32">
      <c r="C175" s="224" t="s">
        <v>23</v>
      </c>
      <c r="D175" s="229" t="e">
        <f>F226*(VLOOKUP('Nøkkelinfo og veiledning'!$F$10,Utslippsfaktorer!$AQ$44:$AW$72,D$160,0)/D142)/1000</f>
        <v>#N/A</v>
      </c>
      <c r="E175" s="226"/>
      <c r="F175" s="226"/>
      <c r="G175" s="111"/>
      <c r="H175" s="111"/>
      <c r="I175" s="111"/>
      <c r="J175" s="229">
        <f>IFERROR(IF('Nøkkelinfo og veiledning'!$F$13&gt;1,L226*(VLOOKUP('Nøkkelinfo og veiledning'!$F$10,Utslippsfaktorer!$AQ$44:$AW$72,J$160,0)/D142)/1000,0),0)</f>
        <v>0</v>
      </c>
      <c r="K175" s="226"/>
      <c r="L175" s="226"/>
      <c r="M175" s="111"/>
      <c r="N175" s="111"/>
      <c r="O175" s="111"/>
      <c r="P175" s="229">
        <f>IFERROR(IF('Nøkkelinfo og veiledning'!$F$13&gt;1,R226*(VLOOKUP('Nøkkelinfo og veiledning'!$F$10,Utslippsfaktorer!$AQ$44:$AW$72,P$160,0)/D142)/1000,0),0)</f>
        <v>0</v>
      </c>
      <c r="Q175" s="226"/>
      <c r="R175" s="226"/>
      <c r="S175" s="111"/>
      <c r="T175" s="111"/>
      <c r="U175" s="111"/>
      <c r="V175" s="229">
        <f>IFERROR(IF('Nøkkelinfo og veiledning'!$F$13&gt;1,X226*(VLOOKUP('Nøkkelinfo og veiledning'!$F$10,Utslippsfaktorer!$AQ$44:$AW$72,V$160,0)/D142)/1000,0),0)</f>
        <v>0</v>
      </c>
      <c r="W175" s="226"/>
      <c r="X175" s="226"/>
      <c r="Y175" s="111"/>
      <c r="Z175" s="111"/>
      <c r="AA175" s="227"/>
      <c r="AB175" s="227"/>
      <c r="AC175" s="227"/>
      <c r="AD175" s="227"/>
      <c r="AE175" s="227"/>
      <c r="AF175" s="227"/>
    </row>
    <row r="176" spans="3:32">
      <c r="C176" s="224"/>
      <c r="D176" s="226"/>
      <c r="E176" s="226"/>
      <c r="F176" s="226"/>
      <c r="G176" s="111"/>
      <c r="H176" s="111"/>
      <c r="I176" s="111"/>
      <c r="J176" s="226"/>
      <c r="K176" s="226"/>
      <c r="L176" s="226"/>
      <c r="M176" s="111"/>
      <c r="N176" s="111"/>
      <c r="O176" s="111"/>
      <c r="P176" s="226"/>
      <c r="Q176" s="226"/>
      <c r="R176" s="226"/>
      <c r="S176" s="111"/>
      <c r="T176" s="111"/>
      <c r="U176" s="111"/>
      <c r="V176" s="226"/>
      <c r="W176" s="226"/>
      <c r="X176" s="226"/>
      <c r="Y176" s="111"/>
      <c r="Z176" s="111"/>
      <c r="AA176" s="227"/>
      <c r="AB176" s="227"/>
      <c r="AC176" s="227"/>
      <c r="AD176" s="227"/>
      <c r="AE176" s="227"/>
      <c r="AF176" s="227"/>
    </row>
    <row r="177" spans="3:32"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227"/>
      <c r="AB177" s="227"/>
      <c r="AC177" s="227"/>
      <c r="AD177" s="227"/>
      <c r="AE177" s="227"/>
      <c r="AF177" s="227"/>
    </row>
    <row r="178" spans="3:32">
      <c r="C178" s="111"/>
      <c r="D178" s="230" t="s">
        <v>394</v>
      </c>
      <c r="E178" s="230"/>
      <c r="F178" s="230"/>
      <c r="G178" s="230"/>
      <c r="H178" s="111"/>
      <c r="I178" s="111"/>
      <c r="J178" s="230" t="s">
        <v>394</v>
      </c>
      <c r="K178" s="230"/>
      <c r="L178" s="230"/>
      <c r="M178" s="230"/>
      <c r="N178" s="111"/>
      <c r="O178" s="111"/>
      <c r="P178" s="230" t="s">
        <v>394</v>
      </c>
      <c r="Q178" s="230"/>
      <c r="R178" s="230"/>
      <c r="S178" s="230"/>
      <c r="T178" s="111"/>
      <c r="U178" s="111"/>
      <c r="V178" s="230" t="s">
        <v>394</v>
      </c>
      <c r="W178" s="230"/>
      <c r="X178" s="230"/>
      <c r="Y178" s="230"/>
      <c r="Z178" s="111"/>
      <c r="AA178" s="227"/>
      <c r="AB178" s="227"/>
      <c r="AC178" s="227"/>
      <c r="AD178" s="227"/>
      <c r="AE178" s="227"/>
      <c r="AF178" s="227"/>
    </row>
    <row r="179" spans="3:32">
      <c r="C179" s="111"/>
      <c r="D179" s="230" t="s">
        <v>196</v>
      </c>
      <c r="E179" s="230"/>
      <c r="F179" s="230" t="s">
        <v>197</v>
      </c>
      <c r="G179" s="230"/>
      <c r="H179" s="111"/>
      <c r="I179" s="111"/>
      <c r="J179" s="230" t="s">
        <v>196</v>
      </c>
      <c r="K179" s="230"/>
      <c r="L179" s="230" t="s">
        <v>197</v>
      </c>
      <c r="M179" s="230"/>
      <c r="N179" s="111"/>
      <c r="O179" s="111"/>
      <c r="P179" s="230" t="s">
        <v>196</v>
      </c>
      <c r="Q179" s="230"/>
      <c r="R179" s="230" t="s">
        <v>197</v>
      </c>
      <c r="S179" s="230"/>
      <c r="T179" s="111"/>
      <c r="U179" s="111"/>
      <c r="V179" s="230" t="s">
        <v>196</v>
      </c>
      <c r="W179" s="230"/>
      <c r="X179" s="230" t="s">
        <v>197</v>
      </c>
      <c r="Y179" s="230"/>
      <c r="Z179" s="111"/>
      <c r="AA179" s="227"/>
      <c r="AB179" s="227"/>
      <c r="AC179" s="227"/>
      <c r="AD179" s="227"/>
      <c r="AE179" s="227"/>
      <c r="AF179" s="227"/>
    </row>
    <row r="180" spans="3:32">
      <c r="C180" s="111"/>
      <c r="D180" s="231" t="s">
        <v>0</v>
      </c>
      <c r="E180" s="231" t="s">
        <v>5</v>
      </c>
      <c r="F180" s="231" t="s">
        <v>0</v>
      </c>
      <c r="G180" s="231" t="s">
        <v>5</v>
      </c>
      <c r="H180" s="111"/>
      <c r="I180" s="111"/>
      <c r="J180" s="231" t="s">
        <v>0</v>
      </c>
      <c r="K180" s="231" t="s">
        <v>5</v>
      </c>
      <c r="L180" s="231" t="s">
        <v>0</v>
      </c>
      <c r="M180" s="231" t="s">
        <v>5</v>
      </c>
      <c r="N180" s="111"/>
      <c r="O180" s="111"/>
      <c r="P180" s="231" t="s">
        <v>0</v>
      </c>
      <c r="Q180" s="231" t="s">
        <v>5</v>
      </c>
      <c r="R180" s="231" t="s">
        <v>0</v>
      </c>
      <c r="S180" s="231" t="s">
        <v>5</v>
      </c>
      <c r="T180" s="111"/>
      <c r="U180" s="111"/>
      <c r="V180" s="231" t="s">
        <v>0</v>
      </c>
      <c r="W180" s="231" t="s">
        <v>5</v>
      </c>
      <c r="X180" s="231" t="s">
        <v>0</v>
      </c>
      <c r="Y180" s="231" t="s">
        <v>5</v>
      </c>
      <c r="Z180" s="111"/>
      <c r="AA180" s="227"/>
      <c r="AB180" s="227"/>
      <c r="AC180" s="227"/>
      <c r="AD180" s="227"/>
      <c r="AE180" s="227"/>
      <c r="AF180" s="227"/>
    </row>
    <row r="181" spans="3:32">
      <c r="C181" s="224" t="s">
        <v>212</v>
      </c>
      <c r="D181" s="111" t="e">
        <f>SUM(D146:H149)</f>
        <v>#N/A</v>
      </c>
      <c r="E181" s="111">
        <f>H61</f>
        <v>0</v>
      </c>
      <c r="F181" s="111" t="e">
        <f>SUM(D162:D165)</f>
        <v>#N/A</v>
      </c>
      <c r="G181" s="111">
        <f t="shared" ref="G181:G193" si="23">H80</f>
        <v>0</v>
      </c>
      <c r="H181" s="111"/>
      <c r="I181" s="111"/>
      <c r="J181" s="111" t="e">
        <f>SUM(J146:N149)</f>
        <v>#N/A</v>
      </c>
      <c r="K181" s="111">
        <f t="shared" ref="K181:K193" si="24">N61</f>
        <v>0</v>
      </c>
      <c r="L181" s="111">
        <f>SUM(J162:J165)</f>
        <v>0</v>
      </c>
      <c r="M181" s="111">
        <f>N80</f>
        <v>0</v>
      </c>
      <c r="N181" s="111"/>
      <c r="O181" s="111"/>
      <c r="P181" s="111" t="e">
        <f>SUM(P146:T149)</f>
        <v>#N/A</v>
      </c>
      <c r="Q181" s="111">
        <f t="shared" ref="Q181:Q193" si="25">T61</f>
        <v>0</v>
      </c>
      <c r="R181" s="111">
        <f>SUM(P162:P165)</f>
        <v>0</v>
      </c>
      <c r="S181" s="111">
        <f t="shared" ref="S181:S193" si="26">T80</f>
        <v>0</v>
      </c>
      <c r="T181" s="111"/>
      <c r="U181" s="111"/>
      <c r="V181" s="111" t="e">
        <f>SUM(V146:Z149)</f>
        <v>#N/A</v>
      </c>
      <c r="W181" s="111">
        <f t="shared" ref="W181:W193" si="27">Z61</f>
        <v>0</v>
      </c>
      <c r="X181" s="111">
        <f>SUM(V162:V165)</f>
        <v>0</v>
      </c>
      <c r="Y181" s="111">
        <f t="shared" ref="Y181:Y193" si="28">Z80</f>
        <v>0</v>
      </c>
      <c r="Z181" s="111"/>
      <c r="AA181" s="227"/>
      <c r="AB181" s="227"/>
      <c r="AC181" s="227"/>
      <c r="AD181" s="227"/>
      <c r="AE181" s="227"/>
      <c r="AF181" s="227"/>
    </row>
    <row r="182" spans="3:32">
      <c r="C182" s="224" t="s">
        <v>13</v>
      </c>
      <c r="D182" s="111" t="e">
        <f>SUM(D150:H150)</f>
        <v>#N/A</v>
      </c>
      <c r="E182" s="111">
        <f t="shared" ref="E182:E193" si="29">H62</f>
        <v>0</v>
      </c>
      <c r="F182" s="111" t="e">
        <f>D166</f>
        <v>#N/A</v>
      </c>
      <c r="G182" s="111">
        <f t="shared" si="23"/>
        <v>0</v>
      </c>
      <c r="H182" s="111"/>
      <c r="I182" s="111"/>
      <c r="J182" s="111" t="e">
        <f>SUM(J150:N150)</f>
        <v>#N/A</v>
      </c>
      <c r="K182" s="111">
        <f t="shared" si="24"/>
        <v>0</v>
      </c>
      <c r="L182" s="111">
        <f>J166</f>
        <v>0</v>
      </c>
      <c r="M182" s="111">
        <f t="shared" ref="M182:M193" si="30">N81</f>
        <v>0</v>
      </c>
      <c r="N182" s="111"/>
      <c r="O182" s="111"/>
      <c r="P182" s="111" t="e">
        <f>SUM(P150:T150)</f>
        <v>#N/A</v>
      </c>
      <c r="Q182" s="111">
        <f t="shared" si="25"/>
        <v>0</v>
      </c>
      <c r="R182" s="111">
        <f>P166</f>
        <v>0</v>
      </c>
      <c r="S182" s="111">
        <f t="shared" si="26"/>
        <v>0</v>
      </c>
      <c r="T182" s="111"/>
      <c r="U182" s="111"/>
      <c r="V182" s="111" t="e">
        <f>SUM(V150:Z150)</f>
        <v>#N/A</v>
      </c>
      <c r="W182" s="111">
        <f t="shared" si="27"/>
        <v>0</v>
      </c>
      <c r="X182" s="111">
        <f>V166</f>
        <v>0</v>
      </c>
      <c r="Y182" s="111">
        <f t="shared" si="28"/>
        <v>0</v>
      </c>
      <c r="Z182" s="111"/>
      <c r="AA182" s="227"/>
      <c r="AB182" s="227"/>
      <c r="AC182" s="227"/>
      <c r="AD182" s="227"/>
      <c r="AE182" s="227"/>
      <c r="AF182" s="227"/>
    </row>
    <row r="183" spans="3:32">
      <c r="C183" s="224" t="s">
        <v>144</v>
      </c>
      <c r="D183" s="111">
        <f>IF(H63="",0,SUM(D151:H151))</f>
        <v>0</v>
      </c>
      <c r="E183" s="111">
        <f t="shared" si="29"/>
        <v>0</v>
      </c>
      <c r="F183" s="111">
        <f>IF(H82="",0,D167)</f>
        <v>0</v>
      </c>
      <c r="G183" s="111">
        <f t="shared" si="23"/>
        <v>0</v>
      </c>
      <c r="H183" s="111"/>
      <c r="I183" s="111"/>
      <c r="J183" s="111">
        <f>IF(N63="",0,SUM(J151:N151))</f>
        <v>0</v>
      </c>
      <c r="K183" s="111">
        <f t="shared" si="24"/>
        <v>0</v>
      </c>
      <c r="L183" s="111">
        <f>IF(N82="",0,J167)</f>
        <v>0</v>
      </c>
      <c r="M183" s="111">
        <f t="shared" si="30"/>
        <v>0</v>
      </c>
      <c r="N183" s="111"/>
      <c r="O183" s="111"/>
      <c r="P183" s="111">
        <f>IF(T63="",0,SUM(P151:T151))</f>
        <v>0</v>
      </c>
      <c r="Q183" s="111">
        <f t="shared" si="25"/>
        <v>0</v>
      </c>
      <c r="R183" s="111">
        <f>IF(T82="",0,P167)</f>
        <v>0</v>
      </c>
      <c r="S183" s="111">
        <f t="shared" si="26"/>
        <v>0</v>
      </c>
      <c r="T183" s="111"/>
      <c r="U183" s="111"/>
      <c r="V183" s="111">
        <f>IF(Z63="",0,SUM(V151:Z151))</f>
        <v>0</v>
      </c>
      <c r="W183" s="111">
        <f t="shared" si="27"/>
        <v>0</v>
      </c>
      <c r="X183" s="111">
        <f>IF(Z82="",0,V167)</f>
        <v>0</v>
      </c>
      <c r="Y183" s="111">
        <f t="shared" si="28"/>
        <v>0</v>
      </c>
      <c r="Z183" s="111"/>
      <c r="AA183" s="227"/>
      <c r="AB183" s="227"/>
      <c r="AC183" s="227"/>
      <c r="AD183" s="227"/>
      <c r="AE183" s="227"/>
      <c r="AF183" s="227"/>
    </row>
    <row r="184" spans="3:32">
      <c r="C184" s="224" t="s">
        <v>14</v>
      </c>
      <c r="D184" s="111">
        <f>IF(H64="",0,SUM(D151:H151))</f>
        <v>0</v>
      </c>
      <c r="E184" s="111">
        <f t="shared" si="29"/>
        <v>0</v>
      </c>
      <c r="F184" s="111">
        <f>IF(H83="",0,D167)</f>
        <v>0</v>
      </c>
      <c r="G184" s="111">
        <f t="shared" si="23"/>
        <v>0</v>
      </c>
      <c r="H184" s="111"/>
      <c r="I184" s="111"/>
      <c r="J184" s="111">
        <f>IF(N64="",0,SUM(J151:N151))</f>
        <v>0</v>
      </c>
      <c r="K184" s="111">
        <f t="shared" si="24"/>
        <v>0</v>
      </c>
      <c r="L184" s="111">
        <f>IF(N83="",0,J167)</f>
        <v>0</v>
      </c>
      <c r="M184" s="111">
        <f t="shared" si="30"/>
        <v>0</v>
      </c>
      <c r="N184" s="111"/>
      <c r="O184" s="111"/>
      <c r="P184" s="111">
        <f>IF(T64="",0,SUM(P151:T151))</f>
        <v>0</v>
      </c>
      <c r="Q184" s="111">
        <f t="shared" si="25"/>
        <v>0</v>
      </c>
      <c r="R184" s="111">
        <f>IF(T83="",0,P167)</f>
        <v>0</v>
      </c>
      <c r="S184" s="111">
        <f t="shared" si="26"/>
        <v>0</v>
      </c>
      <c r="T184" s="111"/>
      <c r="U184" s="111"/>
      <c r="V184" s="111">
        <f>IF(Z64="",0,SUM(V151:Z151))</f>
        <v>0</v>
      </c>
      <c r="W184" s="111">
        <f t="shared" si="27"/>
        <v>0</v>
      </c>
      <c r="X184" s="111">
        <f>IF(Z83="",0,V167)</f>
        <v>0</v>
      </c>
      <c r="Y184" s="111">
        <f t="shared" si="28"/>
        <v>0</v>
      </c>
      <c r="Z184" s="111"/>
      <c r="AA184" s="227"/>
      <c r="AB184" s="227"/>
      <c r="AC184" s="227"/>
      <c r="AD184" s="227"/>
      <c r="AE184" s="227"/>
      <c r="AF184" s="227"/>
    </row>
    <row r="185" spans="3:32">
      <c r="C185" s="224" t="s">
        <v>15</v>
      </c>
      <c r="D185" s="111" t="e">
        <f>SUM(D152:H152)</f>
        <v>#N/A</v>
      </c>
      <c r="E185" s="111">
        <f t="shared" si="29"/>
        <v>0</v>
      </c>
      <c r="F185" s="111" t="e">
        <f>D168</f>
        <v>#N/A</v>
      </c>
      <c r="G185" s="111">
        <f t="shared" si="23"/>
        <v>0</v>
      </c>
      <c r="H185" s="111"/>
      <c r="I185" s="111"/>
      <c r="J185" s="111" t="e">
        <f>SUM(J152:N152)</f>
        <v>#N/A</v>
      </c>
      <c r="K185" s="111">
        <f>N65</f>
        <v>0</v>
      </c>
      <c r="L185" s="111">
        <f>J168</f>
        <v>0</v>
      </c>
      <c r="M185" s="111">
        <f t="shared" si="30"/>
        <v>0</v>
      </c>
      <c r="N185" s="111"/>
      <c r="O185" s="111"/>
      <c r="P185" s="111" t="e">
        <f>SUM(P152:T152)</f>
        <v>#N/A</v>
      </c>
      <c r="Q185" s="111">
        <f t="shared" si="25"/>
        <v>0</v>
      </c>
      <c r="R185" s="111">
        <f>P168</f>
        <v>0</v>
      </c>
      <c r="S185" s="111">
        <f t="shared" si="26"/>
        <v>0</v>
      </c>
      <c r="T185" s="111"/>
      <c r="U185" s="111"/>
      <c r="V185" s="111" t="e">
        <f>SUM(V152:Z152)</f>
        <v>#N/A</v>
      </c>
      <c r="W185" s="111">
        <f t="shared" si="27"/>
        <v>0</v>
      </c>
      <c r="X185" s="111">
        <f>V168</f>
        <v>0</v>
      </c>
      <c r="Y185" s="111">
        <f t="shared" si="28"/>
        <v>0</v>
      </c>
      <c r="Z185" s="111"/>
      <c r="AA185" s="227"/>
      <c r="AB185" s="227"/>
      <c r="AC185" s="227"/>
      <c r="AD185" s="227"/>
      <c r="AE185" s="227"/>
      <c r="AF185" s="227"/>
    </row>
    <row r="186" spans="3:32">
      <c r="C186" s="224" t="s">
        <v>16</v>
      </c>
      <c r="D186" s="111" t="e">
        <f t="shared" ref="D186:D190" si="31">SUM(D153:H153)</f>
        <v>#N/A</v>
      </c>
      <c r="E186" s="111">
        <f t="shared" si="29"/>
        <v>0</v>
      </c>
      <c r="F186" s="111" t="e">
        <f t="shared" ref="F186:F190" si="32">D169</f>
        <v>#N/A</v>
      </c>
      <c r="G186" s="111">
        <f t="shared" si="23"/>
        <v>0</v>
      </c>
      <c r="H186" s="111"/>
      <c r="I186" s="111"/>
      <c r="J186" s="111" t="e">
        <f t="shared" ref="J186:J190" si="33">SUM(J153:N153)</f>
        <v>#N/A</v>
      </c>
      <c r="K186" s="111">
        <f t="shared" si="24"/>
        <v>0</v>
      </c>
      <c r="L186" s="111">
        <f>J169</f>
        <v>0</v>
      </c>
      <c r="M186" s="111">
        <f t="shared" si="30"/>
        <v>0</v>
      </c>
      <c r="N186" s="111"/>
      <c r="O186" s="111"/>
      <c r="P186" s="111" t="e">
        <f t="shared" ref="P186:P190" si="34">SUM(P153:T153)</f>
        <v>#N/A</v>
      </c>
      <c r="Q186" s="111">
        <f t="shared" si="25"/>
        <v>0</v>
      </c>
      <c r="R186" s="111">
        <f t="shared" ref="R186:R190" si="35">P169</f>
        <v>0</v>
      </c>
      <c r="S186" s="111">
        <f t="shared" si="26"/>
        <v>0</v>
      </c>
      <c r="T186" s="111"/>
      <c r="U186" s="111"/>
      <c r="V186" s="111" t="e">
        <f t="shared" ref="V186:V190" si="36">SUM(V153:Z153)</f>
        <v>#N/A</v>
      </c>
      <c r="W186" s="111">
        <f t="shared" si="27"/>
        <v>0</v>
      </c>
      <c r="X186" s="111">
        <f t="shared" ref="X186:X189" si="37">V169</f>
        <v>0</v>
      </c>
      <c r="Y186" s="111">
        <f t="shared" si="28"/>
        <v>0</v>
      </c>
      <c r="Z186" s="111"/>
      <c r="AA186" s="227"/>
      <c r="AB186" s="227"/>
      <c r="AC186" s="227"/>
      <c r="AD186" s="227"/>
      <c r="AE186" s="227"/>
      <c r="AF186" s="227"/>
    </row>
    <row r="187" spans="3:32">
      <c r="C187" s="224" t="s">
        <v>17</v>
      </c>
      <c r="D187" s="111" t="e">
        <f t="shared" si="31"/>
        <v>#N/A</v>
      </c>
      <c r="E187" s="111">
        <f t="shared" si="29"/>
        <v>0</v>
      </c>
      <c r="F187" s="111" t="e">
        <f t="shared" si="32"/>
        <v>#N/A</v>
      </c>
      <c r="G187" s="111">
        <f t="shared" si="23"/>
        <v>0</v>
      </c>
      <c r="H187" s="111"/>
      <c r="I187" s="111"/>
      <c r="J187" s="111" t="e">
        <f t="shared" si="33"/>
        <v>#N/A</v>
      </c>
      <c r="K187" s="111">
        <f t="shared" si="24"/>
        <v>0</v>
      </c>
      <c r="L187" s="111">
        <f t="shared" ref="L187:L190" si="38">J170</f>
        <v>0</v>
      </c>
      <c r="M187" s="111">
        <f t="shared" si="30"/>
        <v>0</v>
      </c>
      <c r="N187" s="111"/>
      <c r="O187" s="111"/>
      <c r="P187" s="111" t="e">
        <f t="shared" si="34"/>
        <v>#N/A</v>
      </c>
      <c r="Q187" s="111">
        <f t="shared" si="25"/>
        <v>0</v>
      </c>
      <c r="R187" s="111">
        <f t="shared" si="35"/>
        <v>0</v>
      </c>
      <c r="S187" s="111">
        <f t="shared" si="26"/>
        <v>0</v>
      </c>
      <c r="T187" s="111"/>
      <c r="U187" s="111"/>
      <c r="V187" s="111" t="e">
        <f t="shared" si="36"/>
        <v>#N/A</v>
      </c>
      <c r="W187" s="111">
        <f t="shared" si="27"/>
        <v>0</v>
      </c>
      <c r="X187" s="111">
        <f t="shared" si="37"/>
        <v>0</v>
      </c>
      <c r="Y187" s="111">
        <f t="shared" si="28"/>
        <v>0</v>
      </c>
      <c r="Z187" s="111"/>
      <c r="AA187" s="227"/>
      <c r="AB187" s="227"/>
      <c r="AC187" s="227"/>
      <c r="AD187" s="227"/>
      <c r="AE187" s="227"/>
      <c r="AF187" s="227"/>
    </row>
    <row r="188" spans="3:32">
      <c r="C188" s="224" t="s">
        <v>18</v>
      </c>
      <c r="D188" s="111" t="e">
        <f t="shared" si="31"/>
        <v>#N/A</v>
      </c>
      <c r="E188" s="111">
        <f t="shared" si="29"/>
        <v>0</v>
      </c>
      <c r="F188" s="111" t="e">
        <f t="shared" si="32"/>
        <v>#N/A</v>
      </c>
      <c r="G188" s="111">
        <f t="shared" si="23"/>
        <v>0</v>
      </c>
      <c r="H188" s="111"/>
      <c r="I188" s="111"/>
      <c r="J188" s="111" t="e">
        <f t="shared" si="33"/>
        <v>#N/A</v>
      </c>
      <c r="K188" s="111">
        <f t="shared" si="24"/>
        <v>0</v>
      </c>
      <c r="L188" s="111">
        <f t="shared" si="38"/>
        <v>0</v>
      </c>
      <c r="M188" s="111">
        <f t="shared" si="30"/>
        <v>0</v>
      </c>
      <c r="N188" s="111"/>
      <c r="O188" s="111"/>
      <c r="P188" s="111" t="e">
        <f t="shared" si="34"/>
        <v>#N/A</v>
      </c>
      <c r="Q188" s="111">
        <f t="shared" si="25"/>
        <v>0</v>
      </c>
      <c r="R188" s="111">
        <f t="shared" si="35"/>
        <v>0</v>
      </c>
      <c r="S188" s="111">
        <f t="shared" si="26"/>
        <v>0</v>
      </c>
      <c r="T188" s="111"/>
      <c r="U188" s="111"/>
      <c r="V188" s="111" t="e">
        <f t="shared" si="36"/>
        <v>#N/A</v>
      </c>
      <c r="W188" s="111">
        <f t="shared" si="27"/>
        <v>0</v>
      </c>
      <c r="X188" s="111">
        <f t="shared" si="37"/>
        <v>0</v>
      </c>
      <c r="Y188" s="111">
        <f t="shared" si="28"/>
        <v>0</v>
      </c>
      <c r="Z188" s="111"/>
      <c r="AA188" s="227"/>
      <c r="AB188" s="227"/>
      <c r="AC188" s="227"/>
      <c r="AD188" s="227"/>
      <c r="AE188" s="227"/>
      <c r="AF188" s="227"/>
    </row>
    <row r="189" spans="3:32">
      <c r="C189" s="224" t="s">
        <v>19</v>
      </c>
      <c r="D189" s="111" t="e">
        <f t="shared" si="31"/>
        <v>#N/A</v>
      </c>
      <c r="E189" s="111">
        <f t="shared" si="29"/>
        <v>0</v>
      </c>
      <c r="F189" s="111" t="e">
        <f t="shared" si="32"/>
        <v>#N/A</v>
      </c>
      <c r="G189" s="111">
        <f t="shared" si="23"/>
        <v>0</v>
      </c>
      <c r="H189" s="111"/>
      <c r="I189" s="111"/>
      <c r="J189" s="111" t="e">
        <f t="shared" si="33"/>
        <v>#N/A</v>
      </c>
      <c r="K189" s="111">
        <f t="shared" si="24"/>
        <v>0</v>
      </c>
      <c r="L189" s="111">
        <f t="shared" si="38"/>
        <v>0</v>
      </c>
      <c r="M189" s="111">
        <f t="shared" si="30"/>
        <v>0</v>
      </c>
      <c r="N189" s="111"/>
      <c r="O189" s="111"/>
      <c r="P189" s="111" t="e">
        <f t="shared" si="34"/>
        <v>#N/A</v>
      </c>
      <c r="Q189" s="111">
        <f t="shared" si="25"/>
        <v>0</v>
      </c>
      <c r="R189" s="111">
        <f t="shared" si="35"/>
        <v>0</v>
      </c>
      <c r="S189" s="111">
        <f t="shared" si="26"/>
        <v>0</v>
      </c>
      <c r="T189" s="111"/>
      <c r="U189" s="111"/>
      <c r="V189" s="111" t="e">
        <f t="shared" si="36"/>
        <v>#N/A</v>
      </c>
      <c r="W189" s="111">
        <f t="shared" si="27"/>
        <v>0</v>
      </c>
      <c r="X189" s="111">
        <f t="shared" si="37"/>
        <v>0</v>
      </c>
      <c r="Y189" s="111">
        <f t="shared" si="28"/>
        <v>0</v>
      </c>
      <c r="Z189" s="111"/>
      <c r="AA189" s="227"/>
      <c r="AB189" s="227"/>
      <c r="AC189" s="227"/>
      <c r="AD189" s="227"/>
      <c r="AE189" s="227"/>
      <c r="AF189" s="227"/>
    </row>
    <row r="190" spans="3:32">
      <c r="C190" s="224" t="s">
        <v>20</v>
      </c>
      <c r="D190" s="111" t="e">
        <f t="shared" si="31"/>
        <v>#N/A</v>
      </c>
      <c r="E190" s="111">
        <f t="shared" si="29"/>
        <v>0</v>
      </c>
      <c r="F190" s="111" t="e">
        <f t="shared" si="32"/>
        <v>#N/A</v>
      </c>
      <c r="G190" s="111">
        <f t="shared" si="23"/>
        <v>0</v>
      </c>
      <c r="H190" s="111"/>
      <c r="I190" s="111"/>
      <c r="J190" s="111" t="e">
        <f t="shared" si="33"/>
        <v>#N/A</v>
      </c>
      <c r="K190" s="111">
        <f t="shared" si="24"/>
        <v>0</v>
      </c>
      <c r="L190" s="111">
        <f t="shared" si="38"/>
        <v>0</v>
      </c>
      <c r="M190" s="111">
        <f t="shared" si="30"/>
        <v>0</v>
      </c>
      <c r="N190" s="111"/>
      <c r="O190" s="111"/>
      <c r="P190" s="111" t="e">
        <f t="shared" si="34"/>
        <v>#N/A</v>
      </c>
      <c r="Q190" s="111">
        <f t="shared" si="25"/>
        <v>0</v>
      </c>
      <c r="R190" s="111">
        <f t="shared" si="35"/>
        <v>0</v>
      </c>
      <c r="S190" s="111">
        <f t="shared" si="26"/>
        <v>0</v>
      </c>
      <c r="T190" s="111"/>
      <c r="U190" s="111"/>
      <c r="V190" s="111" t="e">
        <f t="shared" si="36"/>
        <v>#N/A</v>
      </c>
      <c r="W190" s="111">
        <f t="shared" si="27"/>
        <v>0</v>
      </c>
      <c r="X190" s="111">
        <f>V173</f>
        <v>0</v>
      </c>
      <c r="Y190" s="111">
        <f t="shared" si="28"/>
        <v>0</v>
      </c>
      <c r="Z190" s="111"/>
      <c r="AA190" s="227"/>
      <c r="AB190" s="227"/>
      <c r="AC190" s="227"/>
      <c r="AD190" s="227"/>
      <c r="AE190" s="227"/>
      <c r="AF190" s="227"/>
    </row>
    <row r="191" spans="3:32">
      <c r="C191" s="224" t="s">
        <v>21</v>
      </c>
      <c r="D191" s="111">
        <f>IF(H71="",0,SUM(D158:H158))</f>
        <v>0</v>
      </c>
      <c r="E191" s="111">
        <f t="shared" si="29"/>
        <v>0</v>
      </c>
      <c r="F191" s="111">
        <f>IF(H90="",0,D174)</f>
        <v>0</v>
      </c>
      <c r="G191" s="111">
        <f t="shared" si="23"/>
        <v>0</v>
      </c>
      <c r="H191" s="111"/>
      <c r="I191" s="111"/>
      <c r="J191" s="111">
        <f>IF(N71="",0,SUM(J158:N158))</f>
        <v>0</v>
      </c>
      <c r="K191" s="111">
        <f t="shared" si="24"/>
        <v>0</v>
      </c>
      <c r="L191" s="111">
        <f>IF(N90="",0,J174)</f>
        <v>0</v>
      </c>
      <c r="M191" s="111">
        <f t="shared" si="30"/>
        <v>0</v>
      </c>
      <c r="N191" s="111"/>
      <c r="O191" s="111"/>
      <c r="P191" s="111">
        <f>IF(T71="",0,SUM(P158:T158))</f>
        <v>0</v>
      </c>
      <c r="Q191" s="111">
        <f t="shared" si="25"/>
        <v>0</v>
      </c>
      <c r="R191" s="111">
        <f>IF(T90="",0,P174)</f>
        <v>0</v>
      </c>
      <c r="S191" s="111">
        <f t="shared" si="26"/>
        <v>0</v>
      </c>
      <c r="T191" s="111"/>
      <c r="U191" s="111"/>
      <c r="V191" s="111">
        <f>IF(Z71="",0,SUM(V158:Z158))</f>
        <v>0</v>
      </c>
      <c r="W191" s="111">
        <f t="shared" si="27"/>
        <v>0</v>
      </c>
      <c r="X191" s="111">
        <f>IF(Z90="",0,V174)</f>
        <v>0</v>
      </c>
      <c r="Y191" s="111">
        <f t="shared" si="28"/>
        <v>0</v>
      </c>
      <c r="Z191" s="111"/>
      <c r="AA191" s="227"/>
      <c r="AB191" s="227"/>
      <c r="AC191" s="227"/>
      <c r="AD191" s="227"/>
      <c r="AE191" s="227"/>
      <c r="AF191" s="227"/>
    </row>
    <row r="192" spans="3:32">
      <c r="C192" s="224" t="s">
        <v>22</v>
      </c>
      <c r="D192" s="111">
        <f>IF(H72="",0,SUM(D158:H158))</f>
        <v>0</v>
      </c>
      <c r="E192" s="111">
        <f t="shared" si="29"/>
        <v>0</v>
      </c>
      <c r="F192" s="111">
        <f>IF(H91="",0,D174)</f>
        <v>0</v>
      </c>
      <c r="G192" s="111">
        <f t="shared" si="23"/>
        <v>0</v>
      </c>
      <c r="H192" s="111"/>
      <c r="I192" s="111"/>
      <c r="J192" s="111">
        <f>IF(N72="",0,SUM(J158:N158))</f>
        <v>0</v>
      </c>
      <c r="K192" s="111">
        <f t="shared" si="24"/>
        <v>0</v>
      </c>
      <c r="L192" s="111">
        <f>IF(N91="",0,J174)</f>
        <v>0</v>
      </c>
      <c r="M192" s="111">
        <f t="shared" si="30"/>
        <v>0</v>
      </c>
      <c r="N192" s="111"/>
      <c r="O192" s="111"/>
      <c r="P192" s="111">
        <f>IF(T72="",0,SUM(P158:T158))</f>
        <v>0</v>
      </c>
      <c r="Q192" s="111">
        <f t="shared" si="25"/>
        <v>0</v>
      </c>
      <c r="R192" s="111">
        <f>IF(T91="",0,P174)</f>
        <v>0</v>
      </c>
      <c r="S192" s="111">
        <f t="shared" si="26"/>
        <v>0</v>
      </c>
      <c r="T192" s="111"/>
      <c r="U192" s="111"/>
      <c r="V192" s="111">
        <f>IF(Z72="",0,SUM(V158:Z158))</f>
        <v>0</v>
      </c>
      <c r="W192" s="111">
        <f t="shared" si="27"/>
        <v>0</v>
      </c>
      <c r="X192" s="111">
        <f>IF(Z91="",0,V174)</f>
        <v>0</v>
      </c>
      <c r="Y192" s="111">
        <f t="shared" si="28"/>
        <v>0</v>
      </c>
      <c r="Z192" s="111"/>
      <c r="AA192" s="227"/>
      <c r="AB192" s="227"/>
      <c r="AC192" s="227"/>
      <c r="AD192" s="227"/>
      <c r="AE192" s="227"/>
      <c r="AF192" s="227"/>
    </row>
    <row r="193" spans="3:32">
      <c r="C193" s="224" t="s">
        <v>23</v>
      </c>
      <c r="D193" s="111" t="e">
        <f>SUM(D159:H159)</f>
        <v>#N/A</v>
      </c>
      <c r="E193" s="111">
        <f t="shared" si="29"/>
        <v>0</v>
      </c>
      <c r="F193" s="111" t="e">
        <f>D175</f>
        <v>#N/A</v>
      </c>
      <c r="G193" s="111">
        <f t="shared" si="23"/>
        <v>0</v>
      </c>
      <c r="H193" s="111"/>
      <c r="I193" s="111"/>
      <c r="J193" s="111" t="e">
        <f>SUM(J159:N159)</f>
        <v>#N/A</v>
      </c>
      <c r="K193" s="111">
        <f t="shared" si="24"/>
        <v>0</v>
      </c>
      <c r="L193" s="111">
        <f>J175</f>
        <v>0</v>
      </c>
      <c r="M193" s="111">
        <f t="shared" si="30"/>
        <v>0</v>
      </c>
      <c r="N193" s="111"/>
      <c r="O193" s="111"/>
      <c r="P193" s="111" t="e">
        <f>SUM(P159:T159)</f>
        <v>#N/A</v>
      </c>
      <c r="Q193" s="111">
        <f t="shared" si="25"/>
        <v>0</v>
      </c>
      <c r="R193" s="111">
        <f>P175</f>
        <v>0</v>
      </c>
      <c r="S193" s="111">
        <f t="shared" si="26"/>
        <v>0</v>
      </c>
      <c r="T193" s="111"/>
      <c r="U193" s="111"/>
      <c r="V193" s="111" t="e">
        <f>SUM(V159:Z159)</f>
        <v>#N/A</v>
      </c>
      <c r="W193" s="111">
        <f t="shared" si="27"/>
        <v>0</v>
      </c>
      <c r="X193" s="111">
        <f>V175</f>
        <v>0</v>
      </c>
      <c r="Y193" s="111">
        <f t="shared" si="28"/>
        <v>0</v>
      </c>
      <c r="Z193" s="111"/>
      <c r="AA193" s="227"/>
      <c r="AB193" s="227"/>
      <c r="AC193" s="227"/>
      <c r="AD193" s="227"/>
      <c r="AE193" s="227"/>
      <c r="AF193" s="227"/>
    </row>
    <row r="194" spans="3:32">
      <c r="C194" s="224" t="s">
        <v>7</v>
      </c>
      <c r="D194" s="111" t="e">
        <f>SUM(D181:D193)</f>
        <v>#N/A</v>
      </c>
      <c r="E194" s="111">
        <f>SUM(E181:E193)</f>
        <v>0</v>
      </c>
      <c r="F194" s="111" t="e">
        <f>SUM(F181:F193)</f>
        <v>#N/A</v>
      </c>
      <c r="G194" s="111">
        <f>SUM(G181:G193)</f>
        <v>0</v>
      </c>
      <c r="H194" s="111"/>
      <c r="I194" s="111"/>
      <c r="J194" s="111" t="e">
        <f>SUM(J181:J193)</f>
        <v>#N/A</v>
      </c>
      <c r="K194" s="111">
        <f>SUM(K181:K193)</f>
        <v>0</v>
      </c>
      <c r="L194" s="111">
        <f>SUM(L181:L193)</f>
        <v>0</v>
      </c>
      <c r="M194" s="111">
        <f>SUM(M181:M193)</f>
        <v>0</v>
      </c>
      <c r="N194" s="111"/>
      <c r="O194" s="111"/>
      <c r="P194" s="111" t="e">
        <f>SUM(P181:P193)</f>
        <v>#N/A</v>
      </c>
      <c r="Q194" s="111">
        <f>SUM(Q181:Q193)</f>
        <v>0</v>
      </c>
      <c r="R194" s="111">
        <f>SUM(R181:R193)</f>
        <v>0</v>
      </c>
      <c r="S194" s="111">
        <f>SUM(S181:S193)</f>
        <v>0</v>
      </c>
      <c r="T194" s="111"/>
      <c r="U194" s="111"/>
      <c r="V194" s="111" t="e">
        <f>SUM(V181:V193)</f>
        <v>#N/A</v>
      </c>
      <c r="W194" s="111">
        <f>SUM(W181:W193)</f>
        <v>0</v>
      </c>
      <c r="X194" s="111">
        <f>SUM(X181:X193)</f>
        <v>0</v>
      </c>
      <c r="Y194" s="111">
        <f>SUM(Y181:Y193)</f>
        <v>0</v>
      </c>
      <c r="Z194" s="111"/>
      <c r="AA194" s="227"/>
      <c r="AB194" s="227"/>
      <c r="AC194" s="227"/>
      <c r="AD194" s="227"/>
      <c r="AE194" s="227"/>
      <c r="AF194" s="227"/>
    </row>
    <row r="195" spans="3:32"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1"/>
      <c r="AA195" s="227"/>
      <c r="AB195" s="227"/>
      <c r="AC195" s="227"/>
      <c r="AD195" s="227"/>
      <c r="AE195" s="227"/>
      <c r="AF195" s="227"/>
    </row>
    <row r="196" spans="3:32"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1"/>
      <c r="AA196" s="227"/>
      <c r="AB196" s="227"/>
      <c r="AC196" s="227"/>
      <c r="AD196" s="227"/>
      <c r="AE196" s="227"/>
      <c r="AF196" s="227"/>
    </row>
    <row r="197" spans="3:32" ht="25.5">
      <c r="C197" s="163"/>
      <c r="D197" s="163" t="s">
        <v>140</v>
      </c>
      <c r="E197" s="163" t="s">
        <v>134</v>
      </c>
      <c r="F197" s="163" t="s">
        <v>138</v>
      </c>
      <c r="G197" s="111"/>
      <c r="H197" s="111"/>
      <c r="I197" s="111"/>
      <c r="J197" s="163" t="s">
        <v>140</v>
      </c>
      <c r="K197" s="163" t="s">
        <v>134</v>
      </c>
      <c r="L197" s="163" t="s">
        <v>138</v>
      </c>
      <c r="M197" s="111"/>
      <c r="N197" s="111"/>
      <c r="O197" s="111"/>
      <c r="P197" s="163" t="s">
        <v>140</v>
      </c>
      <c r="Q197" s="163" t="s">
        <v>134</v>
      </c>
      <c r="R197" s="163" t="s">
        <v>138</v>
      </c>
      <c r="S197" s="111"/>
      <c r="T197" s="111"/>
      <c r="U197" s="111"/>
      <c r="V197" s="163" t="s">
        <v>140</v>
      </c>
      <c r="W197" s="163" t="s">
        <v>134</v>
      </c>
      <c r="X197" s="163" t="s">
        <v>138</v>
      </c>
      <c r="Y197" s="111"/>
      <c r="Z197" s="111"/>
      <c r="AA197" s="227"/>
      <c r="AB197" s="227"/>
      <c r="AC197" s="227"/>
      <c r="AD197" s="227"/>
      <c r="AE197" s="227"/>
      <c r="AF197" s="227"/>
    </row>
    <row r="198" spans="3:32">
      <c r="C198" s="224" t="s">
        <v>36</v>
      </c>
      <c r="D198" s="111">
        <f>IF(I25=0,0,D50*$E235)</f>
        <v>0</v>
      </c>
      <c r="E198" s="111">
        <f>MAXA($D198,$J198,$P198,$V198)</f>
        <v>0</v>
      </c>
      <c r="F198" s="111">
        <f>E198-D198</f>
        <v>0</v>
      </c>
      <c r="G198" s="111"/>
      <c r="H198" s="111"/>
      <c r="I198" s="111"/>
      <c r="J198" s="111">
        <f>IF(O25=0,0,J50*$E235)</f>
        <v>0</v>
      </c>
      <c r="K198" s="111">
        <f>E198</f>
        <v>0</v>
      </c>
      <c r="L198" s="111">
        <f>K198-J198</f>
        <v>0</v>
      </c>
      <c r="M198" s="111"/>
      <c r="N198" s="111"/>
      <c r="O198" s="111"/>
      <c r="P198" s="111">
        <f>IF(U25=0,0,P50*$E235)</f>
        <v>0</v>
      </c>
      <c r="Q198" s="111">
        <f>E198</f>
        <v>0</v>
      </c>
      <c r="R198" s="111">
        <f>Q198-P198</f>
        <v>0</v>
      </c>
      <c r="S198" s="111"/>
      <c r="T198" s="111"/>
      <c r="U198" s="111"/>
      <c r="V198" s="111">
        <f>IF(AA25=0,0,V50*$E235)</f>
        <v>0</v>
      </c>
      <c r="W198" s="111">
        <f>E198</f>
        <v>0</v>
      </c>
      <c r="X198" s="111">
        <f>W198-V198</f>
        <v>0</v>
      </c>
      <c r="Y198" s="111"/>
      <c r="Z198" s="111"/>
      <c r="AA198" s="227"/>
      <c r="AB198" s="227"/>
      <c r="AC198" s="227"/>
      <c r="AD198" s="227"/>
      <c r="AE198" s="227"/>
      <c r="AF198" s="227"/>
    </row>
    <row r="199" spans="3:32">
      <c r="C199" s="224" t="s">
        <v>37</v>
      </c>
      <c r="D199" s="111">
        <f t="shared" ref="D199:D201" si="39">IF(I26=0,0,D51*$E236)</f>
        <v>0</v>
      </c>
      <c r="E199" s="111">
        <f>MAXA($D199,$J199,$P199,$V199)</f>
        <v>0</v>
      </c>
      <c r="F199" s="111">
        <f>E199-D199</f>
        <v>0</v>
      </c>
      <c r="G199" s="111"/>
      <c r="H199" s="111"/>
      <c r="I199" s="111"/>
      <c r="J199" s="111">
        <f t="shared" ref="J199:J200" si="40">IF(O26=0,0,J51*$E236)</f>
        <v>0</v>
      </c>
      <c r="K199" s="111">
        <f t="shared" ref="K199:K202" si="41">E199</f>
        <v>0</v>
      </c>
      <c r="L199" s="111">
        <f>K199-J199</f>
        <v>0</v>
      </c>
      <c r="M199" s="111"/>
      <c r="N199" s="111"/>
      <c r="O199" s="111"/>
      <c r="P199" s="111">
        <f t="shared" ref="P199:P200" si="42">IF(U26=0,0,P51*$E236)</f>
        <v>0</v>
      </c>
      <c r="Q199" s="111">
        <f t="shared" ref="Q199:Q202" si="43">E199</f>
        <v>0</v>
      </c>
      <c r="R199" s="111">
        <f>Q199-P199</f>
        <v>0</v>
      </c>
      <c r="S199" s="111"/>
      <c r="T199" s="111"/>
      <c r="U199" s="111"/>
      <c r="V199" s="111">
        <f t="shared" ref="V199:V200" si="44">IF(AA26=0,0,V51*$E236)</f>
        <v>0</v>
      </c>
      <c r="W199" s="111">
        <f t="shared" ref="W199:W202" si="45">E199</f>
        <v>0</v>
      </c>
      <c r="X199" s="111">
        <f>W199-V199</f>
        <v>0</v>
      </c>
      <c r="Y199" s="111"/>
      <c r="Z199" s="111"/>
      <c r="AA199" s="227"/>
      <c r="AB199" s="227"/>
      <c r="AC199" s="227"/>
      <c r="AD199" s="227"/>
      <c r="AE199" s="227"/>
      <c r="AF199" s="227"/>
    </row>
    <row r="200" spans="3:32">
      <c r="C200" s="224" t="s">
        <v>139</v>
      </c>
      <c r="D200" s="111">
        <f t="shared" si="39"/>
        <v>0</v>
      </c>
      <c r="E200" s="111">
        <f>MAXA($D200,$J200,$P200,$V200)</f>
        <v>0</v>
      </c>
      <c r="F200" s="111">
        <f>E200-D200</f>
        <v>0</v>
      </c>
      <c r="G200" s="111"/>
      <c r="H200" s="111"/>
      <c r="I200" s="111"/>
      <c r="J200" s="111">
        <f t="shared" si="40"/>
        <v>0</v>
      </c>
      <c r="K200" s="111">
        <f t="shared" si="41"/>
        <v>0</v>
      </c>
      <c r="L200" s="111">
        <f>K200-J200</f>
        <v>0</v>
      </c>
      <c r="M200" s="111"/>
      <c r="N200" s="111"/>
      <c r="O200" s="111"/>
      <c r="P200" s="111">
        <f t="shared" si="42"/>
        <v>0</v>
      </c>
      <c r="Q200" s="111">
        <f t="shared" si="43"/>
        <v>0</v>
      </c>
      <c r="R200" s="111">
        <f>Q200-P200</f>
        <v>0</v>
      </c>
      <c r="S200" s="111"/>
      <c r="T200" s="111"/>
      <c r="U200" s="111"/>
      <c r="V200" s="111">
        <f t="shared" si="44"/>
        <v>0</v>
      </c>
      <c r="W200" s="111">
        <f t="shared" si="45"/>
        <v>0</v>
      </c>
      <c r="X200" s="111">
        <f>W200-V200</f>
        <v>0</v>
      </c>
      <c r="Y200" s="111"/>
      <c r="Z200" s="111"/>
      <c r="AA200" s="227"/>
      <c r="AB200" s="227"/>
      <c r="AC200" s="227"/>
      <c r="AD200" s="227"/>
      <c r="AE200" s="227"/>
      <c r="AF200" s="227"/>
    </row>
    <row r="201" spans="3:32">
      <c r="C201" s="224" t="s">
        <v>12</v>
      </c>
      <c r="D201" s="111">
        <f t="shared" si="39"/>
        <v>0</v>
      </c>
      <c r="E201" s="111">
        <f>MAXA($D201,$J201,$P201,$V201)</f>
        <v>0</v>
      </c>
      <c r="F201" s="111">
        <f>E201-D201</f>
        <v>0</v>
      </c>
      <c r="G201" s="111"/>
      <c r="H201" s="111"/>
      <c r="I201" s="111"/>
      <c r="J201" s="111">
        <f>IF(O28=0,0,J53*$E238)</f>
        <v>0</v>
      </c>
      <c r="K201" s="111">
        <f t="shared" si="41"/>
        <v>0</v>
      </c>
      <c r="L201" s="111">
        <f>K201-J201</f>
        <v>0</v>
      </c>
      <c r="M201" s="111"/>
      <c r="N201" s="111"/>
      <c r="O201" s="111"/>
      <c r="P201" s="111">
        <f>IF(U28=0,0,P53*$E238)</f>
        <v>0</v>
      </c>
      <c r="Q201" s="111">
        <f t="shared" si="43"/>
        <v>0</v>
      </c>
      <c r="R201" s="111">
        <f>Q201-P201</f>
        <v>0</v>
      </c>
      <c r="S201" s="111"/>
      <c r="T201" s="111"/>
      <c r="U201" s="111"/>
      <c r="V201" s="111">
        <f>IF(AA28=0,0,V53*$E238)</f>
        <v>0</v>
      </c>
      <c r="W201" s="111">
        <f t="shared" si="45"/>
        <v>0</v>
      </c>
      <c r="X201" s="111">
        <f>W201-V201</f>
        <v>0</v>
      </c>
      <c r="Y201" s="111"/>
      <c r="Z201" s="111"/>
      <c r="AA201" s="227"/>
      <c r="AB201" s="227"/>
      <c r="AC201" s="227"/>
      <c r="AD201" s="227"/>
      <c r="AE201" s="227"/>
      <c r="AF201" s="227"/>
    </row>
    <row r="202" spans="3:32">
      <c r="C202" s="224" t="s">
        <v>24</v>
      </c>
      <c r="D202" s="111">
        <f>SUM(D205:D208)</f>
        <v>0</v>
      </c>
      <c r="E202" s="111">
        <f>MAXA($D202,$J202,$P202,$V202)</f>
        <v>0</v>
      </c>
      <c r="F202" s="111">
        <f>E202-D202</f>
        <v>0</v>
      </c>
      <c r="G202" s="111"/>
      <c r="H202" s="111"/>
      <c r="I202" s="111"/>
      <c r="J202" s="111">
        <f>SUM(J205:J208)</f>
        <v>0</v>
      </c>
      <c r="K202" s="111">
        <f t="shared" si="41"/>
        <v>0</v>
      </c>
      <c r="L202" s="111">
        <f>K202-J202</f>
        <v>0</v>
      </c>
      <c r="M202" s="111"/>
      <c r="N202" s="111"/>
      <c r="O202" s="111"/>
      <c r="P202" s="111">
        <f>SUM(P205:P208)</f>
        <v>0</v>
      </c>
      <c r="Q202" s="111">
        <f t="shared" si="43"/>
        <v>0</v>
      </c>
      <c r="R202" s="111">
        <f>Q202-P202</f>
        <v>0</v>
      </c>
      <c r="S202" s="111"/>
      <c r="T202" s="111"/>
      <c r="U202" s="111"/>
      <c r="V202" s="111">
        <f>SUM(V205:V208)</f>
        <v>0</v>
      </c>
      <c r="W202" s="111">
        <f t="shared" si="45"/>
        <v>0</v>
      </c>
      <c r="X202" s="111">
        <f>W202-V202</f>
        <v>0</v>
      </c>
      <c r="Y202" s="111"/>
      <c r="Z202" s="111"/>
      <c r="AA202" s="227"/>
      <c r="AB202" s="227"/>
      <c r="AC202" s="227"/>
      <c r="AD202" s="227"/>
      <c r="AE202" s="227"/>
      <c r="AF202" s="227"/>
    </row>
    <row r="203" spans="3:32"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1"/>
      <c r="AA203" s="227"/>
      <c r="AB203" s="227"/>
      <c r="AC203" s="227"/>
      <c r="AD203" s="227"/>
      <c r="AE203" s="227"/>
      <c r="AF203" s="227"/>
    </row>
    <row r="204" spans="3:32">
      <c r="C204" s="111"/>
      <c r="D204" s="111" t="s">
        <v>141</v>
      </c>
      <c r="E204" s="111"/>
      <c r="F204" s="111"/>
      <c r="G204" s="111"/>
      <c r="H204" s="111"/>
      <c r="I204" s="111"/>
      <c r="J204" s="111" t="s">
        <v>141</v>
      </c>
      <c r="K204" s="111"/>
      <c r="L204" s="111"/>
      <c r="M204" s="111"/>
      <c r="N204" s="111"/>
      <c r="O204" s="111"/>
      <c r="P204" s="111" t="s">
        <v>141</v>
      </c>
      <c r="Q204" s="111"/>
      <c r="R204" s="111"/>
      <c r="S204" s="111"/>
      <c r="T204" s="111"/>
      <c r="U204" s="111"/>
      <c r="V204" s="111" t="s">
        <v>141</v>
      </c>
      <c r="W204" s="111"/>
      <c r="X204" s="111"/>
      <c r="Y204" s="111"/>
      <c r="Z204" s="111"/>
      <c r="AA204" s="227"/>
      <c r="AB204" s="227"/>
      <c r="AC204" s="227"/>
      <c r="AD204" s="227"/>
      <c r="AE204" s="227"/>
      <c r="AF204" s="227"/>
    </row>
    <row r="205" spans="3:32">
      <c r="C205" s="232" t="s">
        <v>31</v>
      </c>
      <c r="D205" s="111">
        <f>IFERROR(D30/D45,0)</f>
        <v>0</v>
      </c>
      <c r="E205" s="111"/>
      <c r="F205" s="111"/>
      <c r="G205" s="111"/>
      <c r="H205" s="111"/>
      <c r="I205" s="111"/>
      <c r="J205" s="111">
        <f>IFERROR(J30/J45,0)</f>
        <v>0</v>
      </c>
      <c r="K205" s="111"/>
      <c r="L205" s="111"/>
      <c r="M205" s="111"/>
      <c r="N205" s="111"/>
      <c r="O205" s="111"/>
      <c r="P205" s="111">
        <f>IFERROR(P30/P45,0)</f>
        <v>0</v>
      </c>
      <c r="Q205" s="111"/>
      <c r="R205" s="111"/>
      <c r="S205" s="111"/>
      <c r="T205" s="111"/>
      <c r="U205" s="111"/>
      <c r="V205" s="111">
        <f>IFERROR(V30/V45,0)</f>
        <v>0</v>
      </c>
      <c r="W205" s="111"/>
      <c r="X205" s="111"/>
      <c r="Y205" s="111"/>
      <c r="Z205" s="111"/>
      <c r="AA205" s="227"/>
      <c r="AB205" s="227"/>
      <c r="AC205" s="227"/>
      <c r="AD205" s="227"/>
      <c r="AE205" s="227"/>
      <c r="AF205" s="227"/>
    </row>
    <row r="206" spans="3:32">
      <c r="C206" s="232" t="s">
        <v>27</v>
      </c>
      <c r="D206" s="111">
        <f>IFERROR(F30/E45,0)</f>
        <v>0</v>
      </c>
      <c r="E206" s="111"/>
      <c r="F206" s="111"/>
      <c r="G206" s="111"/>
      <c r="H206" s="111"/>
      <c r="I206" s="111"/>
      <c r="J206" s="111">
        <f>IFERROR(L30/K45,0)</f>
        <v>0</v>
      </c>
      <c r="K206" s="111"/>
      <c r="L206" s="111"/>
      <c r="M206" s="111"/>
      <c r="N206" s="111"/>
      <c r="O206" s="111"/>
      <c r="P206" s="111">
        <f>IFERROR(R30/Q45,0)</f>
        <v>0</v>
      </c>
      <c r="Q206" s="111"/>
      <c r="R206" s="111"/>
      <c r="S206" s="111"/>
      <c r="T206" s="111"/>
      <c r="U206" s="111"/>
      <c r="V206" s="111">
        <f>IFERROR(X30/W45,0)</f>
        <v>0</v>
      </c>
      <c r="W206" s="111"/>
      <c r="X206" s="111"/>
      <c r="Y206" s="111"/>
      <c r="Z206" s="111"/>
      <c r="AA206" s="227"/>
      <c r="AB206" s="227"/>
      <c r="AC206" s="227"/>
      <c r="AD206" s="227"/>
      <c r="AE206" s="227"/>
      <c r="AF206" s="227"/>
    </row>
    <row r="207" spans="3:32">
      <c r="C207" s="232" t="s">
        <v>28</v>
      </c>
      <c r="D207" s="111">
        <f>IFERROR(G30/F45,0)</f>
        <v>0</v>
      </c>
      <c r="E207" s="111"/>
      <c r="F207" s="111"/>
      <c r="G207" s="111"/>
      <c r="H207" s="111"/>
      <c r="I207" s="111"/>
      <c r="J207" s="111">
        <f>IFERROR(M30/L45,0)</f>
        <v>0</v>
      </c>
      <c r="K207" s="111"/>
      <c r="L207" s="111"/>
      <c r="M207" s="111"/>
      <c r="N207" s="111"/>
      <c r="O207" s="111"/>
      <c r="P207" s="111">
        <f>IFERROR(S30/R45,0)</f>
        <v>0</v>
      </c>
      <c r="Q207" s="111"/>
      <c r="R207" s="111"/>
      <c r="S207" s="111"/>
      <c r="T207" s="111"/>
      <c r="U207" s="111"/>
      <c r="V207" s="111">
        <f>IFERROR(Y30/X45,0)</f>
        <v>0</v>
      </c>
      <c r="W207" s="111"/>
      <c r="X207" s="111"/>
      <c r="Y207" s="111"/>
      <c r="Z207" s="111"/>
      <c r="AA207" s="227"/>
      <c r="AB207" s="227"/>
      <c r="AC207" s="227"/>
      <c r="AD207" s="227"/>
      <c r="AE207" s="227"/>
      <c r="AF207" s="227"/>
    </row>
    <row r="208" spans="3:32">
      <c r="C208" s="232" t="s">
        <v>25</v>
      </c>
      <c r="D208" s="111">
        <f>IFERROR(H30/G45,0)</f>
        <v>0</v>
      </c>
      <c r="E208" s="111"/>
      <c r="F208" s="111"/>
      <c r="G208" s="111"/>
      <c r="H208" s="111"/>
      <c r="I208" s="111"/>
      <c r="J208" s="111">
        <f>IFERROR(N30/M45,0)</f>
        <v>0</v>
      </c>
      <c r="K208" s="111"/>
      <c r="L208" s="111"/>
      <c r="M208" s="111"/>
      <c r="N208" s="111"/>
      <c r="O208" s="111"/>
      <c r="P208" s="111">
        <f>IFERROR(T30/S45,0)</f>
        <v>0</v>
      </c>
      <c r="Q208" s="111"/>
      <c r="R208" s="111"/>
      <c r="S208" s="111"/>
      <c r="T208" s="111"/>
      <c r="U208" s="111"/>
      <c r="V208" s="111">
        <f>IFERROR(Z30/Y45,0)</f>
        <v>0</v>
      </c>
      <c r="W208" s="111"/>
      <c r="X208" s="111"/>
      <c r="Y208" s="111"/>
      <c r="Z208" s="111"/>
      <c r="AA208" s="227"/>
      <c r="AB208" s="227"/>
      <c r="AC208" s="227"/>
      <c r="AD208" s="227"/>
      <c r="AE208" s="227"/>
      <c r="AF208" s="227"/>
    </row>
    <row r="209" spans="2:32"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1"/>
      <c r="AA209" s="227"/>
      <c r="AB209" s="227"/>
      <c r="AC209" s="227"/>
      <c r="AD209" s="227"/>
      <c r="AE209" s="227"/>
      <c r="AF209" s="227"/>
    </row>
    <row r="210" spans="2:32" ht="51">
      <c r="C210" s="111"/>
      <c r="D210" s="233" t="s">
        <v>130</v>
      </c>
      <c r="E210" s="233" t="s">
        <v>136</v>
      </c>
      <c r="F210" s="233" t="s">
        <v>137</v>
      </c>
      <c r="G210" s="233" t="s">
        <v>132</v>
      </c>
      <c r="H210" s="233" t="s">
        <v>135</v>
      </c>
      <c r="I210" s="111"/>
      <c r="J210" s="233" t="s">
        <v>130</v>
      </c>
      <c r="K210" s="233" t="s">
        <v>136</v>
      </c>
      <c r="L210" s="233" t="s">
        <v>137</v>
      </c>
      <c r="M210" s="233" t="s">
        <v>132</v>
      </c>
      <c r="N210" s="233" t="s">
        <v>135</v>
      </c>
      <c r="O210" s="111"/>
      <c r="P210" s="233" t="s">
        <v>130</v>
      </c>
      <c r="Q210" s="233" t="s">
        <v>136</v>
      </c>
      <c r="R210" s="233" t="s">
        <v>137</v>
      </c>
      <c r="S210" s="233" t="s">
        <v>132</v>
      </c>
      <c r="T210" s="233" t="s">
        <v>135</v>
      </c>
      <c r="U210" s="111"/>
      <c r="V210" s="233" t="s">
        <v>130</v>
      </c>
      <c r="W210" s="233" t="s">
        <v>136</v>
      </c>
      <c r="X210" s="233" t="s">
        <v>137</v>
      </c>
      <c r="Y210" s="233" t="s">
        <v>132</v>
      </c>
      <c r="Z210" s="233" t="s">
        <v>135</v>
      </c>
      <c r="AA210" s="227"/>
      <c r="AB210" s="227"/>
      <c r="AC210" s="227"/>
      <c r="AD210" s="227"/>
      <c r="AE210" s="227"/>
      <c r="AF210" s="227"/>
    </row>
    <row r="211" spans="2:32">
      <c r="B211" s="16">
        <v>2</v>
      </c>
      <c r="C211" s="224" t="s">
        <v>36</v>
      </c>
      <c r="D211" s="234" t="e">
        <f>HLOOKUP('Nøkkelinfo og veiledning'!$F$11,Boligutbygging!$J$26:$O$30,$B211,0)</f>
        <v>#N/A</v>
      </c>
      <c r="E211" s="111" t="e">
        <f>SUM(F$198:F$201)*D211</f>
        <v>#N/A</v>
      </c>
      <c r="F211" s="111" t="e">
        <f>E211/$E$235</f>
        <v>#N/A</v>
      </c>
      <c r="G211" s="235" t="e">
        <f>HLOOKUP('Nøkkelinfo og veiledning'!$F$11,Boligutbygging!$J$33:$O$37,$B211,0)</f>
        <v>#N/A</v>
      </c>
      <c r="H211" s="111">
        <f>IFERROR(F211*G211/$H$233,0)</f>
        <v>0</v>
      </c>
      <c r="I211" s="111"/>
      <c r="J211" s="234" t="e">
        <f>HLOOKUP('Nøkkelinfo og veiledning'!$F$11,Boligutbygging!$J$26:$O$30,$B211,0)</f>
        <v>#N/A</v>
      </c>
      <c r="K211" s="111" t="e">
        <f>SUM(L$198:L$201)*J211</f>
        <v>#N/A</v>
      </c>
      <c r="L211" s="111" t="e">
        <f>K211/$E$235</f>
        <v>#N/A</v>
      </c>
      <c r="M211" s="235" t="e">
        <f>HLOOKUP('Nøkkelinfo og veiledning'!$F$11,Boligutbygging!$J$33:$O$37,$B211,0)</f>
        <v>#N/A</v>
      </c>
      <c r="N211" s="111">
        <f>IFERROR(L211*M211/$H$233,0)</f>
        <v>0</v>
      </c>
      <c r="O211" s="111"/>
      <c r="P211" s="234" t="e">
        <f>HLOOKUP('Nøkkelinfo og veiledning'!$F$11,Boligutbygging!$J$26:$O$30,$B211,0)</f>
        <v>#N/A</v>
      </c>
      <c r="Q211" s="111" t="e">
        <f>SUM(R$198:R$201)*P211</f>
        <v>#N/A</v>
      </c>
      <c r="R211" s="111" t="e">
        <f>Q211/$E$235</f>
        <v>#N/A</v>
      </c>
      <c r="S211" s="235" t="e">
        <f>HLOOKUP('Nøkkelinfo og veiledning'!$F$11,Boligutbygging!$J$33:$O$37,$B211,0)</f>
        <v>#N/A</v>
      </c>
      <c r="T211" s="111">
        <f>IFERROR(R211*S211/$H$233,0)</f>
        <v>0</v>
      </c>
      <c r="U211" s="111"/>
      <c r="V211" s="234" t="e">
        <f>HLOOKUP('Nøkkelinfo og veiledning'!$F$11,Boligutbygging!$J$26:$O$30,$B211,0)</f>
        <v>#N/A</v>
      </c>
      <c r="W211" s="111" t="e">
        <f>SUM(X$198:X$201)*V211</f>
        <v>#N/A</v>
      </c>
      <c r="X211" s="111" t="e">
        <f>W211/$E$235</f>
        <v>#N/A</v>
      </c>
      <c r="Y211" s="235" t="e">
        <f>HLOOKUP('Nøkkelinfo og veiledning'!$F$11,Boligutbygging!$J$33:$O$37,$B211,0)</f>
        <v>#N/A</v>
      </c>
      <c r="Z211" s="111">
        <f>IFERROR(X211*Y211/$H$233,0)</f>
        <v>0</v>
      </c>
      <c r="AA211" s="227"/>
      <c r="AB211" s="227"/>
      <c r="AC211" s="227"/>
      <c r="AD211" s="227"/>
      <c r="AE211" s="227"/>
      <c r="AF211" s="227"/>
    </row>
    <row r="212" spans="2:32">
      <c r="B212" s="16">
        <v>3</v>
      </c>
      <c r="C212" s="224" t="s">
        <v>37</v>
      </c>
      <c r="D212" s="234" t="e">
        <f>HLOOKUP('Nøkkelinfo og veiledning'!$F$11,Boligutbygging!$J$26:$O$30,$B212,0)</f>
        <v>#N/A</v>
      </c>
      <c r="E212" s="111" t="e">
        <f t="shared" ref="E212:E214" si="46">SUM(F$198:F$201)*D212</f>
        <v>#N/A</v>
      </c>
      <c r="F212" s="111" t="e">
        <f>E212/$E$236</f>
        <v>#N/A</v>
      </c>
      <c r="G212" s="235" t="e">
        <f>HLOOKUP('Nøkkelinfo og veiledning'!$F$11,Boligutbygging!$J$33:$O$37,$B212,0)</f>
        <v>#N/A</v>
      </c>
      <c r="H212" s="111">
        <f t="shared" ref="H212:H214" si="47">IFERROR(F212*G212/$H$233,0)</f>
        <v>0</v>
      </c>
      <c r="I212" s="111"/>
      <c r="J212" s="234" t="e">
        <f>HLOOKUP('Nøkkelinfo og veiledning'!$F$11,Boligutbygging!$J$26:$O$30,$B212,0)</f>
        <v>#N/A</v>
      </c>
      <c r="K212" s="111" t="e">
        <f t="shared" ref="K212:K214" si="48">SUM(L$198:L$201)*J212</f>
        <v>#N/A</v>
      </c>
      <c r="L212" s="111" t="e">
        <f>K212/$E$236</f>
        <v>#N/A</v>
      </c>
      <c r="M212" s="235" t="e">
        <f>HLOOKUP('Nøkkelinfo og veiledning'!$F$11,Boligutbygging!$J$33:$O$37,$B212,0)</f>
        <v>#N/A</v>
      </c>
      <c r="N212" s="111">
        <f t="shared" ref="N212:N214" si="49">IFERROR(L212*M212/$H$233,0)</f>
        <v>0</v>
      </c>
      <c r="O212" s="111"/>
      <c r="P212" s="234" t="e">
        <f>HLOOKUP('Nøkkelinfo og veiledning'!$F$11,Boligutbygging!$J$26:$O$30,$B212,0)</f>
        <v>#N/A</v>
      </c>
      <c r="Q212" s="111" t="e">
        <f t="shared" ref="Q212:Q214" si="50">SUM(R$198:R$201)*P212</f>
        <v>#N/A</v>
      </c>
      <c r="R212" s="111" t="e">
        <f>Q212/$E$236</f>
        <v>#N/A</v>
      </c>
      <c r="S212" s="235" t="e">
        <f>HLOOKUP('Nøkkelinfo og veiledning'!$F$11,Boligutbygging!$J$33:$O$37,$B212,0)</f>
        <v>#N/A</v>
      </c>
      <c r="T212" s="111">
        <f t="shared" ref="T212:T214" si="51">IFERROR(R212*S212/$H$233,0)</f>
        <v>0</v>
      </c>
      <c r="U212" s="111"/>
      <c r="V212" s="234" t="e">
        <f>HLOOKUP('Nøkkelinfo og veiledning'!$F$11,Boligutbygging!$J$26:$O$30,$B212,0)</f>
        <v>#N/A</v>
      </c>
      <c r="W212" s="111" t="e">
        <f t="shared" ref="W212:W214" si="52">SUM(X$198:X$201)*V212</f>
        <v>#N/A</v>
      </c>
      <c r="X212" s="111" t="e">
        <f>W212/$E$236</f>
        <v>#N/A</v>
      </c>
      <c r="Y212" s="235" t="e">
        <f>HLOOKUP('Nøkkelinfo og veiledning'!$F$11,Boligutbygging!$J$33:$O$37,$B212,0)</f>
        <v>#N/A</v>
      </c>
      <c r="Z212" s="111">
        <f t="shared" ref="Z212:Z214" si="53">IFERROR(X212*Y212/$H$233,0)</f>
        <v>0</v>
      </c>
      <c r="AA212" s="227"/>
      <c r="AB212" s="227"/>
      <c r="AC212" s="227"/>
      <c r="AD212" s="227"/>
      <c r="AE212" s="227"/>
      <c r="AF212" s="227"/>
    </row>
    <row r="213" spans="2:32">
      <c r="B213" s="16">
        <v>4</v>
      </c>
      <c r="C213" s="224" t="s">
        <v>139</v>
      </c>
      <c r="D213" s="234" t="e">
        <f>HLOOKUP('Nøkkelinfo og veiledning'!$F$11,Boligutbygging!$J$26:$O$30,$B213,0)</f>
        <v>#N/A</v>
      </c>
      <c r="E213" s="111" t="e">
        <f t="shared" si="46"/>
        <v>#N/A</v>
      </c>
      <c r="F213" s="111" t="e">
        <f>E213/$E$237</f>
        <v>#N/A</v>
      </c>
      <c r="G213" s="235" t="e">
        <f>HLOOKUP('Nøkkelinfo og veiledning'!$F$11,Boligutbygging!$J$33:$O$37,$B213,0)</f>
        <v>#N/A</v>
      </c>
      <c r="H213" s="111">
        <f t="shared" si="47"/>
        <v>0</v>
      </c>
      <c r="I213" s="111"/>
      <c r="J213" s="234" t="e">
        <f>HLOOKUP('Nøkkelinfo og veiledning'!$F$11,Boligutbygging!$J$26:$O$30,$B213,0)</f>
        <v>#N/A</v>
      </c>
      <c r="K213" s="111" t="e">
        <f t="shared" si="48"/>
        <v>#N/A</v>
      </c>
      <c r="L213" s="111" t="e">
        <f>K213/$E$237</f>
        <v>#N/A</v>
      </c>
      <c r="M213" s="235" t="e">
        <f>HLOOKUP('Nøkkelinfo og veiledning'!$F$11,Boligutbygging!$J$33:$O$37,$B213,0)</f>
        <v>#N/A</v>
      </c>
      <c r="N213" s="111">
        <f t="shared" si="49"/>
        <v>0</v>
      </c>
      <c r="O213" s="111"/>
      <c r="P213" s="234" t="e">
        <f>HLOOKUP('Nøkkelinfo og veiledning'!$F$11,Boligutbygging!$J$26:$O$30,$B213,0)</f>
        <v>#N/A</v>
      </c>
      <c r="Q213" s="111" t="e">
        <f t="shared" si="50"/>
        <v>#N/A</v>
      </c>
      <c r="R213" s="111" t="e">
        <f>Q213/$E$237</f>
        <v>#N/A</v>
      </c>
      <c r="S213" s="235" t="e">
        <f>HLOOKUP('Nøkkelinfo og veiledning'!$F$11,Boligutbygging!$J$33:$O$37,$B213,0)</f>
        <v>#N/A</v>
      </c>
      <c r="T213" s="111">
        <f t="shared" si="51"/>
        <v>0</v>
      </c>
      <c r="U213" s="111"/>
      <c r="V213" s="234" t="e">
        <f>HLOOKUP('Nøkkelinfo og veiledning'!$F$11,Boligutbygging!$J$26:$O$30,$B213,0)</f>
        <v>#N/A</v>
      </c>
      <c r="W213" s="111" t="e">
        <f t="shared" si="52"/>
        <v>#N/A</v>
      </c>
      <c r="X213" s="111" t="e">
        <f>W213/$E$237</f>
        <v>#N/A</v>
      </c>
      <c r="Y213" s="235" t="e">
        <f>HLOOKUP('Nøkkelinfo og veiledning'!$F$11,Boligutbygging!$J$33:$O$37,$B213,0)</f>
        <v>#N/A</v>
      </c>
      <c r="Z213" s="111">
        <f t="shared" si="53"/>
        <v>0</v>
      </c>
      <c r="AA213" s="227"/>
      <c r="AB213" s="227"/>
      <c r="AC213" s="227"/>
      <c r="AD213" s="227"/>
      <c r="AE213" s="227"/>
      <c r="AF213" s="227"/>
    </row>
    <row r="214" spans="2:32">
      <c r="B214" s="16">
        <v>5</v>
      </c>
      <c r="C214" s="224" t="s">
        <v>12</v>
      </c>
      <c r="D214" s="234" t="e">
        <f>HLOOKUP('Nøkkelinfo og veiledning'!$F$11,Boligutbygging!$J$26:$O$30,$B214,0)</f>
        <v>#N/A</v>
      </c>
      <c r="E214" s="111" t="e">
        <f t="shared" si="46"/>
        <v>#N/A</v>
      </c>
      <c r="F214" s="111" t="e">
        <f>E214/$E$238</f>
        <v>#N/A</v>
      </c>
      <c r="G214" s="235" t="e">
        <f>HLOOKUP('Nøkkelinfo og veiledning'!$F$11,Boligutbygging!$J$33:$O$37,$B214,0)</f>
        <v>#N/A</v>
      </c>
      <c r="H214" s="111">
        <f t="shared" si="47"/>
        <v>0</v>
      </c>
      <c r="I214" s="111"/>
      <c r="J214" s="234" t="e">
        <f>HLOOKUP('Nøkkelinfo og veiledning'!$F$11,Boligutbygging!$J$26:$O$30,$B214,0)</f>
        <v>#N/A</v>
      </c>
      <c r="K214" s="111" t="e">
        <f t="shared" si="48"/>
        <v>#N/A</v>
      </c>
      <c r="L214" s="111" t="e">
        <f>K214/$E$238</f>
        <v>#N/A</v>
      </c>
      <c r="M214" s="235" t="e">
        <f>HLOOKUP('Nøkkelinfo og veiledning'!$F$11,Boligutbygging!$J$33:$O$37,$B214,0)</f>
        <v>#N/A</v>
      </c>
      <c r="N214" s="111">
        <f t="shared" si="49"/>
        <v>0</v>
      </c>
      <c r="O214" s="111"/>
      <c r="P214" s="234" t="e">
        <f>HLOOKUP('Nøkkelinfo og veiledning'!$F$11,Boligutbygging!$J$26:$O$30,$B214,0)</f>
        <v>#N/A</v>
      </c>
      <c r="Q214" s="111" t="e">
        <f t="shared" si="50"/>
        <v>#N/A</v>
      </c>
      <c r="R214" s="111" t="e">
        <f>Q214/$E$238</f>
        <v>#N/A</v>
      </c>
      <c r="S214" s="235" t="e">
        <f>HLOOKUP('Nøkkelinfo og veiledning'!$F$11,Boligutbygging!$J$33:$O$37,$B214,0)</f>
        <v>#N/A</v>
      </c>
      <c r="T214" s="111">
        <f t="shared" si="51"/>
        <v>0</v>
      </c>
      <c r="U214" s="111"/>
      <c r="V214" s="234" t="e">
        <f>HLOOKUP('Nøkkelinfo og veiledning'!$F$11,Boligutbygging!$J$26:$O$30,$B214,0)</f>
        <v>#N/A</v>
      </c>
      <c r="W214" s="111" t="e">
        <f t="shared" si="52"/>
        <v>#N/A</v>
      </c>
      <c r="X214" s="111" t="e">
        <f>W214/$E$238</f>
        <v>#N/A</v>
      </c>
      <c r="Y214" s="235" t="e">
        <f>HLOOKUP('Nøkkelinfo og veiledning'!$F$11,Boligutbygging!$J$33:$O$37,$B214,0)</f>
        <v>#N/A</v>
      </c>
      <c r="Z214" s="111">
        <f t="shared" si="53"/>
        <v>0</v>
      </c>
      <c r="AA214" s="227"/>
      <c r="AB214" s="227"/>
      <c r="AC214" s="227"/>
      <c r="AD214" s="227"/>
      <c r="AE214" s="227"/>
      <c r="AF214" s="227"/>
    </row>
    <row r="215" spans="2:32">
      <c r="C215" s="224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1"/>
      <c r="AA215" s="227"/>
      <c r="AB215" s="227"/>
      <c r="AC215" s="227"/>
      <c r="AD215" s="227"/>
      <c r="AE215" s="227"/>
      <c r="AF215" s="227"/>
    </row>
    <row r="216" spans="2:32" ht="25.5">
      <c r="C216" s="224"/>
      <c r="D216" s="233" t="s">
        <v>134</v>
      </c>
      <c r="E216" s="233" t="s">
        <v>128</v>
      </c>
      <c r="F216" s="233" t="s">
        <v>127</v>
      </c>
      <c r="G216" s="111"/>
      <c r="H216" s="111"/>
      <c r="I216" s="111"/>
      <c r="J216" s="233" t="s">
        <v>134</v>
      </c>
      <c r="K216" s="233" t="s">
        <v>128</v>
      </c>
      <c r="L216" s="233" t="s">
        <v>127</v>
      </c>
      <c r="M216" s="111"/>
      <c r="N216" s="111"/>
      <c r="O216" s="111"/>
      <c r="P216" s="233" t="s">
        <v>134</v>
      </c>
      <c r="Q216" s="233" t="s">
        <v>128</v>
      </c>
      <c r="R216" s="233" t="s">
        <v>127</v>
      </c>
      <c r="S216" s="111"/>
      <c r="T216" s="111"/>
      <c r="U216" s="111"/>
      <c r="V216" s="233" t="s">
        <v>134</v>
      </c>
      <c r="W216" s="233" t="s">
        <v>128</v>
      </c>
      <c r="X216" s="233" t="s">
        <v>127</v>
      </c>
      <c r="Y216" s="111"/>
      <c r="Z216" s="111"/>
      <c r="AA216" s="227"/>
      <c r="AB216" s="227"/>
      <c r="AC216" s="227"/>
      <c r="AD216" s="227"/>
      <c r="AE216" s="227"/>
      <c r="AF216" s="227"/>
    </row>
    <row r="217" spans="2:32">
      <c r="C217" s="224" t="s">
        <v>35</v>
      </c>
      <c r="D217" s="111"/>
      <c r="E217" s="111"/>
      <c r="F217" s="111">
        <f>F202*$H$236</f>
        <v>0</v>
      </c>
      <c r="G217" s="111"/>
      <c r="H217" s="111"/>
      <c r="I217" s="111"/>
      <c r="J217" s="111"/>
      <c r="K217" s="111"/>
      <c r="L217" s="111">
        <f>L202*$H$236</f>
        <v>0</v>
      </c>
      <c r="M217" s="111"/>
      <c r="N217" s="111"/>
      <c r="O217" s="111"/>
      <c r="P217" s="111"/>
      <c r="Q217" s="111"/>
      <c r="R217" s="111">
        <f>R202*$H$236</f>
        <v>0</v>
      </c>
      <c r="S217" s="111"/>
      <c r="T217" s="111"/>
      <c r="U217" s="111"/>
      <c r="V217" s="111"/>
      <c r="W217" s="111"/>
      <c r="X217" s="111">
        <f>X202*$H$236</f>
        <v>0</v>
      </c>
      <c r="Y217" s="111"/>
      <c r="Z217" s="111"/>
      <c r="AA217" s="227"/>
      <c r="AB217" s="227"/>
      <c r="AC217" s="227"/>
      <c r="AD217" s="227"/>
      <c r="AE217" s="227"/>
      <c r="AF217" s="227"/>
    </row>
    <row r="218" spans="2:32">
      <c r="C218" s="224" t="s">
        <v>13</v>
      </c>
      <c r="D218" s="111">
        <f>MAXA($I29,$O29,$U29,$AA29)</f>
        <v>0</v>
      </c>
      <c r="E218" s="111">
        <f>I29</f>
        <v>0</v>
      </c>
      <c r="F218" s="111">
        <f>D218-E218</f>
        <v>0</v>
      </c>
      <c r="G218" s="111"/>
      <c r="H218" s="111"/>
      <c r="I218" s="111"/>
      <c r="J218" s="111">
        <f>MAXA($I29,$O29,$U29,$AA29)</f>
        <v>0</v>
      </c>
      <c r="K218" s="111">
        <f>O29</f>
        <v>0</v>
      </c>
      <c r="L218" s="111">
        <f>J218-K218</f>
        <v>0</v>
      </c>
      <c r="M218" s="111"/>
      <c r="N218" s="111"/>
      <c r="O218" s="111"/>
      <c r="P218" s="111">
        <f>MAXA($I29,$O29,$U29,$AA29)</f>
        <v>0</v>
      </c>
      <c r="Q218" s="111">
        <f>U29</f>
        <v>0</v>
      </c>
      <c r="R218" s="111">
        <f>P218-Q218</f>
        <v>0</v>
      </c>
      <c r="S218" s="111"/>
      <c r="T218" s="111"/>
      <c r="U218" s="111"/>
      <c r="V218" s="111">
        <f>MAXA($I29,$O29,$U29,$AA29)</f>
        <v>0</v>
      </c>
      <c r="W218" s="111">
        <f>AA29</f>
        <v>0</v>
      </c>
      <c r="X218" s="111">
        <f>V218-W218</f>
        <v>0</v>
      </c>
      <c r="Y218" s="111"/>
      <c r="Z218" s="111"/>
      <c r="AA218" s="227"/>
      <c r="AB218" s="227"/>
      <c r="AC218" s="227"/>
      <c r="AD218" s="227"/>
      <c r="AE218" s="227"/>
      <c r="AF218" s="227"/>
    </row>
    <row r="219" spans="2:32">
      <c r="C219" s="224" t="s">
        <v>15</v>
      </c>
      <c r="D219" s="111">
        <f t="shared" ref="D219:D226" si="54">MAXA($I31,$O31,$U31,$AA31)</f>
        <v>0</v>
      </c>
      <c r="E219" s="111">
        <f t="shared" ref="E219:E226" si="55">I31</f>
        <v>0</v>
      </c>
      <c r="F219" s="111">
        <f t="shared" ref="F219:F226" si="56">D219-E219</f>
        <v>0</v>
      </c>
      <c r="G219" s="111"/>
      <c r="H219" s="111"/>
      <c r="I219" s="111"/>
      <c r="J219" s="111">
        <f t="shared" ref="J219:J226" si="57">MAXA($I31,$O31,$U31,$AA31)</f>
        <v>0</v>
      </c>
      <c r="K219" s="111">
        <f t="shared" ref="K219:K226" si="58">O31</f>
        <v>0</v>
      </c>
      <c r="L219" s="111">
        <f>J219-K219</f>
        <v>0</v>
      </c>
      <c r="M219" s="111"/>
      <c r="N219" s="111"/>
      <c r="O219" s="111"/>
      <c r="P219" s="111">
        <f t="shared" ref="P219:P226" si="59">MAXA($I31,$O31,$U31,$AA31)</f>
        <v>0</v>
      </c>
      <c r="Q219" s="111">
        <f t="shared" ref="Q219:Q226" si="60">U31</f>
        <v>0</v>
      </c>
      <c r="R219" s="111">
        <f t="shared" ref="R219:R226" si="61">P219-Q219</f>
        <v>0</v>
      </c>
      <c r="S219" s="111"/>
      <c r="T219" s="111"/>
      <c r="U219" s="111"/>
      <c r="V219" s="111">
        <f t="shared" ref="V219:V226" si="62">MAXA($I31,$O31,$U31,$AA31)</f>
        <v>0</v>
      </c>
      <c r="W219" s="111">
        <f t="shared" ref="W219:W226" si="63">AA31</f>
        <v>0</v>
      </c>
      <c r="X219" s="111">
        <f t="shared" ref="X219:X226" si="64">V219-W219</f>
        <v>0</v>
      </c>
      <c r="Y219" s="111"/>
      <c r="Z219" s="111"/>
      <c r="AA219" s="227"/>
      <c r="AB219" s="227"/>
      <c r="AC219" s="227"/>
      <c r="AD219" s="227"/>
      <c r="AE219" s="227"/>
      <c r="AF219" s="227"/>
    </row>
    <row r="220" spans="2:32">
      <c r="C220" s="224" t="s">
        <v>16</v>
      </c>
      <c r="D220" s="111">
        <f t="shared" si="54"/>
        <v>0</v>
      </c>
      <c r="E220" s="111">
        <f t="shared" si="55"/>
        <v>0</v>
      </c>
      <c r="F220" s="111">
        <f t="shared" si="56"/>
        <v>0</v>
      </c>
      <c r="G220" s="111"/>
      <c r="H220" s="111"/>
      <c r="I220" s="111"/>
      <c r="J220" s="111">
        <f t="shared" si="57"/>
        <v>0</v>
      </c>
      <c r="K220" s="111">
        <f t="shared" si="58"/>
        <v>0</v>
      </c>
      <c r="L220" s="111">
        <f t="shared" ref="L220:L226" si="65">J220-K220</f>
        <v>0</v>
      </c>
      <c r="M220" s="111"/>
      <c r="N220" s="111"/>
      <c r="O220" s="111"/>
      <c r="P220" s="111">
        <f t="shared" si="59"/>
        <v>0</v>
      </c>
      <c r="Q220" s="111">
        <f t="shared" si="60"/>
        <v>0</v>
      </c>
      <c r="R220" s="111">
        <f t="shared" si="61"/>
        <v>0</v>
      </c>
      <c r="S220" s="111"/>
      <c r="T220" s="111"/>
      <c r="U220" s="111"/>
      <c r="V220" s="111">
        <f t="shared" si="62"/>
        <v>0</v>
      </c>
      <c r="W220" s="111">
        <f t="shared" si="63"/>
        <v>0</v>
      </c>
      <c r="X220" s="111">
        <f>V220-W220</f>
        <v>0</v>
      </c>
      <c r="Y220" s="111"/>
      <c r="Z220" s="111"/>
      <c r="AA220" s="227"/>
      <c r="AB220" s="227"/>
      <c r="AC220" s="227"/>
      <c r="AD220" s="227"/>
      <c r="AE220" s="227"/>
      <c r="AF220" s="227"/>
    </row>
    <row r="221" spans="2:32">
      <c r="C221" s="224" t="s">
        <v>17</v>
      </c>
      <c r="D221" s="111">
        <f t="shared" si="54"/>
        <v>0</v>
      </c>
      <c r="E221" s="111">
        <f t="shared" si="55"/>
        <v>0</v>
      </c>
      <c r="F221" s="111">
        <f t="shared" si="56"/>
        <v>0</v>
      </c>
      <c r="G221" s="111"/>
      <c r="H221" s="111"/>
      <c r="I221" s="111"/>
      <c r="J221" s="111">
        <f t="shared" si="57"/>
        <v>0</v>
      </c>
      <c r="K221" s="111">
        <f t="shared" si="58"/>
        <v>0</v>
      </c>
      <c r="L221" s="111">
        <f t="shared" si="65"/>
        <v>0</v>
      </c>
      <c r="M221" s="111"/>
      <c r="N221" s="111"/>
      <c r="O221" s="111"/>
      <c r="P221" s="111">
        <f t="shared" si="59"/>
        <v>0</v>
      </c>
      <c r="Q221" s="111">
        <f t="shared" si="60"/>
        <v>0</v>
      </c>
      <c r="R221" s="111">
        <f t="shared" si="61"/>
        <v>0</v>
      </c>
      <c r="S221" s="111"/>
      <c r="T221" s="111"/>
      <c r="U221" s="111"/>
      <c r="V221" s="111">
        <f t="shared" si="62"/>
        <v>0</v>
      </c>
      <c r="W221" s="111">
        <f t="shared" si="63"/>
        <v>0</v>
      </c>
      <c r="X221" s="111">
        <f t="shared" si="64"/>
        <v>0</v>
      </c>
      <c r="Y221" s="111"/>
      <c r="Z221" s="111"/>
      <c r="AA221" s="227"/>
      <c r="AB221" s="227"/>
      <c r="AC221" s="227"/>
      <c r="AD221" s="227"/>
      <c r="AE221" s="227"/>
      <c r="AF221" s="227"/>
    </row>
    <row r="222" spans="2:32">
      <c r="C222" s="224" t="s">
        <v>18</v>
      </c>
      <c r="D222" s="111">
        <f t="shared" si="54"/>
        <v>0</v>
      </c>
      <c r="E222" s="111">
        <f t="shared" si="55"/>
        <v>0</v>
      </c>
      <c r="F222" s="111">
        <f t="shared" si="56"/>
        <v>0</v>
      </c>
      <c r="G222" s="111"/>
      <c r="H222" s="111"/>
      <c r="I222" s="111"/>
      <c r="J222" s="111">
        <f t="shared" si="57"/>
        <v>0</v>
      </c>
      <c r="K222" s="111">
        <f t="shared" si="58"/>
        <v>0</v>
      </c>
      <c r="L222" s="111">
        <f t="shared" si="65"/>
        <v>0</v>
      </c>
      <c r="M222" s="111"/>
      <c r="N222" s="111"/>
      <c r="O222" s="111"/>
      <c r="P222" s="111">
        <f t="shared" si="59"/>
        <v>0</v>
      </c>
      <c r="Q222" s="111">
        <f t="shared" si="60"/>
        <v>0</v>
      </c>
      <c r="R222" s="111">
        <f t="shared" si="61"/>
        <v>0</v>
      </c>
      <c r="S222" s="111"/>
      <c r="T222" s="111"/>
      <c r="U222" s="111"/>
      <c r="V222" s="111">
        <f t="shared" si="62"/>
        <v>0</v>
      </c>
      <c r="W222" s="111">
        <f t="shared" si="63"/>
        <v>0</v>
      </c>
      <c r="X222" s="111">
        <f t="shared" si="64"/>
        <v>0</v>
      </c>
      <c r="Y222" s="111"/>
      <c r="Z222" s="111"/>
      <c r="AA222" s="227"/>
      <c r="AB222" s="227"/>
      <c r="AC222" s="227"/>
      <c r="AD222" s="227"/>
      <c r="AE222" s="227"/>
      <c r="AF222" s="227"/>
    </row>
    <row r="223" spans="2:32">
      <c r="C223" s="224" t="s">
        <v>19</v>
      </c>
      <c r="D223" s="111">
        <f t="shared" si="54"/>
        <v>0</v>
      </c>
      <c r="E223" s="111">
        <f t="shared" si="55"/>
        <v>0</v>
      </c>
      <c r="F223" s="111">
        <f t="shared" si="56"/>
        <v>0</v>
      </c>
      <c r="G223" s="111"/>
      <c r="H223" s="111"/>
      <c r="I223" s="111"/>
      <c r="J223" s="111">
        <f t="shared" si="57"/>
        <v>0</v>
      </c>
      <c r="K223" s="111">
        <f t="shared" si="58"/>
        <v>0</v>
      </c>
      <c r="L223" s="111">
        <f t="shared" si="65"/>
        <v>0</v>
      </c>
      <c r="M223" s="111"/>
      <c r="N223" s="111"/>
      <c r="O223" s="111"/>
      <c r="P223" s="111">
        <f t="shared" si="59"/>
        <v>0</v>
      </c>
      <c r="Q223" s="111">
        <f t="shared" si="60"/>
        <v>0</v>
      </c>
      <c r="R223" s="111">
        <f t="shared" si="61"/>
        <v>0</v>
      </c>
      <c r="S223" s="111"/>
      <c r="T223" s="111"/>
      <c r="U223" s="111"/>
      <c r="V223" s="111">
        <f t="shared" si="62"/>
        <v>0</v>
      </c>
      <c r="W223" s="111">
        <f t="shared" si="63"/>
        <v>0</v>
      </c>
      <c r="X223" s="111">
        <f t="shared" si="64"/>
        <v>0</v>
      </c>
      <c r="Y223" s="111"/>
      <c r="Z223" s="111"/>
      <c r="AA223" s="227"/>
      <c r="AB223" s="227"/>
      <c r="AC223" s="227"/>
      <c r="AD223" s="227"/>
      <c r="AE223" s="227"/>
      <c r="AF223" s="227"/>
    </row>
    <row r="224" spans="2:32">
      <c r="C224" s="224" t="s">
        <v>20</v>
      </c>
      <c r="D224" s="111">
        <f t="shared" si="54"/>
        <v>0</v>
      </c>
      <c r="E224" s="111">
        <f t="shared" si="55"/>
        <v>0</v>
      </c>
      <c r="F224" s="111">
        <f t="shared" si="56"/>
        <v>0</v>
      </c>
      <c r="G224" s="111"/>
      <c r="H224" s="111"/>
      <c r="I224" s="111"/>
      <c r="J224" s="111">
        <f t="shared" si="57"/>
        <v>0</v>
      </c>
      <c r="K224" s="111">
        <f t="shared" si="58"/>
        <v>0</v>
      </c>
      <c r="L224" s="111">
        <f t="shared" si="65"/>
        <v>0</v>
      </c>
      <c r="M224" s="111"/>
      <c r="N224" s="111"/>
      <c r="O224" s="111"/>
      <c r="P224" s="111">
        <f t="shared" si="59"/>
        <v>0</v>
      </c>
      <c r="Q224" s="111">
        <f t="shared" si="60"/>
        <v>0</v>
      </c>
      <c r="R224" s="111">
        <f t="shared" si="61"/>
        <v>0</v>
      </c>
      <c r="S224" s="111"/>
      <c r="T224" s="111"/>
      <c r="U224" s="111"/>
      <c r="V224" s="111">
        <f t="shared" si="62"/>
        <v>0</v>
      </c>
      <c r="W224" s="111">
        <f t="shared" si="63"/>
        <v>0</v>
      </c>
      <c r="X224" s="111">
        <f t="shared" si="64"/>
        <v>0</v>
      </c>
      <c r="Y224" s="111"/>
      <c r="Z224" s="111"/>
      <c r="AA224" s="227"/>
      <c r="AB224" s="227"/>
      <c r="AC224" s="227"/>
      <c r="AD224" s="227"/>
      <c r="AE224" s="227"/>
      <c r="AF224" s="227"/>
    </row>
    <row r="225" spans="3:32">
      <c r="C225" s="224" t="s">
        <v>120</v>
      </c>
      <c r="D225" s="111">
        <f t="shared" si="54"/>
        <v>0</v>
      </c>
      <c r="E225" s="111">
        <f t="shared" si="55"/>
        <v>0</v>
      </c>
      <c r="F225" s="111">
        <f t="shared" si="56"/>
        <v>0</v>
      </c>
      <c r="G225" s="111"/>
      <c r="H225" s="111"/>
      <c r="I225" s="111"/>
      <c r="J225" s="111">
        <f t="shared" si="57"/>
        <v>0</v>
      </c>
      <c r="K225" s="111">
        <f t="shared" si="58"/>
        <v>0</v>
      </c>
      <c r="L225" s="111">
        <f t="shared" si="65"/>
        <v>0</v>
      </c>
      <c r="M225" s="111"/>
      <c r="N225" s="111"/>
      <c r="O225" s="111"/>
      <c r="P225" s="111">
        <f t="shared" si="59"/>
        <v>0</v>
      </c>
      <c r="Q225" s="111">
        <f t="shared" si="60"/>
        <v>0</v>
      </c>
      <c r="R225" s="111">
        <f t="shared" si="61"/>
        <v>0</v>
      </c>
      <c r="S225" s="111"/>
      <c r="T225" s="111"/>
      <c r="U225" s="111"/>
      <c r="V225" s="111">
        <f t="shared" si="62"/>
        <v>0</v>
      </c>
      <c r="W225" s="111">
        <f t="shared" si="63"/>
        <v>0</v>
      </c>
      <c r="X225" s="111">
        <f t="shared" si="64"/>
        <v>0</v>
      </c>
      <c r="Y225" s="111"/>
      <c r="Z225" s="111"/>
      <c r="AA225" s="227"/>
      <c r="AB225" s="227"/>
      <c r="AC225" s="227"/>
      <c r="AD225" s="227"/>
      <c r="AE225" s="227"/>
      <c r="AF225" s="227"/>
    </row>
    <row r="226" spans="3:32">
      <c r="C226" s="224" t="s">
        <v>23</v>
      </c>
      <c r="D226" s="111">
        <f t="shared" si="54"/>
        <v>0</v>
      </c>
      <c r="E226" s="111">
        <f t="shared" si="55"/>
        <v>0</v>
      </c>
      <c r="F226" s="111">
        <f t="shared" si="56"/>
        <v>0</v>
      </c>
      <c r="G226" s="111"/>
      <c r="H226" s="111"/>
      <c r="I226" s="111"/>
      <c r="J226" s="111">
        <f t="shared" si="57"/>
        <v>0</v>
      </c>
      <c r="K226" s="111">
        <f t="shared" si="58"/>
        <v>0</v>
      </c>
      <c r="L226" s="111">
        <f t="shared" si="65"/>
        <v>0</v>
      </c>
      <c r="M226" s="111"/>
      <c r="N226" s="111"/>
      <c r="O226" s="111"/>
      <c r="P226" s="111">
        <f t="shared" si="59"/>
        <v>0</v>
      </c>
      <c r="Q226" s="111">
        <f t="shared" si="60"/>
        <v>0</v>
      </c>
      <c r="R226" s="111">
        <f t="shared" si="61"/>
        <v>0</v>
      </c>
      <c r="S226" s="111"/>
      <c r="T226" s="111"/>
      <c r="U226" s="111"/>
      <c r="V226" s="111">
        <f t="shared" si="62"/>
        <v>0</v>
      </c>
      <c r="W226" s="111">
        <f t="shared" si="63"/>
        <v>0</v>
      </c>
      <c r="X226" s="111">
        <f t="shared" si="64"/>
        <v>0</v>
      </c>
      <c r="Y226" s="111"/>
      <c r="Z226" s="111"/>
      <c r="AA226" s="227"/>
      <c r="AB226" s="227"/>
      <c r="AC226" s="227"/>
      <c r="AD226" s="227"/>
      <c r="AE226" s="227"/>
      <c r="AF226" s="227"/>
    </row>
    <row r="227" spans="3:32"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1"/>
      <c r="AA227" s="227"/>
      <c r="AB227" s="227"/>
      <c r="AC227" s="227"/>
      <c r="AD227" s="227"/>
      <c r="AE227" s="227"/>
      <c r="AF227" s="227"/>
    </row>
    <row r="228" spans="3:32"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1"/>
      <c r="AA228" s="227"/>
      <c r="AB228" s="227"/>
      <c r="AC228" s="227"/>
      <c r="AD228" s="227"/>
      <c r="AE228" s="227"/>
      <c r="AF228" s="227"/>
    </row>
    <row r="229" spans="3:32"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1"/>
      <c r="AA229" s="227"/>
      <c r="AB229" s="227"/>
      <c r="AC229" s="227"/>
      <c r="AD229" s="227"/>
      <c r="AE229" s="227"/>
      <c r="AF229" s="227"/>
    </row>
    <row r="230" spans="3:32"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1"/>
      <c r="AA230" s="227"/>
      <c r="AB230" s="227"/>
      <c r="AC230" s="227"/>
      <c r="AD230" s="227"/>
      <c r="AE230" s="227"/>
      <c r="AF230" s="227"/>
    </row>
    <row r="231" spans="3:32"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1"/>
      <c r="AA231" s="227"/>
      <c r="AB231" s="227"/>
      <c r="AC231" s="227"/>
      <c r="AD231" s="227"/>
      <c r="AE231" s="227"/>
      <c r="AF231" s="227"/>
    </row>
    <row r="232" spans="3:32">
      <c r="C232" s="111"/>
      <c r="D232" s="111"/>
      <c r="E232" s="111"/>
      <c r="F232" s="111"/>
      <c r="G232" s="111"/>
      <c r="H232" s="111"/>
      <c r="I232" s="111"/>
      <c r="J232" s="111"/>
      <c r="K232" s="111" t="s">
        <v>419</v>
      </c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1"/>
      <c r="AA232" s="227"/>
      <c r="AB232" s="227"/>
      <c r="AC232" s="227"/>
      <c r="AD232" s="227"/>
      <c r="AE232" s="227"/>
      <c r="AF232" s="227"/>
    </row>
    <row r="233" spans="3:32">
      <c r="C233" s="111"/>
      <c r="D233" s="236" t="s">
        <v>41</v>
      </c>
      <c r="E233" s="111"/>
      <c r="F233" s="111"/>
      <c r="G233" s="111" t="s">
        <v>133</v>
      </c>
      <c r="H233" s="111">
        <v>0.9</v>
      </c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1"/>
      <c r="AA233" s="227"/>
      <c r="AB233" s="227"/>
      <c r="AC233" s="227"/>
      <c r="AD233" s="227"/>
      <c r="AE233" s="227"/>
      <c r="AF233" s="227"/>
    </row>
    <row r="234" spans="3:32">
      <c r="C234" s="111"/>
      <c r="D234" s="111" t="s">
        <v>39</v>
      </c>
      <c r="E234" s="111" t="s">
        <v>40</v>
      </c>
      <c r="F234" s="111"/>
      <c r="G234" s="111"/>
      <c r="H234" s="111"/>
      <c r="I234" s="111"/>
      <c r="J234" s="111"/>
      <c r="K234" s="111"/>
      <c r="L234" s="230" t="s">
        <v>0</v>
      </c>
      <c r="M234" s="230"/>
      <c r="N234" s="230" t="s">
        <v>5</v>
      </c>
      <c r="O234" s="230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1"/>
      <c r="AA234" s="227"/>
      <c r="AB234" s="227"/>
      <c r="AC234" s="227"/>
      <c r="AD234" s="227"/>
      <c r="AE234" s="227"/>
      <c r="AF234" s="227"/>
    </row>
    <row r="235" spans="3:32">
      <c r="C235" s="111"/>
      <c r="D235" s="111" t="s">
        <v>36</v>
      </c>
      <c r="E235" s="111">
        <v>2.2000000000000002</v>
      </c>
      <c r="F235" s="111"/>
      <c r="G235" s="236" t="s">
        <v>43</v>
      </c>
      <c r="H235" s="111"/>
      <c r="I235" s="111"/>
      <c r="J235" s="111"/>
      <c r="K235" s="111"/>
      <c r="L235" s="111" t="s">
        <v>297</v>
      </c>
      <c r="M235" s="111" t="s">
        <v>202</v>
      </c>
      <c r="N235" s="111" t="s">
        <v>297</v>
      </c>
      <c r="O235" s="111" t="s">
        <v>202</v>
      </c>
      <c r="P235" s="111" t="s">
        <v>301</v>
      </c>
      <c r="Q235" s="111" t="s">
        <v>302</v>
      </c>
      <c r="R235" s="111" t="s">
        <v>303</v>
      </c>
      <c r="S235" s="111"/>
      <c r="T235" s="111"/>
      <c r="U235" s="111"/>
      <c r="V235" s="111"/>
      <c r="W235" s="111"/>
      <c r="X235" s="111"/>
      <c r="Y235" s="111"/>
      <c r="Z235" s="111"/>
      <c r="AA235" s="227"/>
      <c r="AB235" s="227"/>
      <c r="AC235" s="227"/>
      <c r="AD235" s="227"/>
      <c r="AE235" s="227"/>
      <c r="AF235" s="227"/>
    </row>
    <row r="236" spans="3:32">
      <c r="C236" s="111"/>
      <c r="D236" s="111" t="s">
        <v>37</v>
      </c>
      <c r="E236" s="111">
        <v>2.5</v>
      </c>
      <c r="F236" s="111"/>
      <c r="G236" s="111" t="s">
        <v>42</v>
      </c>
      <c r="H236" s="111">
        <v>23</v>
      </c>
      <c r="I236" s="111" t="s">
        <v>11</v>
      </c>
      <c r="J236" s="111"/>
      <c r="K236" s="111" t="s">
        <v>6</v>
      </c>
      <c r="L236" s="111" t="e">
        <f>D194</f>
        <v>#N/A</v>
      </c>
      <c r="M236" s="235" t="e">
        <f>IF('Nøkkelinfo og veiledning'!F13='Nøkkelinfo og veiledning'!E83,0,F194)</f>
        <v>#N/A</v>
      </c>
      <c r="N236" s="111">
        <f>IF('Nøkkelinfo og veiledning'!F13='Nøkkelinfo og veiledning'!E83,0,E194)</f>
        <v>0</v>
      </c>
      <c r="O236" s="111">
        <f>IF('Nøkkelinfo og veiledning'!F13='Nøkkelinfo og veiledning'!E83,0,G194)</f>
        <v>0</v>
      </c>
      <c r="P236" s="235" t="e">
        <f>SUM(L236:M236)</f>
        <v>#N/A</v>
      </c>
      <c r="Q236" s="111">
        <f>SUM(N236:O236)</f>
        <v>0</v>
      </c>
      <c r="R236" s="235" t="e">
        <f>SUM(L236:O236)</f>
        <v>#N/A</v>
      </c>
      <c r="S236" s="111"/>
      <c r="T236" s="111"/>
      <c r="U236" s="111"/>
      <c r="V236" s="111"/>
      <c r="W236" s="111"/>
      <c r="X236" s="111"/>
      <c r="Y236" s="111"/>
      <c r="Z236" s="111"/>
      <c r="AA236" s="227"/>
      <c r="AB236" s="227"/>
      <c r="AC236" s="227"/>
      <c r="AD236" s="227"/>
      <c r="AE236" s="227"/>
      <c r="AF236" s="227"/>
    </row>
    <row r="237" spans="3:32">
      <c r="C237" s="111"/>
      <c r="D237" s="111" t="s">
        <v>38</v>
      </c>
      <c r="E237" s="111">
        <v>2.2999999999999998</v>
      </c>
      <c r="F237" s="111"/>
      <c r="G237" s="111"/>
      <c r="H237" s="111"/>
      <c r="I237" s="111"/>
      <c r="J237" s="111"/>
      <c r="K237" s="111" t="str">
        <f>IF('Nøkkelinfo og veiledning'!F13='Nøkkelinfo og veiledning'!E83,"","Alternativ 2")</f>
        <v>Alternativ 2</v>
      </c>
      <c r="L237" s="111" t="e">
        <f>IF('Nøkkelinfo og veiledning'!F13='Nøkkelinfo og veiledning'!E83,0,J194)</f>
        <v>#N/A</v>
      </c>
      <c r="M237" s="235">
        <f>L194</f>
        <v>0</v>
      </c>
      <c r="N237" s="111">
        <f>K194</f>
        <v>0</v>
      </c>
      <c r="O237" s="111">
        <f t="shared" ref="O237" si="66">M194</f>
        <v>0</v>
      </c>
      <c r="P237" s="235" t="e">
        <f t="shared" ref="P237:P239" si="67">SUM(L237:M237)</f>
        <v>#N/A</v>
      </c>
      <c r="Q237" s="111">
        <f t="shared" ref="Q237:Q239" si="68">SUM(N237:O237)</f>
        <v>0</v>
      </c>
      <c r="R237" s="235" t="e">
        <f>SUM(L237:O237)</f>
        <v>#N/A</v>
      </c>
      <c r="S237" s="111"/>
      <c r="T237" s="111"/>
      <c r="U237" s="111"/>
      <c r="V237" s="111"/>
      <c r="W237" s="111"/>
      <c r="X237" s="111"/>
      <c r="Y237" s="111"/>
      <c r="Z237" s="111"/>
      <c r="AA237" s="227"/>
      <c r="AB237" s="227"/>
      <c r="AC237" s="227"/>
      <c r="AD237" s="227"/>
      <c r="AE237" s="227"/>
      <c r="AF237" s="227"/>
    </row>
    <row r="238" spans="3:32">
      <c r="C238" s="111"/>
      <c r="D238" s="111" t="s">
        <v>12</v>
      </c>
      <c r="E238" s="111">
        <v>1.6</v>
      </c>
      <c r="F238" s="111"/>
      <c r="G238" s="111"/>
      <c r="H238" s="111"/>
      <c r="I238" s="111" t="s">
        <v>33</v>
      </c>
      <c r="J238" s="111"/>
      <c r="K238" s="111" t="str">
        <f>IF('Nøkkelinfo og veiledning'!F13&gt;2,"Alternativ 3","")</f>
        <v/>
      </c>
      <c r="L238" s="111">
        <f>IF('Nøkkelinfo og veiledning'!F13&gt;2,P194,0)</f>
        <v>0</v>
      </c>
      <c r="M238" s="235">
        <f>IF('Nøkkelinfo og veiledning'!F13&gt;2,R194,0)</f>
        <v>0</v>
      </c>
      <c r="N238" s="111">
        <f>IF('Nøkkelinfo og veiledning'!F13&gt;2,Q194,0)</f>
        <v>0</v>
      </c>
      <c r="O238" s="111">
        <f>IF('Nøkkelinfo og veiledning'!F13&gt;2,S194,0)</f>
        <v>0</v>
      </c>
      <c r="P238" s="235">
        <f t="shared" si="67"/>
        <v>0</v>
      </c>
      <c r="Q238" s="111">
        <f t="shared" si="68"/>
        <v>0</v>
      </c>
      <c r="R238" s="235">
        <f>SUM(L238:O238)</f>
        <v>0</v>
      </c>
      <c r="S238" s="111"/>
      <c r="T238" s="111"/>
      <c r="U238" s="111"/>
      <c r="V238" s="111"/>
      <c r="W238" s="111"/>
      <c r="X238" s="111"/>
      <c r="Y238" s="111"/>
      <c r="Z238" s="111"/>
      <c r="AA238" s="227"/>
      <c r="AB238" s="227"/>
      <c r="AC238" s="227"/>
      <c r="AD238" s="227"/>
      <c r="AE238" s="227"/>
      <c r="AF238" s="227"/>
    </row>
    <row r="239" spans="3:32">
      <c r="C239" s="111"/>
      <c r="D239" s="111"/>
      <c r="E239" s="111"/>
      <c r="F239" s="111">
        <v>2</v>
      </c>
      <c r="G239" s="237" t="s">
        <v>36</v>
      </c>
      <c r="H239" s="111" t="s">
        <v>34</v>
      </c>
      <c r="I239" s="235" t="e">
        <f>HLOOKUP('Nøkkelinfo og veiledning'!$F$11,Boligutbygging!$J$33:$O$37,F239,0)</f>
        <v>#N/A</v>
      </c>
      <c r="J239" s="111"/>
      <c r="K239" s="111" t="str">
        <f>IF('Nøkkelinfo og veiledning'!F13&gt;2,"Alternativ 4","")</f>
        <v/>
      </c>
      <c r="L239" s="111">
        <f>IF('Nøkkelinfo og veiledning'!F13&gt;3,V194,0)</f>
        <v>0</v>
      </c>
      <c r="M239" s="111">
        <f>IF('Nøkkelinfo og veiledning'!F13&gt;3,X194,0)</f>
        <v>0</v>
      </c>
      <c r="N239" s="111">
        <f>IF('Nøkkelinfo og veiledning'!F13&gt;3,W194,0)</f>
        <v>0</v>
      </c>
      <c r="O239" s="111">
        <f>IF('Nøkkelinfo og veiledning'!F13&gt;3,Y194,0)</f>
        <v>0</v>
      </c>
      <c r="P239" s="111">
        <f t="shared" si="67"/>
        <v>0</v>
      </c>
      <c r="Q239" s="111">
        <f t="shared" si="68"/>
        <v>0</v>
      </c>
      <c r="R239" s="235">
        <f>SUM(L239:O239)</f>
        <v>0</v>
      </c>
      <c r="S239" s="111"/>
      <c r="T239" s="111"/>
      <c r="U239" s="111"/>
      <c r="V239" s="111"/>
      <c r="W239" s="111"/>
      <c r="X239" s="111"/>
      <c r="Y239" s="111"/>
      <c r="Z239" s="111"/>
      <c r="AA239" s="227"/>
      <c r="AB239" s="227"/>
      <c r="AC239" s="227"/>
      <c r="AD239" s="227"/>
      <c r="AE239" s="227"/>
      <c r="AF239" s="227"/>
    </row>
    <row r="240" spans="3:32">
      <c r="C240" s="111"/>
      <c r="D240" s="111"/>
      <c r="E240" s="111"/>
      <c r="F240" s="111">
        <v>3</v>
      </c>
      <c r="G240" s="237" t="s">
        <v>37</v>
      </c>
      <c r="H240" s="111" t="s">
        <v>34</v>
      </c>
      <c r="I240" s="235" t="e">
        <f>HLOOKUP('Nøkkelinfo og veiledning'!$F$11,Boligutbygging!$J$33:$O$37,F240,0)</f>
        <v>#N/A</v>
      </c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1"/>
      <c r="AA240" s="227"/>
      <c r="AB240" s="227"/>
      <c r="AC240" s="227"/>
      <c r="AD240" s="227"/>
      <c r="AE240" s="227"/>
      <c r="AF240" s="227"/>
    </row>
    <row r="241" spans="3:32">
      <c r="C241" s="111"/>
      <c r="D241" s="111"/>
      <c r="E241" s="111"/>
      <c r="F241" s="111">
        <v>4</v>
      </c>
      <c r="G241" s="164" t="s">
        <v>38</v>
      </c>
      <c r="H241" s="111" t="s">
        <v>34</v>
      </c>
      <c r="I241" s="235" t="e">
        <f>HLOOKUP('Nøkkelinfo og veiledning'!$F$11,Boligutbygging!$J$33:$O$37,F241,0)</f>
        <v>#N/A</v>
      </c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1"/>
      <c r="AA241" s="227"/>
      <c r="AB241" s="227"/>
      <c r="AC241" s="227"/>
      <c r="AD241" s="227"/>
      <c r="AE241" s="227"/>
      <c r="AF241" s="227"/>
    </row>
    <row r="242" spans="3:32">
      <c r="C242" s="111"/>
      <c r="D242" s="111"/>
      <c r="E242" s="111"/>
      <c r="F242" s="111">
        <v>5</v>
      </c>
      <c r="G242" s="164" t="s">
        <v>12</v>
      </c>
      <c r="H242" s="111" t="s">
        <v>34</v>
      </c>
      <c r="I242" s="235" t="e">
        <f>HLOOKUP('Nøkkelinfo og veiledning'!$F$11,Boligutbygging!$J$33:$O$37,F242,0)</f>
        <v>#N/A</v>
      </c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1"/>
      <c r="AA242" s="227"/>
      <c r="AB242" s="227"/>
      <c r="AC242" s="227"/>
      <c r="AD242" s="227"/>
      <c r="AE242" s="227"/>
      <c r="AF242" s="227"/>
    </row>
    <row r="243" spans="3:32">
      <c r="C243" s="111"/>
      <c r="D243" s="111"/>
      <c r="E243" s="111"/>
      <c r="F243" s="111"/>
      <c r="G243" s="111" t="s">
        <v>35</v>
      </c>
      <c r="H243" s="111" t="s">
        <v>32</v>
      </c>
      <c r="I243" s="111">
        <f>H236</f>
        <v>23</v>
      </c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1"/>
      <c r="AA243" s="227"/>
      <c r="AB243" s="227"/>
      <c r="AC243" s="227"/>
      <c r="AD243" s="227"/>
      <c r="AE243" s="227"/>
      <c r="AF243" s="227"/>
    </row>
    <row r="244" spans="3:32">
      <c r="C244" s="111"/>
      <c r="D244" s="111"/>
      <c r="E244" s="111"/>
      <c r="F244" s="111"/>
      <c r="G244" s="111" t="s">
        <v>15</v>
      </c>
      <c r="H244" s="111" t="s">
        <v>30</v>
      </c>
      <c r="I244" s="111">
        <f>SUM(D47:G47)</f>
        <v>0</v>
      </c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1"/>
      <c r="AA244" s="227"/>
      <c r="AB244" s="227"/>
      <c r="AC244" s="227"/>
      <c r="AD244" s="227"/>
      <c r="AE244" s="227"/>
      <c r="AF244" s="227"/>
    </row>
    <row r="245" spans="3:32"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1"/>
      <c r="AA245" s="227"/>
      <c r="AB245" s="227"/>
      <c r="AC245" s="227"/>
      <c r="AD245" s="227"/>
      <c r="AE245" s="227"/>
      <c r="AF245" s="227"/>
    </row>
    <row r="246" spans="3:32">
      <c r="C246" s="111"/>
      <c r="D246" s="111"/>
      <c r="E246" s="111"/>
      <c r="F246" s="238" t="s">
        <v>8</v>
      </c>
      <c r="G246" s="238" t="s">
        <v>298</v>
      </c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1"/>
      <c r="AA246" s="227"/>
      <c r="AB246" s="227"/>
      <c r="AC246" s="227"/>
      <c r="AD246" s="227"/>
      <c r="AE246" s="227"/>
      <c r="AF246" s="227"/>
    </row>
    <row r="247" spans="3:32">
      <c r="C247" s="111"/>
      <c r="D247" s="111"/>
      <c r="E247" s="111"/>
      <c r="F247" s="239" t="s">
        <v>167</v>
      </c>
      <c r="G247" s="239" t="s">
        <v>168</v>
      </c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1"/>
      <c r="AA247" s="227"/>
      <c r="AB247" s="227"/>
      <c r="AC247" s="227"/>
      <c r="AD247" s="227"/>
      <c r="AE247" s="227"/>
      <c r="AF247" s="227"/>
    </row>
    <row r="248" spans="3:32">
      <c r="C248" s="111"/>
      <c r="D248" s="111"/>
      <c r="E248" s="111"/>
      <c r="F248" s="239" t="s">
        <v>177</v>
      </c>
      <c r="G248" s="239" t="s">
        <v>168</v>
      </c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1"/>
      <c r="AA248" s="227"/>
      <c r="AB248" s="227"/>
      <c r="AC248" s="227"/>
      <c r="AD248" s="227"/>
      <c r="AE248" s="227"/>
      <c r="AF248" s="227"/>
    </row>
    <row r="249" spans="3:32">
      <c r="C249" s="111"/>
      <c r="D249" s="111"/>
      <c r="E249" s="111"/>
      <c r="F249" s="239" t="s">
        <v>169</v>
      </c>
      <c r="G249" s="239" t="s">
        <v>168</v>
      </c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227"/>
      <c r="AB249" s="227"/>
      <c r="AC249" s="227"/>
      <c r="AD249" s="227"/>
      <c r="AE249" s="227"/>
      <c r="AF249" s="227"/>
    </row>
    <row r="250" spans="3:32">
      <c r="C250" s="111"/>
      <c r="D250" s="111"/>
      <c r="E250" s="111"/>
      <c r="F250" s="239" t="s">
        <v>170</v>
      </c>
      <c r="G250" s="239" t="s">
        <v>168</v>
      </c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227"/>
      <c r="AB250" s="227"/>
      <c r="AC250" s="227"/>
      <c r="AD250" s="227"/>
      <c r="AE250" s="227"/>
      <c r="AF250" s="227"/>
    </row>
    <row r="251" spans="3:32">
      <c r="C251" s="111"/>
      <c r="D251" s="111"/>
      <c r="E251" s="111"/>
      <c r="F251" s="239" t="s">
        <v>171</v>
      </c>
      <c r="G251" s="239" t="s">
        <v>168</v>
      </c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1"/>
      <c r="AA251" s="227"/>
      <c r="AB251" s="227"/>
      <c r="AC251" s="227"/>
      <c r="AD251" s="227"/>
      <c r="AE251" s="227"/>
      <c r="AF251" s="227"/>
    </row>
    <row r="252" spans="3:32">
      <c r="C252" s="111"/>
      <c r="D252" s="111"/>
      <c r="E252" s="111"/>
      <c r="F252" s="239" t="s">
        <v>178</v>
      </c>
      <c r="G252" s="239" t="s">
        <v>299</v>
      </c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1"/>
      <c r="AA252" s="227"/>
      <c r="AB252" s="227"/>
      <c r="AC252" s="227"/>
      <c r="AD252" s="227"/>
      <c r="AE252" s="227"/>
      <c r="AF252" s="227"/>
    </row>
    <row r="253" spans="3:32">
      <c r="C253" s="111"/>
      <c r="D253" s="111"/>
      <c r="E253" s="111"/>
      <c r="F253" s="239" t="s">
        <v>179</v>
      </c>
      <c r="G253" s="239" t="s">
        <v>299</v>
      </c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1"/>
      <c r="AA253" s="227"/>
      <c r="AB253" s="227"/>
      <c r="AC253" s="227"/>
      <c r="AD253" s="227"/>
      <c r="AE253" s="227"/>
      <c r="AF253" s="227"/>
    </row>
    <row r="254" spans="3:32">
      <c r="C254" s="111"/>
      <c r="D254" s="111"/>
      <c r="E254" s="111"/>
      <c r="F254" s="239" t="s">
        <v>180</v>
      </c>
      <c r="G254" s="239" t="s">
        <v>299</v>
      </c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227"/>
      <c r="AB254" s="227"/>
      <c r="AC254" s="227"/>
      <c r="AD254" s="227"/>
      <c r="AE254" s="227"/>
      <c r="AF254" s="227"/>
    </row>
    <row r="255" spans="3:32">
      <c r="C255" s="111"/>
      <c r="D255" s="111"/>
      <c r="E255" s="111"/>
      <c r="F255" s="239" t="s">
        <v>181</v>
      </c>
      <c r="G255" s="239" t="s">
        <v>299</v>
      </c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1"/>
      <c r="AA255" s="227"/>
      <c r="AB255" s="227"/>
      <c r="AC255" s="227"/>
      <c r="AD255" s="227"/>
      <c r="AE255" s="227"/>
      <c r="AF255" s="227"/>
    </row>
    <row r="256" spans="3:32">
      <c r="C256" s="111"/>
      <c r="D256" s="111"/>
      <c r="E256" s="111"/>
      <c r="F256" s="239" t="s">
        <v>182</v>
      </c>
      <c r="G256" s="239" t="s">
        <v>299</v>
      </c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227"/>
      <c r="AB256" s="227"/>
      <c r="AC256" s="227"/>
      <c r="AD256" s="227"/>
      <c r="AE256" s="227"/>
      <c r="AF256" s="227"/>
    </row>
    <row r="257" spans="3:32">
      <c r="C257" s="111"/>
      <c r="D257" s="111"/>
      <c r="E257" s="111"/>
      <c r="F257" s="239" t="s">
        <v>183</v>
      </c>
      <c r="G257" s="239" t="s">
        <v>299</v>
      </c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1"/>
      <c r="AA257" s="227"/>
      <c r="AB257" s="227"/>
      <c r="AC257" s="227"/>
      <c r="AD257" s="227"/>
      <c r="AE257" s="227"/>
      <c r="AF257" s="227"/>
    </row>
    <row r="258" spans="3:32">
      <c r="C258" s="111"/>
      <c r="D258" s="111"/>
      <c r="E258" s="111"/>
      <c r="F258" s="239" t="s">
        <v>184</v>
      </c>
      <c r="G258" s="239" t="s">
        <v>299</v>
      </c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1"/>
      <c r="AA258" s="227"/>
      <c r="AB258" s="227"/>
      <c r="AC258" s="227"/>
      <c r="AD258" s="227"/>
      <c r="AE258" s="227"/>
      <c r="AF258" s="227"/>
    </row>
    <row r="259" spans="3:32">
      <c r="C259" s="111"/>
      <c r="D259" s="111"/>
      <c r="E259" s="111"/>
      <c r="F259" s="239" t="s">
        <v>185</v>
      </c>
      <c r="G259" s="239" t="s">
        <v>299</v>
      </c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1"/>
      <c r="AA259" s="227"/>
      <c r="AB259" s="227"/>
      <c r="AC259" s="227"/>
      <c r="AD259" s="227"/>
      <c r="AE259" s="227"/>
      <c r="AF259" s="227"/>
    </row>
    <row r="260" spans="3:32">
      <c r="C260" s="111"/>
      <c r="D260" s="111"/>
      <c r="E260" s="111"/>
      <c r="F260" s="239" t="s">
        <v>186</v>
      </c>
      <c r="G260" s="239" t="s">
        <v>299</v>
      </c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1"/>
      <c r="AA260" s="227"/>
      <c r="AB260" s="227"/>
      <c r="AC260" s="227"/>
      <c r="AD260" s="227"/>
      <c r="AE260" s="227"/>
      <c r="AF260" s="227"/>
    </row>
    <row r="261" spans="3:32">
      <c r="C261" s="111"/>
      <c r="D261" s="111"/>
      <c r="E261" s="111"/>
      <c r="F261" s="239" t="s">
        <v>187</v>
      </c>
      <c r="G261" s="239" t="s">
        <v>299</v>
      </c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1"/>
      <c r="AA261" s="227"/>
      <c r="AB261" s="227"/>
      <c r="AC261" s="227"/>
      <c r="AD261" s="227"/>
      <c r="AE261" s="227"/>
      <c r="AF261" s="227"/>
    </row>
    <row r="262" spans="3:32">
      <c r="C262" s="111"/>
      <c r="D262" s="111"/>
      <c r="E262" s="111"/>
      <c r="F262" s="239" t="s">
        <v>188</v>
      </c>
      <c r="G262" s="239" t="s">
        <v>299</v>
      </c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1"/>
      <c r="AA262" s="227"/>
      <c r="AB262" s="227"/>
      <c r="AC262" s="227"/>
      <c r="AD262" s="227"/>
      <c r="AE262" s="227"/>
      <c r="AF262" s="227"/>
    </row>
    <row r="263" spans="3:32">
      <c r="C263" s="111"/>
      <c r="D263" s="111"/>
      <c r="E263" s="111"/>
      <c r="F263" s="239" t="s">
        <v>189</v>
      </c>
      <c r="G263" s="239" t="s">
        <v>299</v>
      </c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1"/>
      <c r="AA263" s="227"/>
      <c r="AB263" s="227"/>
      <c r="AC263" s="227"/>
      <c r="AD263" s="227"/>
      <c r="AE263" s="227"/>
      <c r="AF263" s="227"/>
    </row>
    <row r="264" spans="3:32">
      <c r="C264" s="111"/>
      <c r="D264" s="111"/>
      <c r="E264" s="111"/>
      <c r="F264" s="239" t="s">
        <v>190</v>
      </c>
      <c r="G264" s="239" t="s">
        <v>299</v>
      </c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1"/>
      <c r="AA264" s="227"/>
      <c r="AB264" s="227"/>
      <c r="AC264" s="227"/>
      <c r="AD264" s="227"/>
      <c r="AE264" s="227"/>
      <c r="AF264" s="227"/>
    </row>
    <row r="265" spans="3:32">
      <c r="C265" s="111"/>
      <c r="D265" s="111"/>
      <c r="E265" s="111"/>
      <c r="F265" s="239" t="s">
        <v>191</v>
      </c>
      <c r="G265" s="239" t="s">
        <v>299</v>
      </c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1"/>
      <c r="AA265" s="227"/>
      <c r="AB265" s="227"/>
      <c r="AC265" s="227"/>
      <c r="AD265" s="227"/>
      <c r="AE265" s="227"/>
      <c r="AF265" s="227"/>
    </row>
    <row r="266" spans="3:32">
      <c r="C266" s="111"/>
      <c r="D266" s="111"/>
      <c r="E266" s="111"/>
      <c r="F266" s="239" t="s">
        <v>192</v>
      </c>
      <c r="G266" s="239" t="s">
        <v>300</v>
      </c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1"/>
      <c r="AA266" s="227"/>
      <c r="AB266" s="227"/>
      <c r="AC266" s="227"/>
      <c r="AD266" s="227"/>
      <c r="AE266" s="227"/>
      <c r="AF266" s="227"/>
    </row>
    <row r="267" spans="3:32">
      <c r="C267" s="111"/>
      <c r="D267" s="111"/>
      <c r="E267" s="111"/>
      <c r="F267" s="239" t="s">
        <v>193</v>
      </c>
      <c r="G267" s="239" t="s">
        <v>300</v>
      </c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1"/>
      <c r="AA267" s="227"/>
      <c r="AB267" s="227"/>
      <c r="AC267" s="227"/>
      <c r="AD267" s="227"/>
      <c r="AE267" s="227"/>
      <c r="AF267" s="227"/>
    </row>
    <row r="268" spans="3:32">
      <c r="C268" s="111"/>
      <c r="D268" s="161"/>
      <c r="E268" s="111"/>
      <c r="F268" s="239" t="s">
        <v>194</v>
      </c>
      <c r="G268" s="239" t="s">
        <v>300</v>
      </c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1"/>
      <c r="AA268" s="227"/>
      <c r="AB268" s="227"/>
      <c r="AC268" s="227"/>
      <c r="AD268" s="227"/>
      <c r="AE268" s="227"/>
      <c r="AF268" s="227"/>
    </row>
    <row r="269" spans="3:32">
      <c r="C269" s="111"/>
      <c r="D269" s="161"/>
      <c r="E269" s="111"/>
      <c r="F269" s="239" t="s">
        <v>195</v>
      </c>
      <c r="G269" s="239" t="s">
        <v>300</v>
      </c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1"/>
      <c r="AA269" s="227"/>
      <c r="AB269" s="227"/>
      <c r="AC269" s="227"/>
      <c r="AD269" s="227"/>
      <c r="AE269" s="227"/>
      <c r="AF269" s="227"/>
    </row>
    <row r="270" spans="3:32"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1"/>
      <c r="AA270" s="227"/>
      <c r="AB270" s="227"/>
      <c r="AC270" s="227"/>
      <c r="AD270" s="227"/>
      <c r="AE270" s="227"/>
      <c r="AF270" s="227"/>
    </row>
    <row r="271" spans="3:32">
      <c r="C271" s="111"/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3"/>
      <c r="R271" s="173"/>
      <c r="S271" s="173"/>
      <c r="T271" s="173"/>
      <c r="U271" s="173"/>
      <c r="V271" s="173"/>
      <c r="W271" s="173"/>
      <c r="X271" s="173"/>
      <c r="Y271" s="173"/>
      <c r="Z271" s="173"/>
      <c r="AA271" s="173"/>
      <c r="AB271" s="173"/>
    </row>
    <row r="284" spans="4:7">
      <c r="D284"/>
      <c r="F284" s="44"/>
      <c r="G284" s="44"/>
    </row>
    <row r="285" spans="4:7">
      <c r="D285"/>
      <c r="F285" s="44"/>
      <c r="G285" s="44"/>
    </row>
    <row r="286" spans="4:7">
      <c r="D286"/>
      <c r="F286" s="43"/>
      <c r="G286" s="43"/>
    </row>
    <row r="287" spans="4:7">
      <c r="D287"/>
      <c r="F287" s="43"/>
      <c r="G287" s="43"/>
    </row>
    <row r="288" spans="4:7">
      <c r="D288"/>
    </row>
    <row r="289" spans="4:7">
      <c r="D289"/>
    </row>
    <row r="290" spans="4:7">
      <c r="D290"/>
    </row>
    <row r="291" spans="4:7">
      <c r="D291"/>
    </row>
    <row r="292" spans="4:7">
      <c r="D292"/>
    </row>
    <row r="293" spans="4:7">
      <c r="D293"/>
    </row>
    <row r="294" spans="4:7">
      <c r="D294"/>
      <c r="F294" s="43"/>
      <c r="G294" s="43"/>
    </row>
    <row r="295" spans="4:7">
      <c r="D295"/>
      <c r="F295" s="43"/>
      <c r="G295" s="43"/>
    </row>
    <row r="296" spans="4:7">
      <c r="D296"/>
      <c r="F296" s="43"/>
      <c r="G296" s="43"/>
    </row>
    <row r="297" spans="4:7">
      <c r="D297"/>
      <c r="F297" s="43"/>
      <c r="G297" s="43"/>
    </row>
    <row r="298" spans="4:7">
      <c r="D298"/>
      <c r="F298" s="43"/>
      <c r="G298" s="43"/>
    </row>
  </sheetData>
  <sheetProtection algorithmName="SHA-512" hashValue="hKdx4zUN9dKBRbKeHYc5pA1tslRk6WUYynH3Poy1KBchwAvUN/fykyMzbmACeXan4/s3YU2fKgdtcpGHFQ44Kw==" saltValue="rzNikXgKFI7SppmaCvZU3Q==" spinCount="100000" sheet="1" objects="1" scenarios="1"/>
  <protectedRanges>
    <protectedRange sqref="V45:Y45" name="Range3"/>
    <protectedRange sqref="P45:S45" name="Range2"/>
    <protectedRange sqref="D25:H38 J25:N38 P25:T38 V25:Z38 D45:G45 D50:D53 H49:H54 J50:J53 J45:M45 N49:N54 P50:P53 H61:H73 N61:N73 H80:H92 N80:N92 Z80:Z92 T80:T92 T61:T73 Z61:Z73 Z49:Z54 V50:V53" name="Range1"/>
  </protectedRanges>
  <mergeCells count="40">
    <mergeCell ref="N234:O234"/>
    <mergeCell ref="P178:S178"/>
    <mergeCell ref="P179:Q179"/>
    <mergeCell ref="R179:S179"/>
    <mergeCell ref="L234:M234"/>
    <mergeCell ref="V178:Y178"/>
    <mergeCell ref="V179:W179"/>
    <mergeCell ref="X179:Y179"/>
    <mergeCell ref="D179:E179"/>
    <mergeCell ref="F179:G179"/>
    <mergeCell ref="D178:G178"/>
    <mergeCell ref="J178:M178"/>
    <mergeCell ref="J179:K179"/>
    <mergeCell ref="L179:M179"/>
    <mergeCell ref="P6:Q6"/>
    <mergeCell ref="D23:I23"/>
    <mergeCell ref="D43:G43"/>
    <mergeCell ref="D59:H59"/>
    <mergeCell ref="D78:H78"/>
    <mergeCell ref="J23:O23"/>
    <mergeCell ref="D13:D15"/>
    <mergeCell ref="P23:U23"/>
    <mergeCell ref="I49:I54"/>
    <mergeCell ref="G47:H47"/>
    <mergeCell ref="O49:O54"/>
    <mergeCell ref="M47:N47"/>
    <mergeCell ref="S47:T47"/>
    <mergeCell ref="U49:U54"/>
    <mergeCell ref="V23:AA23"/>
    <mergeCell ref="J43:M43"/>
    <mergeCell ref="J59:N59"/>
    <mergeCell ref="J78:N78"/>
    <mergeCell ref="P43:S43"/>
    <mergeCell ref="P59:T59"/>
    <mergeCell ref="P78:T78"/>
    <mergeCell ref="V43:Y43"/>
    <mergeCell ref="V59:Z59"/>
    <mergeCell ref="V78:Z78"/>
    <mergeCell ref="Y47:Z47"/>
    <mergeCell ref="AA49:AA54"/>
  </mergeCells>
  <phoneticPr fontId="23" type="noConversion"/>
  <hyperlinks>
    <hyperlink ref="D233" r:id="rId1" xr:uid="{91B80E6F-79FE-4D6C-BA8B-B3A7C3F23CB3}"/>
    <hyperlink ref="G235" r:id="rId2" xr:uid="{7B1802D4-EFA5-4F07-B7DA-09BE420F4563}"/>
  </hyperlinks>
  <pageMargins left="0.7" right="0.7" top="0.75" bottom="0.75" header="0.3" footer="0.3"/>
  <pageSetup paperSize="9" orientation="portrait" verticalDpi="0" r:id="rId3"/>
  <headerFooter>
    <oddFooter>&amp;C_x000D_&amp;1#&amp;"Verdana"&amp;7&amp;K000000 Confidential</oddFooter>
  </headerFooter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0000000-000E-0000-0300-000002000000}">
            <xm:f>'Nøkkelinfo og veiledning'!$F$13&lt;3</xm:f>
            <x14:dxf>
              <font>
                <color theme="2"/>
              </font>
              <fill>
                <patternFill>
                  <bgColor theme="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P23:U143</xm:sqref>
        </x14:conditionalFormatting>
        <x14:conditionalFormatting xmlns:xm="http://schemas.microsoft.com/office/excel/2006/main">
          <x14:cfRule type="expression" priority="7" id="{00000000-000E-0000-0300-000001000000}">
            <xm:f>'Nøkkelinfo og veiledning'!$F$13&lt;4</xm:f>
            <x14:dxf>
              <font>
                <color theme="2"/>
              </font>
              <fill>
                <patternFill>
                  <bgColor theme="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V23:AA143</xm:sqref>
        </x14:conditionalFormatting>
        <x14:conditionalFormatting xmlns:xm="http://schemas.microsoft.com/office/excel/2006/main">
          <x14:cfRule type="expression" priority="2" id="{A3AF84EB-E6E1-4158-8C68-9E091530665B}">
            <xm:f>'Nøkkelinfo og veiledning'!$F$13&lt;3</xm:f>
            <x14:dxf>
              <font>
                <color theme="2"/>
              </font>
              <fill>
                <patternFill>
                  <bgColor theme="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X61</xm:sqref>
        </x14:conditionalFormatting>
        <x14:conditionalFormatting xmlns:xm="http://schemas.microsoft.com/office/excel/2006/main">
          <x14:cfRule type="expression" priority="1" id="{3A3FC457-76BF-4196-88BE-FE3255E136F3}">
            <xm:f>'Nøkkelinfo og veiledning'!$F$13&lt;3</xm:f>
            <x14:dxf>
              <font>
                <color theme="2"/>
              </font>
              <fill>
                <patternFill>
                  <bgColor theme="2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X80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102DB-2A37-43B7-9109-C1253E19CD59}">
  <sheetPr>
    <tabColor theme="8"/>
  </sheetPr>
  <dimension ref="A1:AG227"/>
  <sheetViews>
    <sheetView zoomScale="90" zoomScaleNormal="90" workbookViewId="0">
      <selection activeCell="D11" sqref="D11"/>
    </sheetView>
  </sheetViews>
  <sheetFormatPr defaultColWidth="8.85546875" defaultRowHeight="12.75"/>
  <cols>
    <col min="1" max="1" width="17.140625" style="16" customWidth="1"/>
    <col min="2" max="2" width="5" style="16" customWidth="1"/>
    <col min="3" max="3" width="33.7109375" style="16" customWidth="1"/>
    <col min="4" max="4" width="25.28515625" style="16" customWidth="1"/>
    <col min="5" max="5" width="16.85546875" style="16" customWidth="1"/>
    <col min="6" max="6" width="19.140625" style="16" customWidth="1"/>
    <col min="7" max="7" width="26.5703125" style="16" customWidth="1"/>
    <col min="8" max="8" width="22.42578125" style="16" customWidth="1"/>
    <col min="9" max="9" width="21.85546875" style="16" customWidth="1"/>
    <col min="10" max="10" width="15" style="16" customWidth="1"/>
    <col min="11" max="11" width="18.7109375" style="16" customWidth="1"/>
    <col min="12" max="12" width="18.140625" style="16" customWidth="1"/>
    <col min="13" max="17" width="13.28515625" style="16" customWidth="1"/>
    <col min="18" max="18" width="7.140625" style="16" customWidth="1"/>
    <col min="19" max="19" width="13.28515625" style="16" customWidth="1"/>
    <col min="20" max="20" width="14.7109375" style="16" customWidth="1"/>
    <col min="21" max="22" width="11.7109375" style="16" customWidth="1"/>
    <col min="23" max="24" width="8.85546875" style="16"/>
    <col min="25" max="25" width="7.85546875" style="16" customWidth="1"/>
    <col min="26" max="26" width="19.28515625" style="16" bestFit="1" customWidth="1"/>
    <col min="27" max="16384" width="8.85546875" style="16"/>
  </cols>
  <sheetData>
    <row r="1" spans="1:33">
      <c r="A1" s="19"/>
      <c r="B1" s="17"/>
      <c r="C1" s="17"/>
      <c r="D1" s="17"/>
      <c r="E1" s="17"/>
      <c r="F1" s="17"/>
      <c r="G1" s="17"/>
      <c r="H1" s="17"/>
      <c r="I1" s="17"/>
      <c r="J1" s="33"/>
      <c r="K1" s="33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</row>
    <row r="2" spans="1:33">
      <c r="A2" s="19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>
      <c r="A3" s="1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4" spans="1:33" ht="27" customHeight="1">
      <c r="A4" s="19"/>
      <c r="B4" s="17"/>
      <c r="C4" s="51" t="str">
        <f>"BYGNINGSMASSE, byggetrinn "&amp;'Nøkkelinfo og veiledning'!F8</f>
        <v xml:space="preserve">BYGNINGSMASSE, byggetrinn 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3">
      <c r="A5" s="19"/>
      <c r="B5" s="17"/>
      <c r="C5" s="17"/>
      <c r="D5" s="17"/>
      <c r="E5" s="17"/>
      <c r="F5" s="17"/>
      <c r="G5" s="14"/>
      <c r="H5" s="17"/>
      <c r="I5" s="14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3" ht="18">
      <c r="A6" s="19"/>
      <c r="B6" s="17"/>
      <c r="C6" s="20" t="s">
        <v>215</v>
      </c>
      <c r="D6" s="17"/>
      <c r="E6" s="18"/>
      <c r="F6" s="18"/>
      <c r="G6" s="18"/>
      <c r="H6" s="18"/>
      <c r="I6" s="18"/>
      <c r="J6" s="17"/>
      <c r="K6" s="20" t="s">
        <v>216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15.75" customHeight="1">
      <c r="A7" s="19"/>
      <c r="B7" s="17"/>
      <c r="C7" s="145" t="s">
        <v>422</v>
      </c>
      <c r="D7" s="17"/>
      <c r="E7" s="18"/>
      <c r="F7" s="18"/>
      <c r="G7" s="18"/>
      <c r="H7" s="18"/>
      <c r="I7" s="18"/>
      <c r="J7" s="17"/>
      <c r="K7" s="145" t="s">
        <v>327</v>
      </c>
      <c r="L7" s="17"/>
      <c r="M7" s="17"/>
      <c r="N7" s="17"/>
      <c r="O7" s="17"/>
      <c r="P7" s="17"/>
      <c r="Q7" s="17"/>
      <c r="R7" s="17"/>
      <c r="S7" s="190"/>
      <c r="T7" s="190"/>
      <c r="U7" s="190"/>
      <c r="V7" s="190"/>
      <c r="W7" s="190"/>
      <c r="X7" s="190"/>
      <c r="Y7" s="17"/>
      <c r="Z7" s="17"/>
      <c r="AA7" s="17"/>
      <c r="AB7" s="17"/>
      <c r="AC7" s="17"/>
      <c r="AD7" s="17"/>
      <c r="AE7" s="17"/>
      <c r="AF7" s="17"/>
      <c r="AG7" s="17"/>
    </row>
    <row r="8" spans="1:33" ht="15.75" customHeight="1">
      <c r="A8" s="19"/>
      <c r="B8" s="17"/>
      <c r="C8" s="18"/>
      <c r="D8" s="17"/>
      <c r="E8" s="18"/>
      <c r="F8" s="18"/>
      <c r="G8" s="18"/>
      <c r="H8" s="18"/>
      <c r="I8" s="18"/>
      <c r="J8" s="17"/>
      <c r="K8" s="17"/>
      <c r="L8" s="17"/>
      <c r="M8" s="17"/>
      <c r="N8" s="17"/>
      <c r="O8" s="17"/>
      <c r="P8" s="17"/>
      <c r="Q8" s="17"/>
      <c r="R8" s="17"/>
      <c r="S8" s="191" t="s">
        <v>427</v>
      </c>
      <c r="T8" s="191"/>
      <c r="U8" s="191"/>
      <c r="V8" s="191"/>
      <c r="W8" s="191"/>
      <c r="X8" s="190"/>
      <c r="Y8" s="17"/>
      <c r="Z8" s="17"/>
      <c r="AA8" s="17"/>
      <c r="AB8" s="17"/>
      <c r="AC8" s="17"/>
      <c r="AD8" s="17"/>
      <c r="AE8" s="17"/>
      <c r="AF8" s="17"/>
      <c r="AG8" s="17"/>
    </row>
    <row r="9" spans="1:33" ht="31.5" customHeight="1">
      <c r="A9" s="19"/>
      <c r="B9" s="17"/>
      <c r="C9" s="17"/>
      <c r="D9" s="193" t="str">
        <f>"Areal (m2 BTA) utbygget i løpet av byggetrinn "&amp;'Nøkkelinfo og veiledning'!F8</f>
        <v xml:space="preserve">Areal (m2 BTA) utbygget i løpet av byggetrinn </v>
      </c>
      <c r="E9" s="194"/>
      <c r="F9" s="194"/>
      <c r="G9" s="194"/>
      <c r="H9" s="194"/>
      <c r="I9" s="195"/>
      <c r="J9" s="17"/>
      <c r="K9" s="17"/>
      <c r="L9" s="212" t="s">
        <v>27</v>
      </c>
      <c r="M9" s="210"/>
      <c r="N9" s="210" t="s">
        <v>28</v>
      </c>
      <c r="O9" s="210"/>
      <c r="P9" s="210" t="s">
        <v>25</v>
      </c>
      <c r="Q9" s="211"/>
      <c r="R9" s="17"/>
      <c r="S9" s="191"/>
      <c r="T9" s="191"/>
      <c r="U9" s="191"/>
      <c r="V9" s="191"/>
      <c r="W9" s="191"/>
      <c r="X9" s="190"/>
      <c r="Y9" s="17"/>
      <c r="Z9" s="17"/>
      <c r="AA9" s="17"/>
      <c r="AB9" s="17"/>
      <c r="AC9" s="17"/>
      <c r="AD9" s="17"/>
      <c r="AE9" s="17"/>
      <c r="AF9" s="17"/>
      <c r="AG9" s="17"/>
    </row>
    <row r="10" spans="1:33" ht="46.5" customHeight="1">
      <c r="A10" s="19"/>
      <c r="B10" s="17"/>
      <c r="C10" s="17"/>
      <c r="D10" s="79" t="s">
        <v>218</v>
      </c>
      <c r="E10" s="80" t="s">
        <v>220</v>
      </c>
      <c r="F10" s="80" t="s">
        <v>364</v>
      </c>
      <c r="G10" s="80" t="s">
        <v>365</v>
      </c>
      <c r="H10" s="80" t="s">
        <v>25</v>
      </c>
      <c r="I10" s="81" t="s">
        <v>222</v>
      </c>
      <c r="J10" s="17"/>
      <c r="K10" s="17"/>
      <c r="L10" s="89" t="s">
        <v>213</v>
      </c>
      <c r="M10" s="90" t="s">
        <v>214</v>
      </c>
      <c r="N10" s="90" t="s">
        <v>213</v>
      </c>
      <c r="O10" s="90" t="s">
        <v>214</v>
      </c>
      <c r="P10" s="90" t="s">
        <v>213</v>
      </c>
      <c r="Q10" s="91" t="s">
        <v>214</v>
      </c>
      <c r="R10" s="17"/>
      <c r="S10" s="209" t="s">
        <v>282</v>
      </c>
      <c r="T10" s="209"/>
      <c r="U10" s="209"/>
      <c r="V10" s="209"/>
      <c r="W10" s="209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3">
      <c r="A11" s="19"/>
      <c r="B11" s="17"/>
      <c r="C11" s="21" t="s">
        <v>36</v>
      </c>
      <c r="D11" s="116"/>
      <c r="E11" s="117"/>
      <c r="F11" s="117"/>
      <c r="G11" s="117"/>
      <c r="H11" s="117"/>
      <c r="I11" s="118">
        <f>SUM(D11,F11:H11)</f>
        <v>0</v>
      </c>
      <c r="J11" s="17"/>
      <c r="K11" s="21" t="str">
        <f>IF(I11=0,"","Enebolig")</f>
        <v/>
      </c>
      <c r="L11" s="49" t="str">
        <f>IF(F11=0,"",IF(M11="",-50%,M11))</f>
        <v/>
      </c>
      <c r="M11" s="159"/>
      <c r="N11" s="50" t="str">
        <f>IF(G11=0,"",IF(O11="",-50%,O11))</f>
        <v/>
      </c>
      <c r="O11" s="159"/>
      <c r="P11" s="49" t="str">
        <f>IF(H11=0,"",IF(Q11="",-50%,Q11))</f>
        <v/>
      </c>
      <c r="Q11" s="159"/>
      <c r="R11" s="17"/>
      <c r="S11" s="208"/>
      <c r="T11" s="208"/>
      <c r="U11" s="208"/>
      <c r="V11" s="208"/>
      <c r="W11" s="208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3">
      <c r="A12" s="19"/>
      <c r="B12" s="17"/>
      <c r="C12" s="21" t="s">
        <v>37</v>
      </c>
      <c r="D12" s="116"/>
      <c r="E12" s="117"/>
      <c r="F12" s="117"/>
      <c r="G12" s="117"/>
      <c r="H12" s="117"/>
      <c r="I12" s="118">
        <f t="shared" ref="I12:I24" si="0">SUM(D12,F12:H12)</f>
        <v>0</v>
      </c>
      <c r="J12" s="17"/>
      <c r="K12" s="21" t="str">
        <f>IF(I11=0,"","Tomannsbolig")</f>
        <v/>
      </c>
      <c r="L12" s="49" t="str">
        <f t="shared" ref="L12:L24" si="1">IF(F12=0,"",IF(M12="",-50%,M12))</f>
        <v/>
      </c>
      <c r="M12" s="159"/>
      <c r="N12" s="50" t="str">
        <f t="shared" ref="N12:N24" si="2">IF(G12=0,"",IF(O12="",-50%,O12))</f>
        <v/>
      </c>
      <c r="O12" s="159"/>
      <c r="P12" s="49" t="str">
        <f t="shared" ref="P12:P23" si="3">IF(H12=0,"",IF(Q12="",-50%,Q12))</f>
        <v/>
      </c>
      <c r="Q12" s="159"/>
      <c r="R12" s="17"/>
      <c r="S12" s="208"/>
      <c r="T12" s="208"/>
      <c r="U12" s="208"/>
      <c r="V12" s="208"/>
      <c r="W12" s="208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3">
      <c r="A13" s="19"/>
      <c r="B13" s="17"/>
      <c r="C13" s="21" t="s">
        <v>139</v>
      </c>
      <c r="D13" s="116"/>
      <c r="E13" s="117"/>
      <c r="F13" s="117"/>
      <c r="G13" s="117"/>
      <c r="H13" s="117"/>
      <c r="I13" s="118">
        <f t="shared" si="0"/>
        <v>0</v>
      </c>
      <c r="J13" s="17"/>
      <c r="K13" s="21" t="str">
        <f>IF(I11=0,"","Rekke-, kjede- og andre småhus")</f>
        <v/>
      </c>
      <c r="L13" s="49" t="str">
        <f t="shared" si="1"/>
        <v/>
      </c>
      <c r="M13" s="159"/>
      <c r="N13" s="50" t="str">
        <f t="shared" si="2"/>
        <v/>
      </c>
      <c r="O13" s="159"/>
      <c r="P13" s="49" t="str">
        <f t="shared" si="3"/>
        <v/>
      </c>
      <c r="Q13" s="159"/>
      <c r="R13" s="17"/>
      <c r="S13" s="208"/>
      <c r="T13" s="208"/>
      <c r="U13" s="208"/>
      <c r="V13" s="208"/>
      <c r="W13" s="208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3" ht="12.75" customHeight="1">
      <c r="A14" s="19"/>
      <c r="B14" s="17"/>
      <c r="C14" s="21" t="s">
        <v>12</v>
      </c>
      <c r="D14" s="116"/>
      <c r="E14" s="117"/>
      <c r="F14" s="117"/>
      <c r="G14" s="117"/>
      <c r="H14" s="117"/>
      <c r="I14" s="118">
        <f t="shared" si="0"/>
        <v>0</v>
      </c>
      <c r="J14" s="17"/>
      <c r="K14" s="21" t="str">
        <f>IF(I11=0,"","Boligblokk")</f>
        <v/>
      </c>
      <c r="L14" s="49" t="str">
        <f t="shared" si="1"/>
        <v/>
      </c>
      <c r="M14" s="159"/>
      <c r="N14" s="50" t="str">
        <f t="shared" si="2"/>
        <v/>
      </c>
      <c r="O14" s="159"/>
      <c r="P14" s="49" t="str">
        <f t="shared" si="3"/>
        <v/>
      </c>
      <c r="Q14" s="159"/>
      <c r="R14" s="17"/>
      <c r="S14" s="208"/>
      <c r="T14" s="208"/>
      <c r="U14" s="208"/>
      <c r="V14" s="208"/>
      <c r="W14" s="208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3">
      <c r="A15" s="19"/>
      <c r="B15" s="17"/>
      <c r="C15" s="21" t="s">
        <v>13</v>
      </c>
      <c r="D15" s="116"/>
      <c r="E15" s="117"/>
      <c r="F15" s="117"/>
      <c r="G15" s="117"/>
      <c r="H15" s="117"/>
      <c r="I15" s="118">
        <f t="shared" si="0"/>
        <v>0</v>
      </c>
      <c r="J15" s="17"/>
      <c r="K15" s="21" t="str">
        <f>IF(I11=0,"","Barnehage")</f>
        <v/>
      </c>
      <c r="L15" s="49" t="str">
        <f t="shared" si="1"/>
        <v/>
      </c>
      <c r="M15" s="159"/>
      <c r="N15" s="50" t="str">
        <f t="shared" si="2"/>
        <v/>
      </c>
      <c r="O15" s="159"/>
      <c r="P15" s="49" t="str">
        <f t="shared" si="3"/>
        <v/>
      </c>
      <c r="Q15" s="159"/>
      <c r="R15" s="17"/>
      <c r="S15" s="208"/>
      <c r="T15" s="208"/>
      <c r="U15" s="208"/>
      <c r="V15" s="208"/>
      <c r="W15" s="208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>
      <c r="A16" s="19"/>
      <c r="B16" s="17"/>
      <c r="C16" s="21" t="s">
        <v>24</v>
      </c>
      <c r="D16" s="116"/>
      <c r="E16" s="117"/>
      <c r="F16" s="117"/>
      <c r="G16" s="117"/>
      <c r="H16" s="117"/>
      <c r="I16" s="118">
        <f t="shared" si="0"/>
        <v>0</v>
      </c>
      <c r="J16" s="17"/>
      <c r="K16" s="21" t="str">
        <f>IF(I11=0,"","Kontorbygning")</f>
        <v/>
      </c>
      <c r="L16" s="49" t="str">
        <f t="shared" si="1"/>
        <v/>
      </c>
      <c r="M16" s="159"/>
      <c r="N16" s="50" t="str">
        <f t="shared" si="2"/>
        <v/>
      </c>
      <c r="O16" s="159">
        <v>-0.6</v>
      </c>
      <c r="P16" s="49" t="str">
        <f t="shared" si="3"/>
        <v/>
      </c>
      <c r="Q16" s="159"/>
      <c r="R16" s="17"/>
      <c r="S16" s="208"/>
      <c r="T16" s="208"/>
      <c r="U16" s="208"/>
      <c r="V16" s="208"/>
      <c r="W16" s="208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3">
      <c r="A17" s="19"/>
      <c r="B17" s="17"/>
      <c r="C17" s="21" t="s">
        <v>15</v>
      </c>
      <c r="D17" s="116"/>
      <c r="E17" s="117"/>
      <c r="F17" s="117"/>
      <c r="G17" s="117"/>
      <c r="H17" s="117"/>
      <c r="I17" s="118">
        <f t="shared" si="0"/>
        <v>0</v>
      </c>
      <c r="J17" s="17"/>
      <c r="K17" s="21" t="str">
        <f>IF(I11=0,"","Skolebygning")</f>
        <v/>
      </c>
      <c r="L17" s="49" t="str">
        <f t="shared" si="1"/>
        <v/>
      </c>
      <c r="M17" s="159"/>
      <c r="N17" s="50" t="str">
        <f t="shared" si="2"/>
        <v/>
      </c>
      <c r="O17" s="159"/>
      <c r="P17" s="49" t="str">
        <f t="shared" si="3"/>
        <v/>
      </c>
      <c r="Q17" s="159"/>
      <c r="R17" s="17"/>
      <c r="S17" s="208"/>
      <c r="T17" s="208"/>
      <c r="U17" s="208"/>
      <c r="V17" s="208"/>
      <c r="W17" s="208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3">
      <c r="A18" s="19"/>
      <c r="B18" s="17"/>
      <c r="C18" s="21" t="s">
        <v>16</v>
      </c>
      <c r="D18" s="116"/>
      <c r="E18" s="117"/>
      <c r="F18" s="117"/>
      <c r="G18" s="117"/>
      <c r="H18" s="117"/>
      <c r="I18" s="118">
        <f t="shared" si="0"/>
        <v>0</v>
      </c>
      <c r="J18" s="17"/>
      <c r="K18" s="21" t="str">
        <f>IF(I11=0,"","Universitet/høgskole")</f>
        <v/>
      </c>
      <c r="L18" s="49" t="str">
        <f t="shared" si="1"/>
        <v/>
      </c>
      <c r="M18" s="159"/>
      <c r="N18" s="50" t="str">
        <f t="shared" si="2"/>
        <v/>
      </c>
      <c r="O18" s="159"/>
      <c r="P18" s="49" t="str">
        <f t="shared" si="3"/>
        <v/>
      </c>
      <c r="Q18" s="159"/>
      <c r="R18" s="17"/>
      <c r="S18" s="208"/>
      <c r="T18" s="208"/>
      <c r="U18" s="208"/>
      <c r="V18" s="208"/>
      <c r="W18" s="208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3">
      <c r="A19" s="19"/>
      <c r="B19" s="17"/>
      <c r="C19" s="21" t="s">
        <v>17</v>
      </c>
      <c r="D19" s="116"/>
      <c r="E19" s="117"/>
      <c r="F19" s="117"/>
      <c r="G19" s="117"/>
      <c r="H19" s="117"/>
      <c r="I19" s="118">
        <f t="shared" si="0"/>
        <v>0</v>
      </c>
      <c r="J19" s="17"/>
      <c r="K19" s="21" t="str">
        <f>IF(I11=0,"","Sykehus")</f>
        <v/>
      </c>
      <c r="L19" s="49" t="str">
        <f t="shared" si="1"/>
        <v/>
      </c>
      <c r="M19" s="159"/>
      <c r="N19" s="50" t="str">
        <f t="shared" si="2"/>
        <v/>
      </c>
      <c r="O19" s="159"/>
      <c r="P19" s="49" t="str">
        <f t="shared" si="3"/>
        <v/>
      </c>
      <c r="Q19" s="159"/>
      <c r="R19" s="17"/>
      <c r="S19" s="208"/>
      <c r="T19" s="208"/>
      <c r="U19" s="208"/>
      <c r="V19" s="208"/>
      <c r="W19" s="208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3">
      <c r="A20" s="19"/>
      <c r="B20" s="17"/>
      <c r="C20" s="21" t="s">
        <v>18</v>
      </c>
      <c r="D20" s="116"/>
      <c r="E20" s="117"/>
      <c r="F20" s="117"/>
      <c r="G20" s="117"/>
      <c r="H20" s="117"/>
      <c r="I20" s="118">
        <f t="shared" si="0"/>
        <v>0</v>
      </c>
      <c r="J20" s="17"/>
      <c r="K20" s="21" t="str">
        <f>IF(I11=0,"","Sykehjem")</f>
        <v/>
      </c>
      <c r="L20" s="49" t="str">
        <f t="shared" si="1"/>
        <v/>
      </c>
      <c r="M20" s="159"/>
      <c r="N20" s="50" t="str">
        <f t="shared" si="2"/>
        <v/>
      </c>
      <c r="O20" s="159"/>
      <c r="P20" s="49" t="str">
        <f t="shared" si="3"/>
        <v/>
      </c>
      <c r="Q20" s="159"/>
      <c r="R20" s="17"/>
      <c r="S20" s="208"/>
      <c r="T20" s="208"/>
      <c r="U20" s="208"/>
      <c r="V20" s="208"/>
      <c r="W20" s="208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3">
      <c r="A21" s="19"/>
      <c r="B21" s="17"/>
      <c r="C21" s="21" t="s">
        <v>19</v>
      </c>
      <c r="D21" s="116"/>
      <c r="E21" s="117"/>
      <c r="F21" s="117"/>
      <c r="G21" s="117"/>
      <c r="H21" s="117"/>
      <c r="I21" s="118">
        <f t="shared" si="0"/>
        <v>0</v>
      </c>
      <c r="J21" s="17"/>
      <c r="K21" s="21" t="str">
        <f>IF(I11=0,"","Hotell")</f>
        <v/>
      </c>
      <c r="L21" s="49" t="str">
        <f t="shared" si="1"/>
        <v/>
      </c>
      <c r="M21" s="159"/>
      <c r="N21" s="50" t="str">
        <f t="shared" si="2"/>
        <v/>
      </c>
      <c r="O21" s="159"/>
      <c r="P21" s="49" t="str">
        <f t="shared" si="3"/>
        <v/>
      </c>
      <c r="Q21" s="159"/>
      <c r="R21" s="17"/>
      <c r="S21" s="208"/>
      <c r="T21" s="208"/>
      <c r="U21" s="208"/>
      <c r="V21" s="208"/>
      <c r="W21" s="208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>
      <c r="A22" s="19"/>
      <c r="B22" s="17"/>
      <c r="C22" s="21" t="s">
        <v>20</v>
      </c>
      <c r="D22" s="116"/>
      <c r="E22" s="117"/>
      <c r="F22" s="117"/>
      <c r="G22" s="117"/>
      <c r="H22" s="117"/>
      <c r="I22" s="118">
        <f t="shared" si="0"/>
        <v>0</v>
      </c>
      <c r="J22" s="17"/>
      <c r="K22" s="21" t="str">
        <f>IF(I11=0,"","Idrettsbygning")</f>
        <v/>
      </c>
      <c r="L22" s="49" t="str">
        <f t="shared" si="1"/>
        <v/>
      </c>
      <c r="M22" s="159"/>
      <c r="N22" s="50" t="str">
        <f t="shared" si="2"/>
        <v/>
      </c>
      <c r="O22" s="159"/>
      <c r="P22" s="49" t="str">
        <f t="shared" si="3"/>
        <v/>
      </c>
      <c r="Q22" s="159"/>
      <c r="R22" s="17"/>
      <c r="S22" s="208"/>
      <c r="T22" s="208"/>
      <c r="U22" s="208"/>
      <c r="V22" s="208"/>
      <c r="W22" s="208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>
      <c r="A23" s="19"/>
      <c r="B23" s="17"/>
      <c r="C23" s="21" t="s">
        <v>120</v>
      </c>
      <c r="D23" s="116"/>
      <c r="E23" s="117"/>
      <c r="F23" s="117"/>
      <c r="G23" s="117"/>
      <c r="H23" s="117"/>
      <c r="I23" s="118">
        <f t="shared" si="0"/>
        <v>0</v>
      </c>
      <c r="J23" s="17"/>
      <c r="K23" s="21" t="str">
        <f>IF(I11=0,"","Forretningsbygning")</f>
        <v/>
      </c>
      <c r="L23" s="49" t="str">
        <f t="shared" si="1"/>
        <v/>
      </c>
      <c r="M23" s="159"/>
      <c r="N23" s="50" t="str">
        <f t="shared" si="2"/>
        <v/>
      </c>
      <c r="O23" s="159"/>
      <c r="P23" s="49" t="str">
        <f t="shared" si="3"/>
        <v/>
      </c>
      <c r="Q23" s="159"/>
      <c r="R23" s="17"/>
      <c r="S23" s="208"/>
      <c r="T23" s="208"/>
      <c r="U23" s="208"/>
      <c r="V23" s="208"/>
      <c r="W23" s="208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>
      <c r="A24" s="19"/>
      <c r="B24" s="17"/>
      <c r="C24" s="21" t="s">
        <v>23</v>
      </c>
      <c r="D24" s="119"/>
      <c r="E24" s="120"/>
      <c r="F24" s="120"/>
      <c r="G24" s="120"/>
      <c r="H24" s="120"/>
      <c r="I24" s="121">
        <f t="shared" si="0"/>
        <v>0</v>
      </c>
      <c r="J24" s="17"/>
      <c r="K24" s="21" t="str">
        <f>IF(I11=0,"","Kulturbygning")</f>
        <v/>
      </c>
      <c r="L24" s="49" t="str">
        <f t="shared" si="1"/>
        <v/>
      </c>
      <c r="M24" s="159"/>
      <c r="N24" s="50" t="str">
        <f t="shared" si="2"/>
        <v/>
      </c>
      <c r="O24" s="159"/>
      <c r="P24" s="49" t="str">
        <f t="shared" ref="P24" si="4">IF(H24=0,"",IF(Q24="",50%,Q24))</f>
        <v/>
      </c>
      <c r="Q24" s="159"/>
      <c r="R24" s="17"/>
      <c r="S24" s="208"/>
      <c r="T24" s="208"/>
      <c r="U24" s="208"/>
      <c r="V24" s="208"/>
      <c r="W24" s="208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ht="21" customHeight="1">
      <c r="A25" s="19"/>
      <c r="B25" s="17"/>
      <c r="C25" s="21"/>
      <c r="D25" s="158" t="s">
        <v>366</v>
      </c>
      <c r="E25" s="17"/>
      <c r="F25" s="17"/>
      <c r="G25" s="17"/>
      <c r="H25" s="17"/>
      <c r="I25" s="17"/>
      <c r="J25" s="17"/>
      <c r="K25" s="158"/>
      <c r="L25" s="133" t="s">
        <v>426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 ht="21" customHeight="1">
      <c r="A26" s="19"/>
      <c r="B26" s="17"/>
      <c r="C26" s="20" t="s">
        <v>336</v>
      </c>
      <c r="D26" s="17"/>
      <c r="E26" s="17"/>
      <c r="F26" s="17"/>
      <c r="G26" s="17"/>
      <c r="H26" s="17"/>
      <c r="I26" s="17"/>
      <c r="J26" s="17"/>
      <c r="K26" s="20" t="s">
        <v>201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3" ht="14.25">
      <c r="A27" s="19"/>
      <c r="B27" s="17"/>
      <c r="C27" s="17"/>
      <c r="D27" s="17"/>
      <c r="E27" s="17"/>
      <c r="F27" s="17"/>
      <c r="G27" s="17"/>
      <c r="H27" s="17"/>
      <c r="I27" s="17"/>
      <c r="J27" s="17"/>
      <c r="K27" s="146" t="s">
        <v>335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ht="35.1" customHeight="1">
      <c r="A28" s="19"/>
      <c r="B28" s="17"/>
      <c r="C28" s="17"/>
      <c r="D28" s="196" t="s">
        <v>360</v>
      </c>
      <c r="E28" s="197"/>
      <c r="F28" s="197"/>
      <c r="G28" s="198"/>
      <c r="H28" s="17"/>
      <c r="I28" s="17"/>
      <c r="J28" s="17"/>
      <c r="K28" s="17"/>
      <c r="L28" s="17"/>
      <c r="M28" s="17"/>
      <c r="N28" s="17"/>
      <c r="O28" s="17"/>
      <c r="P28" s="205" t="s">
        <v>361</v>
      </c>
      <c r="Q28" s="206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</row>
    <row r="29" spans="1:33" ht="38.25">
      <c r="A29" s="19"/>
      <c r="B29" s="17"/>
      <c r="C29" s="17"/>
      <c r="D29" s="71" t="s">
        <v>218</v>
      </c>
      <c r="E29" s="70" t="s">
        <v>221</v>
      </c>
      <c r="F29" s="70" t="s">
        <v>219</v>
      </c>
      <c r="G29" s="72" t="s">
        <v>25</v>
      </c>
      <c r="H29" s="17"/>
      <c r="I29" s="17"/>
      <c r="J29" s="17"/>
      <c r="K29" s="40" t="s">
        <v>161</v>
      </c>
      <c r="L29" s="41"/>
      <c r="M29" s="53" t="s">
        <v>160</v>
      </c>
      <c r="N29" s="19"/>
      <c r="O29" s="19"/>
      <c r="P29" s="25" t="s">
        <v>145</v>
      </c>
      <c r="Q29" s="35" t="s">
        <v>147</v>
      </c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</row>
    <row r="30" spans="1:33">
      <c r="A30" s="19"/>
      <c r="B30" s="17"/>
      <c r="C30" s="21" t="s">
        <v>24</v>
      </c>
      <c r="D30" s="66"/>
      <c r="E30" s="67"/>
      <c r="F30" s="67"/>
      <c r="G30" s="78">
        <v>23</v>
      </c>
      <c r="H30" s="17"/>
      <c r="I30" s="17"/>
      <c r="J30" s="17"/>
      <c r="K30" s="26" t="s">
        <v>13</v>
      </c>
      <c r="L30" s="17"/>
      <c r="M30" s="54" t="s">
        <v>148</v>
      </c>
      <c r="N30" s="55"/>
      <c r="O30" s="56"/>
      <c r="P30" s="38">
        <v>1.9</v>
      </c>
      <c r="Q30" s="27">
        <v>5.5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</row>
    <row r="31" spans="1:33">
      <c r="A31" s="19"/>
      <c r="B31" s="17"/>
      <c r="C31" s="23"/>
      <c r="D31" s="17"/>
      <c r="E31" s="17"/>
      <c r="F31" s="17"/>
      <c r="G31" s="17"/>
      <c r="H31" s="17"/>
      <c r="I31" s="17"/>
      <c r="J31" s="17"/>
      <c r="K31" s="26" t="s">
        <v>144</v>
      </c>
      <c r="L31" s="17"/>
      <c r="M31" s="26" t="s">
        <v>149</v>
      </c>
      <c r="N31" s="17"/>
      <c r="O31" s="38"/>
      <c r="P31" s="38"/>
      <c r="Q31" s="2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</row>
    <row r="32" spans="1:33">
      <c r="A32" s="19"/>
      <c r="B32" s="17"/>
      <c r="C32" s="17"/>
      <c r="D32" s="77" t="s">
        <v>29</v>
      </c>
      <c r="E32" s="17"/>
      <c r="F32" s="17"/>
      <c r="G32" s="40" t="s">
        <v>165</v>
      </c>
      <c r="H32" s="35" t="s">
        <v>164</v>
      </c>
      <c r="I32" s="17"/>
      <c r="J32" s="17"/>
      <c r="K32" s="26" t="s">
        <v>14</v>
      </c>
      <c r="L32" s="17"/>
      <c r="M32" s="26" t="s">
        <v>150</v>
      </c>
      <c r="N32" s="17"/>
      <c r="O32" s="38"/>
      <c r="P32" s="38"/>
      <c r="Q32" s="2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</row>
    <row r="33" spans="1:33">
      <c r="A33" s="19"/>
      <c r="B33" s="17"/>
      <c r="C33" s="17"/>
      <c r="D33" s="83" t="s">
        <v>142</v>
      </c>
      <c r="E33" s="17"/>
      <c r="F33" s="21" t="s">
        <v>15</v>
      </c>
      <c r="G33" s="86" t="s">
        <v>151</v>
      </c>
      <c r="H33" s="82"/>
      <c r="I33" s="17"/>
      <c r="J33" s="17"/>
      <c r="K33" s="26" t="s">
        <v>15</v>
      </c>
      <c r="L33" s="17"/>
      <c r="M33" s="26" t="s">
        <v>151</v>
      </c>
      <c r="N33" s="17"/>
      <c r="O33" s="38"/>
      <c r="P33" s="38">
        <v>1</v>
      </c>
      <c r="Q33" s="27">
        <v>9</v>
      </c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</row>
    <row r="34" spans="1:33">
      <c r="A34" s="19"/>
      <c r="B34" s="17"/>
      <c r="C34" s="22" t="s">
        <v>36</v>
      </c>
      <c r="D34" s="76"/>
      <c r="E34" s="45" t="str">
        <f t="shared" ref="E34:E36" si="5">IF(I11&lt;&gt;0,IF(D34=""," Antall må angis",""),"")</f>
        <v/>
      </c>
      <c r="F34" s="21" t="s">
        <v>16</v>
      </c>
      <c r="G34" s="86" t="s">
        <v>152</v>
      </c>
      <c r="H34" s="82"/>
      <c r="I34" s="17"/>
      <c r="J34" s="17"/>
      <c r="K34" s="26" t="s">
        <v>16</v>
      </c>
      <c r="L34" s="17"/>
      <c r="M34" s="26" t="s">
        <v>152</v>
      </c>
      <c r="N34" s="17"/>
      <c r="O34" s="38"/>
      <c r="P34" s="38">
        <v>1</v>
      </c>
      <c r="Q34" s="27">
        <v>9</v>
      </c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</row>
    <row r="35" spans="1:33">
      <c r="A35" s="19"/>
      <c r="B35" s="17"/>
      <c r="C35" s="22" t="s">
        <v>37</v>
      </c>
      <c r="D35" s="76"/>
      <c r="E35" s="45" t="str">
        <f t="shared" si="5"/>
        <v/>
      </c>
      <c r="F35" s="21" t="s">
        <v>17</v>
      </c>
      <c r="G35" s="87" t="s">
        <v>162</v>
      </c>
      <c r="H35" s="82"/>
      <c r="I35" s="17"/>
      <c r="J35" s="17"/>
      <c r="K35" s="26" t="s">
        <v>17</v>
      </c>
      <c r="L35" s="17"/>
      <c r="M35" s="26" t="s">
        <v>153</v>
      </c>
      <c r="N35" s="17"/>
      <c r="O35" s="38"/>
      <c r="P35" s="38">
        <v>1.9</v>
      </c>
      <c r="Q35" s="27">
        <v>7.9</v>
      </c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</row>
    <row r="36" spans="1:33">
      <c r="A36" s="19"/>
      <c r="B36" s="17"/>
      <c r="C36" s="22" t="s">
        <v>139</v>
      </c>
      <c r="D36" s="76"/>
      <c r="E36" s="45" t="str">
        <f t="shared" si="5"/>
        <v/>
      </c>
      <c r="F36" s="21" t="s">
        <v>18</v>
      </c>
      <c r="G36" s="87" t="s">
        <v>162</v>
      </c>
      <c r="H36" s="82"/>
      <c r="I36" s="17"/>
      <c r="J36" s="17"/>
      <c r="K36" s="26" t="s">
        <v>18</v>
      </c>
      <c r="L36" s="17"/>
      <c r="M36" s="26" t="s">
        <v>154</v>
      </c>
      <c r="N36" s="17"/>
      <c r="O36" s="38"/>
      <c r="P36" s="38">
        <v>1.9</v>
      </c>
      <c r="Q36" s="27">
        <v>7.9</v>
      </c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</row>
    <row r="37" spans="1:33">
      <c r="A37" s="19"/>
      <c r="B37" s="17"/>
      <c r="C37" s="22" t="s">
        <v>12</v>
      </c>
      <c r="D37" s="162"/>
      <c r="E37" s="45" t="str">
        <f>IF(I14&lt;&gt;0,IF(D37=""," Antall må angis",""),"")</f>
        <v/>
      </c>
      <c r="F37" s="21" t="s">
        <v>19</v>
      </c>
      <c r="G37" s="87" t="s">
        <v>155</v>
      </c>
      <c r="H37" s="82"/>
      <c r="I37" s="17"/>
      <c r="J37" s="17"/>
      <c r="K37" s="26" t="s">
        <v>19</v>
      </c>
      <c r="L37" s="17"/>
      <c r="M37" s="26" t="s">
        <v>155</v>
      </c>
      <c r="N37" s="17"/>
      <c r="O37" s="38"/>
      <c r="P37" s="38">
        <v>1.9</v>
      </c>
      <c r="Q37" s="27">
        <v>7.9</v>
      </c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</row>
    <row r="38" spans="1:33">
      <c r="A38" s="19"/>
      <c r="B38" s="17"/>
      <c r="C38" s="22"/>
      <c r="D38" s="42"/>
      <c r="E38" s="17"/>
      <c r="F38" s="21" t="s">
        <v>20</v>
      </c>
      <c r="G38" s="88" t="s">
        <v>163</v>
      </c>
      <c r="H38" s="78"/>
      <c r="I38" s="17"/>
      <c r="J38" s="17"/>
      <c r="K38" s="26" t="s">
        <v>20</v>
      </c>
      <c r="L38" s="17"/>
      <c r="M38" s="26" t="s">
        <v>156</v>
      </c>
      <c r="N38" s="17"/>
      <c r="O38" s="38"/>
      <c r="P38" s="38">
        <v>0.2</v>
      </c>
      <c r="Q38" s="29">
        <v>4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</row>
    <row r="39" spans="1:33">
      <c r="A39" s="19"/>
      <c r="B39" s="17"/>
      <c r="C39" s="22"/>
      <c r="D39" s="42"/>
      <c r="E39" s="17"/>
      <c r="F39" s="17"/>
      <c r="G39" s="17"/>
      <c r="H39" s="17"/>
      <c r="I39" s="17"/>
      <c r="J39" s="17"/>
      <c r="K39" s="26" t="s">
        <v>21</v>
      </c>
      <c r="L39" s="17"/>
      <c r="M39" s="26" t="s">
        <v>157</v>
      </c>
      <c r="N39" s="17"/>
      <c r="O39" s="38"/>
      <c r="P39" s="38">
        <v>2</v>
      </c>
      <c r="Q39" s="27">
        <v>100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</row>
    <row r="40" spans="1:33" ht="18">
      <c r="A40" s="19"/>
      <c r="B40" s="17"/>
      <c r="C40" s="20" t="s">
        <v>337</v>
      </c>
      <c r="D40" s="17"/>
      <c r="E40" s="17"/>
      <c r="F40" s="17"/>
      <c r="G40" s="17"/>
      <c r="H40" s="17"/>
      <c r="I40" s="17"/>
      <c r="J40" s="17"/>
      <c r="K40" s="26" t="s">
        <v>22</v>
      </c>
      <c r="L40" s="17"/>
      <c r="M40" s="26" t="s">
        <v>158</v>
      </c>
      <c r="N40" s="17"/>
      <c r="O40" s="38"/>
      <c r="P40" s="38">
        <v>2</v>
      </c>
      <c r="Q40" s="27">
        <v>50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ht="14.25">
      <c r="A41" s="19"/>
      <c r="B41" s="17"/>
      <c r="C41" s="146" t="s">
        <v>415</v>
      </c>
      <c r="D41" s="17"/>
      <c r="E41" s="17"/>
      <c r="F41" s="17"/>
      <c r="G41" s="17"/>
      <c r="H41" s="17"/>
      <c r="I41" s="17"/>
      <c r="J41" s="17"/>
      <c r="K41" s="30" t="s">
        <v>23</v>
      </c>
      <c r="L41" s="52"/>
      <c r="M41" s="30" t="s">
        <v>159</v>
      </c>
      <c r="N41" s="52"/>
      <c r="O41" s="39"/>
      <c r="P41" s="39">
        <v>2</v>
      </c>
      <c r="Q41" s="31">
        <v>30</v>
      </c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2" spans="1:33">
      <c r="A42" s="19"/>
      <c r="B42" s="17"/>
      <c r="C42" s="17"/>
      <c r="D42" s="17"/>
      <c r="E42" s="17"/>
      <c r="F42" s="17"/>
      <c r="G42" s="17"/>
      <c r="H42" s="17"/>
      <c r="I42" s="17"/>
      <c r="J42" s="17"/>
      <c r="K42" s="14"/>
      <c r="L42" s="17"/>
      <c r="M42" s="14"/>
      <c r="N42" s="17"/>
      <c r="O42" s="17"/>
      <c r="P42" s="17"/>
      <c r="Q42" s="14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</row>
    <row r="43" spans="1:33" ht="36" customHeight="1">
      <c r="A43" s="19"/>
      <c r="B43" s="17"/>
      <c r="C43" s="17"/>
      <c r="D43" s="193" t="s">
        <v>242</v>
      </c>
      <c r="E43" s="194"/>
      <c r="F43" s="194"/>
      <c r="G43" s="194"/>
      <c r="H43" s="197" t="str">
        <f>"Klimagassutslipp, beregnet fra ZERO-T (tonn CO2e, "&amp;'Nøkkelinfo og veiledning'!$F$10&amp;"-"&amp;'Nøkkelinfo og veiledning'!$F$10+60&amp;")"</f>
        <v>Klimagassutslipp, beregnet fra ZERO-T (tonn CO2e, -60)</v>
      </c>
      <c r="I43" s="198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</row>
    <row r="44" spans="1:33">
      <c r="A44" s="19"/>
      <c r="B44" s="17"/>
      <c r="C44" s="17"/>
      <c r="D44" s="79" t="s">
        <v>143</v>
      </c>
      <c r="E44" s="80" t="s">
        <v>145</v>
      </c>
      <c r="F44" s="80" t="s">
        <v>146</v>
      </c>
      <c r="G44" s="80" t="s">
        <v>147</v>
      </c>
      <c r="H44" s="70" t="str">
        <f>"Spesifikk lokalisering, "&amp;'Nøkkelinfo og veiledning'!F12</f>
        <v xml:space="preserve">Spesifikk lokalisering, </v>
      </c>
      <c r="I44" s="72" t="e">
        <f>"Referanselokalisering, "&amp;VLOOKUP('Nøkkelinfo og veiledning'!$F$12,F190:G212,2,0)</f>
        <v>#N/A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</row>
    <row r="45" spans="1:33">
      <c r="A45" s="19"/>
      <c r="B45" s="17"/>
      <c r="C45" s="21" t="s">
        <v>203</v>
      </c>
      <c r="D45" s="122">
        <f>SUM(I11:I14)</f>
        <v>0</v>
      </c>
      <c r="E45" s="123"/>
      <c r="F45" s="124">
        <f>SUM(D133:D136)</f>
        <v>0</v>
      </c>
      <c r="G45" s="123"/>
      <c r="I45" s="82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</row>
    <row r="46" spans="1:33">
      <c r="A46" s="19"/>
      <c r="B46" s="17"/>
      <c r="C46" s="21" t="s">
        <v>13</v>
      </c>
      <c r="D46" s="122">
        <f>I15</f>
        <v>0</v>
      </c>
      <c r="E46" s="124">
        <f>$P$30*D46/100</f>
        <v>0</v>
      </c>
      <c r="F46" s="123"/>
      <c r="G46" s="124">
        <f>$Q$30*D46/100</f>
        <v>0</v>
      </c>
      <c r="I46" s="82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</row>
    <row r="47" spans="1:33">
      <c r="A47" s="19"/>
      <c r="B47" s="17"/>
      <c r="C47" s="21" t="s">
        <v>208</v>
      </c>
      <c r="D47" s="122">
        <f>I16</f>
        <v>0</v>
      </c>
      <c r="E47" s="124">
        <f>IFERROR(D137,0)</f>
        <v>0</v>
      </c>
      <c r="F47" s="123"/>
      <c r="G47" s="124">
        <f>D47*1.4</f>
        <v>0</v>
      </c>
      <c r="I47" s="82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</row>
    <row r="48" spans="1:33">
      <c r="A48" s="19"/>
      <c r="B48" s="17"/>
      <c r="C48" s="21" t="s">
        <v>209</v>
      </c>
      <c r="D48" s="122">
        <f t="shared" ref="D48:D55" si="6">I16</f>
        <v>0</v>
      </c>
      <c r="E48" s="124">
        <f>IFERROR(D137,0)</f>
        <v>0</v>
      </c>
      <c r="F48" s="123"/>
      <c r="G48" s="124">
        <f>D48*0.7</f>
        <v>0</v>
      </c>
      <c r="I48" s="82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</row>
    <row r="49" spans="1:33">
      <c r="A49" s="19"/>
      <c r="B49" s="17"/>
      <c r="C49" s="21" t="s">
        <v>15</v>
      </c>
      <c r="D49" s="122">
        <f t="shared" si="6"/>
        <v>0</v>
      </c>
      <c r="E49" s="124">
        <f>$P$33*D49/100</f>
        <v>0</v>
      </c>
      <c r="F49" s="123"/>
      <c r="G49" s="124">
        <f>IF(H$33="",$Q$33*D49/100,H$33)</f>
        <v>0</v>
      </c>
      <c r="I49" s="82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</row>
    <row r="50" spans="1:33">
      <c r="A50" s="19"/>
      <c r="B50" s="17"/>
      <c r="C50" s="21" t="s">
        <v>16</v>
      </c>
      <c r="D50" s="122">
        <f t="shared" si="6"/>
        <v>0</v>
      </c>
      <c r="E50" s="124">
        <f>$P$34*D50/100</f>
        <v>0</v>
      </c>
      <c r="F50" s="123"/>
      <c r="G50" s="124">
        <f>IF(H$34="",$Q$34*D50/100,H$34)</f>
        <v>0</v>
      </c>
      <c r="I50" s="82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</row>
    <row r="51" spans="1:33">
      <c r="A51" s="19"/>
      <c r="B51" s="17"/>
      <c r="C51" s="21" t="s">
        <v>17</v>
      </c>
      <c r="D51" s="122">
        <f t="shared" si="6"/>
        <v>0</v>
      </c>
      <c r="E51" s="124">
        <f>$P$35*D51/100</f>
        <v>0</v>
      </c>
      <c r="F51" s="123"/>
      <c r="G51" s="124">
        <f>IF(H$35="",$Q$35*D51/100,H$35)</f>
        <v>0</v>
      </c>
      <c r="I51" s="82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</row>
    <row r="52" spans="1:33">
      <c r="A52" s="19"/>
      <c r="B52" s="17"/>
      <c r="C52" s="21" t="s">
        <v>18</v>
      </c>
      <c r="D52" s="122">
        <f t="shared" si="6"/>
        <v>0</v>
      </c>
      <c r="E52" s="124">
        <f>$P$36*D52/100</f>
        <v>0</v>
      </c>
      <c r="F52" s="123"/>
      <c r="G52" s="124">
        <f>IF(H$36="",$Q$36*D52/100,H$36*0.25)</f>
        <v>0</v>
      </c>
      <c r="I52" s="82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</row>
    <row r="53" spans="1:33">
      <c r="A53" s="19"/>
      <c r="B53" s="17"/>
      <c r="C53" s="21" t="s">
        <v>19</v>
      </c>
      <c r="D53" s="122">
        <f t="shared" si="6"/>
        <v>0</v>
      </c>
      <c r="E53" s="124">
        <f>$P$37*D53/100</f>
        <v>0</v>
      </c>
      <c r="F53" s="123"/>
      <c r="G53" s="124">
        <f>IF(H$37="",$Q$37*D53/100,H$37)</f>
        <v>0</v>
      </c>
      <c r="I53" s="82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</row>
    <row r="54" spans="1:33">
      <c r="A54" s="19"/>
      <c r="B54" s="17"/>
      <c r="C54" s="21" t="s">
        <v>20</v>
      </c>
      <c r="D54" s="122">
        <f t="shared" si="6"/>
        <v>0</v>
      </c>
      <c r="E54" s="124">
        <f>$P$38*D54/100</f>
        <v>0</v>
      </c>
      <c r="F54" s="123"/>
      <c r="G54" s="124">
        <f>IF(H$38="",$Q$38*D54/100,H$38*109)</f>
        <v>0</v>
      </c>
      <c r="I54" s="82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</row>
    <row r="55" spans="1:33">
      <c r="A55" s="19"/>
      <c r="B55" s="17"/>
      <c r="C55" s="21" t="s">
        <v>210</v>
      </c>
      <c r="D55" s="122">
        <f t="shared" si="6"/>
        <v>0</v>
      </c>
      <c r="E55" s="124">
        <f>$P$39*D55/100</f>
        <v>0</v>
      </c>
      <c r="F55" s="123"/>
      <c r="G55" s="124">
        <f>100*D55/100</f>
        <v>0</v>
      </c>
      <c r="I55" s="82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</row>
    <row r="56" spans="1:33">
      <c r="A56" s="19"/>
      <c r="B56" s="17"/>
      <c r="C56" s="21" t="s">
        <v>211</v>
      </c>
      <c r="D56" s="122">
        <f>I23</f>
        <v>0</v>
      </c>
      <c r="E56" s="124">
        <f>$P$40*D56/100</f>
        <v>0</v>
      </c>
      <c r="F56" s="123"/>
      <c r="G56" s="124">
        <f>50*D56/100</f>
        <v>0</v>
      </c>
      <c r="I56" s="82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</row>
    <row r="57" spans="1:33">
      <c r="A57" s="19"/>
      <c r="B57" s="17"/>
      <c r="C57" s="21" t="s">
        <v>23</v>
      </c>
      <c r="D57" s="125">
        <f>I24</f>
        <v>0</v>
      </c>
      <c r="E57" s="126">
        <f>$P$41*D57/100</f>
        <v>0</v>
      </c>
      <c r="F57" s="127"/>
      <c r="G57" s="126">
        <f>30*D57/100</f>
        <v>0</v>
      </c>
      <c r="H57" s="67"/>
      <c r="I57" s="78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</row>
    <row r="58" spans="1:33">
      <c r="A58" s="19"/>
      <c r="B58" s="17"/>
      <c r="C58" s="17"/>
      <c r="D58" s="23" t="s">
        <v>206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</row>
    <row r="59" spans="1:33">
      <c r="A59" s="19"/>
      <c r="B59" s="17"/>
      <c r="C59" s="17"/>
      <c r="D59" s="37" t="s">
        <v>204</v>
      </c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</row>
    <row r="60" spans="1:33">
      <c r="A60" s="19"/>
      <c r="B60" s="17"/>
      <c r="C60" s="17"/>
      <c r="D60" s="37" t="s">
        <v>205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</row>
    <row r="61" spans="1:33">
      <c r="A61" s="19"/>
      <c r="B61" s="17"/>
      <c r="C61" s="37"/>
      <c r="D61" s="37" t="s">
        <v>207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</row>
    <row r="62" spans="1:33">
      <c r="A62" s="19"/>
      <c r="B62" s="17"/>
      <c r="C62" s="3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</row>
    <row r="63" spans="1:33">
      <c r="A63" s="19"/>
      <c r="B63" s="17"/>
      <c r="C63" s="183"/>
      <c r="D63" s="170"/>
      <c r="E63" s="170"/>
      <c r="F63" s="170"/>
      <c r="G63" s="170"/>
      <c r="H63" s="170"/>
      <c r="I63" s="170"/>
      <c r="J63" s="170"/>
      <c r="K63" s="170"/>
      <c r="L63" s="170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</row>
    <row r="64" spans="1:33">
      <c r="A64" s="19"/>
      <c r="B64" s="17"/>
      <c r="C64" s="183"/>
      <c r="D64" s="170"/>
      <c r="E64" s="170"/>
      <c r="F64" s="170"/>
      <c r="G64" s="170"/>
      <c r="H64" s="170"/>
      <c r="I64" s="170"/>
      <c r="J64" s="170"/>
      <c r="K64" s="170"/>
      <c r="L64" s="170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</row>
    <row r="65" spans="1:33">
      <c r="A65" s="19"/>
      <c r="B65" s="17"/>
      <c r="C65" s="183"/>
      <c r="D65" s="170"/>
      <c r="E65" s="170"/>
      <c r="F65" s="170"/>
      <c r="G65" s="170"/>
      <c r="H65" s="170"/>
      <c r="I65" s="170"/>
      <c r="J65" s="170"/>
      <c r="K65" s="170"/>
      <c r="L65" s="170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</row>
    <row r="66" spans="1:33">
      <c r="A66" s="19"/>
      <c r="B66" s="17"/>
      <c r="C66" s="183"/>
      <c r="D66" s="170"/>
      <c r="E66" s="170"/>
      <c r="F66" s="170"/>
      <c r="G66" s="170"/>
      <c r="H66" s="170"/>
      <c r="I66" s="170"/>
      <c r="J66" s="170"/>
      <c r="K66" s="170"/>
      <c r="L66" s="170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</row>
    <row r="67" spans="1:33">
      <c r="A67" s="19"/>
      <c r="B67" s="17"/>
      <c r="C67" s="183"/>
      <c r="D67" s="170"/>
      <c r="E67" s="170"/>
      <c r="F67" s="170"/>
      <c r="G67" s="170"/>
      <c r="H67" s="170"/>
      <c r="I67" s="170"/>
      <c r="J67" s="170"/>
      <c r="K67" s="170"/>
      <c r="L67" s="170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</row>
    <row r="68" spans="1:33">
      <c r="A68" s="19"/>
      <c r="B68" s="17"/>
      <c r="C68" s="183"/>
      <c r="D68" s="170"/>
      <c r="E68" s="170"/>
      <c r="F68" s="170"/>
      <c r="G68" s="170"/>
      <c r="H68" s="170"/>
      <c r="I68" s="170"/>
      <c r="J68" s="170"/>
      <c r="K68" s="170"/>
      <c r="L68" s="170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</row>
    <row r="69" spans="1:33">
      <c r="A69" s="19"/>
      <c r="B69" s="17"/>
      <c r="C69" s="183"/>
      <c r="D69" s="170"/>
      <c r="E69" s="170"/>
      <c r="F69" s="170"/>
      <c r="G69" s="170"/>
      <c r="H69" s="170"/>
      <c r="I69" s="170"/>
      <c r="J69" s="170"/>
      <c r="K69" s="170"/>
      <c r="L69" s="170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</row>
    <row r="70" spans="1:33">
      <c r="A70" s="19"/>
      <c r="B70" s="17"/>
      <c r="C70" s="183"/>
      <c r="D70" s="170"/>
      <c r="E70" s="170"/>
      <c r="F70" s="170"/>
      <c r="G70" s="170"/>
      <c r="H70" s="170"/>
      <c r="I70" s="170"/>
      <c r="J70" s="170"/>
      <c r="K70" s="170"/>
      <c r="L70" s="170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</row>
    <row r="71" spans="1:33">
      <c r="A71" s="19"/>
      <c r="B71" s="17"/>
      <c r="C71" s="183"/>
      <c r="D71" s="170"/>
      <c r="E71" s="170"/>
      <c r="F71" s="170"/>
      <c r="G71" s="170"/>
      <c r="H71" s="170"/>
      <c r="I71" s="170"/>
      <c r="J71" s="170"/>
      <c r="K71" s="170"/>
      <c r="L71" s="170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</row>
    <row r="72" spans="1:33">
      <c r="A72" s="19"/>
      <c r="B72" s="17"/>
      <c r="C72" s="183"/>
      <c r="D72" s="170"/>
      <c r="E72" s="170"/>
      <c r="F72" s="170"/>
      <c r="G72" s="170"/>
      <c r="H72" s="170"/>
      <c r="I72" s="170"/>
      <c r="J72" s="170"/>
      <c r="K72" s="170"/>
      <c r="L72" s="170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</row>
    <row r="73" spans="1:33">
      <c r="A73" s="19"/>
      <c r="B73" s="17"/>
      <c r="C73" s="183"/>
      <c r="D73" s="170"/>
      <c r="E73" s="170"/>
      <c r="F73" s="170"/>
      <c r="G73" s="170"/>
      <c r="H73" s="170"/>
      <c r="I73" s="170"/>
      <c r="J73" s="170"/>
      <c r="K73" s="170"/>
      <c r="L73" s="170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</row>
    <row r="74" spans="1:33">
      <c r="A74" s="19"/>
      <c r="B74" s="17"/>
      <c r="C74" s="183"/>
      <c r="D74" s="170"/>
      <c r="E74" s="170"/>
      <c r="F74" s="170"/>
      <c r="G74" s="170"/>
      <c r="H74" s="170"/>
      <c r="I74" s="170"/>
      <c r="J74" s="170"/>
      <c r="K74" s="170"/>
      <c r="L74" s="170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</row>
    <row r="75" spans="1:33">
      <c r="A75" s="19"/>
      <c r="B75" s="17"/>
      <c r="C75" s="183"/>
      <c r="D75" s="170"/>
      <c r="E75" s="170"/>
      <c r="F75" s="170"/>
      <c r="G75" s="170"/>
      <c r="H75" s="170"/>
      <c r="I75" s="170"/>
      <c r="J75" s="170"/>
      <c r="K75" s="170"/>
      <c r="L75" s="170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</row>
    <row r="76" spans="1:33">
      <c r="A76" s="19"/>
      <c r="B76" s="17"/>
      <c r="C76" s="183"/>
      <c r="D76" s="170"/>
      <c r="E76" s="170"/>
      <c r="F76" s="170"/>
      <c r="G76" s="170"/>
      <c r="H76" s="170"/>
      <c r="I76" s="170"/>
      <c r="J76" s="170"/>
      <c r="K76" s="170"/>
      <c r="L76" s="170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</row>
    <row r="77" spans="1:33">
      <c r="A77" s="19"/>
      <c r="B77" s="17"/>
      <c r="C77" s="183"/>
      <c r="D77" s="170"/>
      <c r="E77" s="170"/>
      <c r="F77" s="170"/>
      <c r="G77" s="170"/>
      <c r="H77" s="170"/>
      <c r="I77" s="170"/>
      <c r="J77" s="170"/>
      <c r="K77" s="170"/>
      <c r="L77" s="170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</row>
    <row r="78" spans="1:33">
      <c r="A78" s="19"/>
      <c r="B78" s="17"/>
      <c r="C78" s="183"/>
      <c r="D78" s="170"/>
      <c r="E78" s="170"/>
      <c r="F78" s="170"/>
      <c r="G78" s="170"/>
      <c r="H78" s="170"/>
      <c r="I78" s="170"/>
      <c r="J78" s="170"/>
      <c r="K78" s="170"/>
      <c r="L78" s="170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</row>
    <row r="79" spans="1:33">
      <c r="A79" s="19"/>
      <c r="B79" s="17"/>
      <c r="C79" s="183"/>
      <c r="D79" s="170"/>
      <c r="E79" s="170"/>
      <c r="F79" s="170"/>
      <c r="G79" s="170"/>
      <c r="H79" s="170"/>
      <c r="I79" s="170"/>
      <c r="J79" s="170"/>
      <c r="K79" s="170"/>
      <c r="L79" s="170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</row>
    <row r="80" spans="1:33">
      <c r="A80" s="19"/>
      <c r="B80" s="17"/>
      <c r="C80" s="183"/>
      <c r="D80" s="170"/>
      <c r="E80" s="170"/>
      <c r="F80" s="170"/>
      <c r="G80" s="170"/>
      <c r="H80" s="170"/>
      <c r="I80" s="170"/>
      <c r="J80" s="170"/>
      <c r="K80" s="170"/>
      <c r="L80" s="170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</row>
    <row r="81" spans="1:33">
      <c r="A81" s="19"/>
      <c r="B81" s="17"/>
      <c r="C81" s="183"/>
      <c r="D81" s="170"/>
      <c r="E81" s="170"/>
      <c r="F81" s="170"/>
      <c r="G81" s="170"/>
      <c r="H81" s="170"/>
      <c r="I81" s="170"/>
      <c r="J81" s="170"/>
      <c r="K81" s="170"/>
      <c r="L81" s="170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</row>
    <row r="82" spans="1:33">
      <c r="A82" s="19"/>
      <c r="B82" s="17"/>
      <c r="C82" s="183"/>
      <c r="D82" s="170"/>
      <c r="E82" s="170"/>
      <c r="F82" s="170"/>
      <c r="G82" s="170"/>
      <c r="H82" s="170"/>
      <c r="I82" s="170"/>
      <c r="J82" s="170"/>
      <c r="K82" s="170"/>
      <c r="L82" s="170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</row>
    <row r="83" spans="1:33">
      <c r="A83" s="19"/>
      <c r="B83" s="17"/>
      <c r="C83" s="183"/>
      <c r="D83" s="170"/>
      <c r="E83" s="170"/>
      <c r="F83" s="170"/>
      <c r="G83" s="170"/>
      <c r="H83" s="170"/>
      <c r="I83" s="170"/>
      <c r="J83" s="170"/>
      <c r="K83" s="170"/>
      <c r="L83" s="170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</row>
    <row r="84" spans="1:33">
      <c r="A84" s="19"/>
      <c r="B84" s="17"/>
      <c r="C84" s="183"/>
      <c r="D84" s="170"/>
      <c r="E84" s="170"/>
      <c r="F84" s="170"/>
      <c r="G84" s="170"/>
      <c r="H84" s="170"/>
      <c r="I84" s="170"/>
      <c r="J84" s="170"/>
      <c r="K84" s="170"/>
      <c r="L84" s="170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</row>
    <row r="85" spans="1:33">
      <c r="A85" s="19"/>
      <c r="B85" s="17"/>
      <c r="C85" s="183"/>
      <c r="D85" s="170"/>
      <c r="E85" s="170"/>
      <c r="F85" s="170"/>
      <c r="G85" s="170"/>
      <c r="H85" s="170"/>
      <c r="I85" s="170"/>
      <c r="J85" s="170"/>
      <c r="K85" s="170"/>
      <c r="L85" s="170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</row>
    <row r="86" spans="1:33">
      <c r="A86" s="19"/>
      <c r="B86" s="17"/>
      <c r="C86" s="183"/>
      <c r="D86" s="170"/>
      <c r="E86" s="170"/>
      <c r="F86" s="170"/>
      <c r="G86" s="170"/>
      <c r="H86" s="170"/>
      <c r="I86" s="170"/>
      <c r="J86" s="170"/>
      <c r="K86" s="170"/>
      <c r="L86" s="170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</row>
    <row r="87" spans="1:33">
      <c r="A87" s="19"/>
      <c r="B87" s="17"/>
      <c r="C87" s="183"/>
      <c r="D87" s="170"/>
      <c r="E87" s="170"/>
      <c r="F87" s="170"/>
      <c r="G87" s="170"/>
      <c r="H87" s="170"/>
      <c r="I87" s="170"/>
      <c r="J87" s="170"/>
      <c r="K87" s="170"/>
      <c r="L87" s="170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</row>
    <row r="88" spans="1:33">
      <c r="A88" s="19"/>
      <c r="B88" s="17"/>
      <c r="C88" s="183"/>
      <c r="D88" s="170"/>
      <c r="E88" s="170"/>
      <c r="F88" s="170"/>
      <c r="G88" s="170"/>
      <c r="H88" s="170"/>
      <c r="I88" s="170"/>
      <c r="J88" s="170"/>
      <c r="K88" s="170"/>
      <c r="L88" s="170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</row>
    <row r="89" spans="1:33">
      <c r="A89" s="19"/>
      <c r="B89" s="17"/>
      <c r="C89" s="183"/>
      <c r="D89" s="170"/>
      <c r="E89" s="170"/>
      <c r="F89" s="170"/>
      <c r="G89" s="170"/>
      <c r="H89" s="170"/>
      <c r="I89" s="170"/>
      <c r="J89" s="170"/>
      <c r="K89" s="170"/>
      <c r="L89" s="170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</row>
    <row r="90" spans="1:33">
      <c r="A90" s="19"/>
      <c r="B90" s="17"/>
      <c r="C90" s="183"/>
      <c r="D90" s="170"/>
      <c r="E90" s="170"/>
      <c r="F90" s="170"/>
      <c r="G90" s="170"/>
      <c r="H90" s="170"/>
      <c r="I90" s="170"/>
      <c r="J90" s="170"/>
      <c r="K90" s="170"/>
      <c r="L90" s="170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</row>
    <row r="91" spans="1:33">
      <c r="A91" s="19"/>
      <c r="B91" s="17"/>
      <c r="C91" s="183"/>
      <c r="D91" s="170"/>
      <c r="E91" s="170"/>
      <c r="F91" s="170"/>
      <c r="G91" s="170"/>
      <c r="H91" s="170"/>
      <c r="I91" s="170"/>
      <c r="J91" s="170"/>
      <c r="K91" s="170"/>
      <c r="L91" s="170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</row>
    <row r="92" spans="1:33">
      <c r="A92" s="19"/>
      <c r="B92" s="17"/>
      <c r="C92" s="183"/>
      <c r="D92" s="170"/>
      <c r="E92" s="170"/>
      <c r="F92" s="170"/>
      <c r="G92" s="170"/>
      <c r="H92" s="170"/>
      <c r="I92" s="170"/>
      <c r="J92" s="170"/>
      <c r="K92" s="170"/>
      <c r="L92" s="170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</row>
    <row r="93" spans="1:33">
      <c r="A93" s="19"/>
      <c r="B93" s="17"/>
      <c r="C93" s="183"/>
      <c r="D93" s="170"/>
      <c r="E93" s="170"/>
      <c r="F93" s="170"/>
      <c r="G93" s="170"/>
      <c r="H93" s="170"/>
      <c r="I93" s="170"/>
      <c r="J93" s="170"/>
      <c r="K93" s="170"/>
      <c r="L93" s="170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</row>
    <row r="94" spans="1:33">
      <c r="A94" s="19"/>
      <c r="B94" s="17"/>
      <c r="C94" s="183"/>
      <c r="D94" s="170"/>
      <c r="E94" s="170"/>
      <c r="F94" s="170"/>
      <c r="G94" s="170"/>
      <c r="H94" s="170"/>
      <c r="I94" s="170"/>
      <c r="J94" s="170"/>
      <c r="K94" s="170"/>
      <c r="L94" s="170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</row>
    <row r="95" spans="1:33">
      <c r="A95" s="19"/>
      <c r="B95" s="17"/>
      <c r="C95" s="183"/>
      <c r="D95" s="170"/>
      <c r="E95" s="170"/>
      <c r="F95" s="170"/>
      <c r="G95" s="170"/>
      <c r="H95" s="170"/>
      <c r="I95" s="170"/>
      <c r="J95" s="170"/>
      <c r="K95" s="170"/>
      <c r="L95" s="170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</row>
    <row r="96" spans="1:33">
      <c r="A96" s="19"/>
      <c r="B96" s="17"/>
      <c r="C96" s="183"/>
      <c r="D96" s="170"/>
      <c r="E96" s="170"/>
      <c r="F96" s="170"/>
      <c r="G96" s="170"/>
      <c r="H96" s="170"/>
      <c r="I96" s="170"/>
      <c r="J96" s="170"/>
      <c r="K96" s="170"/>
      <c r="L96" s="170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</row>
    <row r="97" spans="1:33">
      <c r="A97" s="19"/>
      <c r="B97" s="17"/>
      <c r="C97" s="183"/>
      <c r="D97" s="170"/>
      <c r="E97" s="170"/>
      <c r="F97" s="170"/>
      <c r="G97" s="170"/>
      <c r="H97" s="170"/>
      <c r="I97" s="170"/>
      <c r="J97" s="170"/>
      <c r="K97" s="170"/>
      <c r="L97" s="170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</row>
    <row r="98" spans="1:33">
      <c r="A98" s="19"/>
      <c r="B98" s="17"/>
      <c r="C98" s="183"/>
      <c r="D98" s="170"/>
      <c r="E98" s="170"/>
      <c r="F98" s="170"/>
      <c r="G98" s="170"/>
      <c r="H98" s="170"/>
      <c r="I98" s="170"/>
      <c r="J98" s="170"/>
      <c r="K98" s="170"/>
      <c r="L98" s="170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</row>
    <row r="99" spans="1:33">
      <c r="A99" s="19"/>
      <c r="B99" s="17"/>
      <c r="C99" s="183"/>
      <c r="D99" s="170"/>
      <c r="E99" s="170"/>
      <c r="F99" s="170"/>
      <c r="G99" s="170"/>
      <c r="H99" s="170"/>
      <c r="I99" s="170"/>
      <c r="J99" s="170"/>
      <c r="K99" s="170"/>
      <c r="L99" s="170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</row>
    <row r="100" spans="1:33">
      <c r="A100" s="19"/>
      <c r="B100" s="17"/>
      <c r="C100" s="183"/>
      <c r="D100" s="170"/>
      <c r="E100" s="170"/>
      <c r="F100" s="170"/>
      <c r="G100" s="170"/>
      <c r="H100" s="170"/>
      <c r="I100" s="170"/>
      <c r="J100" s="170"/>
      <c r="K100" s="170"/>
      <c r="L100" s="170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</row>
    <row r="101" spans="1:33">
      <c r="A101" s="19"/>
      <c r="B101" s="17"/>
      <c r="C101" s="183"/>
      <c r="D101" s="170"/>
      <c r="E101" s="170"/>
      <c r="F101" s="170"/>
      <c r="G101" s="170"/>
      <c r="H101" s="170"/>
      <c r="I101" s="170"/>
      <c r="J101" s="170"/>
      <c r="K101" s="170"/>
      <c r="L101" s="170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</row>
    <row r="102" spans="1:33">
      <c r="A102" s="19"/>
      <c r="B102" s="17"/>
      <c r="C102" s="183"/>
      <c r="D102" s="170"/>
      <c r="E102" s="170"/>
      <c r="F102" s="170"/>
      <c r="G102" s="170"/>
      <c r="H102" s="170"/>
      <c r="I102" s="170"/>
      <c r="J102" s="170"/>
      <c r="K102" s="170"/>
      <c r="L102" s="170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</row>
    <row r="103" spans="1:33">
      <c r="A103" s="19"/>
      <c r="B103" s="17"/>
      <c r="C103" s="183"/>
      <c r="D103" s="170"/>
      <c r="E103" s="170"/>
      <c r="F103" s="170"/>
      <c r="G103" s="170"/>
      <c r="H103" s="170"/>
      <c r="I103" s="170"/>
      <c r="J103" s="170"/>
      <c r="K103" s="170"/>
      <c r="L103" s="170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</row>
    <row r="104" spans="1:33">
      <c r="A104" s="19"/>
      <c r="B104" s="17"/>
      <c r="C104" s="183"/>
      <c r="D104" s="170"/>
      <c r="E104" s="170"/>
      <c r="F104" s="170"/>
      <c r="G104" s="170"/>
      <c r="H104" s="170"/>
      <c r="I104" s="170"/>
      <c r="J104" s="170"/>
      <c r="K104" s="170"/>
      <c r="L104" s="170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</row>
    <row r="105" spans="1:33">
      <c r="A105" s="19"/>
      <c r="B105" s="17"/>
      <c r="C105" s="223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</row>
    <row r="106" spans="1:33">
      <c r="A106" s="19"/>
      <c r="B106" s="17"/>
      <c r="C106" s="223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</row>
    <row r="107" spans="1:33">
      <c r="A107" s="19"/>
      <c r="B107" s="17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</row>
    <row r="108" spans="1:33">
      <c r="A108" s="19"/>
      <c r="B108" s="17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</row>
    <row r="109" spans="1:33">
      <c r="A109" s="19"/>
      <c r="B109" s="17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</row>
    <row r="110" spans="1:33">
      <c r="A110" s="19"/>
      <c r="B110" s="17"/>
      <c r="C110" s="226" t="s">
        <v>416</v>
      </c>
      <c r="D110" s="111">
        <v>1.1499999999999999</v>
      </c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</row>
    <row r="111" spans="1:33">
      <c r="A111" s="173"/>
      <c r="B111" s="170"/>
      <c r="C111" s="226" t="s">
        <v>423</v>
      </c>
      <c r="D111" s="111">
        <v>2</v>
      </c>
      <c r="E111" s="111">
        <v>3</v>
      </c>
      <c r="F111" s="111">
        <v>4</v>
      </c>
      <c r="G111" s="111">
        <v>5</v>
      </c>
      <c r="H111" s="111">
        <v>7</v>
      </c>
      <c r="I111" s="111"/>
      <c r="J111" s="111"/>
      <c r="K111" s="111"/>
      <c r="L111" s="111">
        <v>2</v>
      </c>
      <c r="M111" s="111">
        <v>3</v>
      </c>
      <c r="N111" s="111">
        <v>7</v>
      </c>
      <c r="O111" s="111">
        <v>7</v>
      </c>
      <c r="P111" s="111">
        <v>7</v>
      </c>
      <c r="Q111" s="111"/>
      <c r="R111" s="111"/>
      <c r="S111" s="111"/>
      <c r="T111" s="111"/>
      <c r="U111" s="111"/>
      <c r="V111" s="111"/>
      <c r="W111" s="17"/>
      <c r="X111" s="17"/>
      <c r="Y111" s="17"/>
      <c r="Z111" s="17"/>
    </row>
    <row r="112" spans="1:33">
      <c r="A112" s="173"/>
      <c r="B112" s="170"/>
      <c r="C112" s="111"/>
      <c r="D112" s="230" t="s">
        <v>412</v>
      </c>
      <c r="E112" s="230"/>
      <c r="F112" s="230"/>
      <c r="G112" s="230"/>
      <c r="H112" s="230"/>
      <c r="I112" s="111"/>
      <c r="J112" s="111"/>
      <c r="K112" s="111"/>
      <c r="L112" s="230" t="s">
        <v>412</v>
      </c>
      <c r="M112" s="230"/>
      <c r="N112" s="230"/>
      <c r="O112" s="230"/>
      <c r="P112" s="230"/>
      <c r="Q112" s="111"/>
      <c r="R112" s="111"/>
      <c r="S112" s="111"/>
      <c r="T112" s="111"/>
      <c r="U112" s="111"/>
      <c r="V112" s="111"/>
      <c r="W112" s="17"/>
      <c r="X112" s="17"/>
      <c r="Y112" s="17"/>
      <c r="Z112" s="17"/>
    </row>
    <row r="113" spans="1:26" ht="51">
      <c r="A113" s="173"/>
      <c r="B113" s="170"/>
      <c r="C113" s="111"/>
      <c r="D113" s="163" t="s">
        <v>218</v>
      </c>
      <c r="E113" s="163" t="s">
        <v>220</v>
      </c>
      <c r="F113" s="163" t="s">
        <v>221</v>
      </c>
      <c r="G113" s="163" t="s">
        <v>219</v>
      </c>
      <c r="H113" s="163" t="s">
        <v>25</v>
      </c>
      <c r="I113" s="111"/>
      <c r="J113" s="111"/>
      <c r="K113" s="111"/>
      <c r="L113" s="163" t="s">
        <v>218</v>
      </c>
      <c r="M113" s="163" t="s">
        <v>220</v>
      </c>
      <c r="N113" s="163" t="s">
        <v>221</v>
      </c>
      <c r="O113" s="163" t="s">
        <v>219</v>
      </c>
      <c r="P113" s="163" t="s">
        <v>25</v>
      </c>
      <c r="Q113" s="111"/>
      <c r="R113" s="111"/>
      <c r="S113" s="111"/>
      <c r="T113" s="111"/>
      <c r="U113" s="111"/>
      <c r="V113" s="111"/>
      <c r="W113" s="17"/>
      <c r="X113" s="17"/>
      <c r="Y113" s="17"/>
      <c r="Z113" s="17"/>
    </row>
    <row r="114" spans="1:26">
      <c r="A114" s="173"/>
      <c r="B114" s="170"/>
      <c r="C114" s="224" t="s">
        <v>36</v>
      </c>
      <c r="D114" s="240" t="e">
        <f>D11*(VLOOKUP('Nøkkelinfo og veiledning'!$F$10,Utslippsfaktorer!$C$7:$I$35,D$111,0)/$D$110)/1000</f>
        <v>#N/A</v>
      </c>
      <c r="E114" s="240" t="e">
        <f>E11*(VLOOKUP('Nøkkelinfo og veiledning'!$F$10,Utslippsfaktorer!$C$7:$I$35,E$111,0)/$D$110)/1000</f>
        <v>#N/A</v>
      </c>
      <c r="F114" s="240">
        <f>IFERROR(F11*(VLOOKUP('Nøkkelinfo og veiledning'!$F$10,Utslippsfaktorer!$C$7:$I$35,F$111,0)/D110)*(1+L11)/1000,0)</f>
        <v>0</v>
      </c>
      <c r="G114" s="240">
        <f>IFERROR(G11*(VLOOKUP('Nøkkelinfo og veiledning'!$F$10,Utslippsfaktorer!$C$7:$I$35,G$111,0)/D110)*(1+N11)/1000,0)</f>
        <v>0</v>
      </c>
      <c r="H114" s="240">
        <f>IFERROR(H11*(VLOOKUP('Nøkkelinfo og veiledning'!$F$10,Utslippsfaktorer!$C$7:$I$35,H$111,0)/D110)*(1+P11)/1000,0)</f>
        <v>0</v>
      </c>
      <c r="I114" s="111"/>
      <c r="J114" s="224"/>
      <c r="K114" s="224" t="s">
        <v>36</v>
      </c>
      <c r="L114" s="240" t="e">
        <f>D11*(VLOOKUP('Nøkkelinfo og veiledning'!$F$10,Utslippsfaktorer!$C$7:$I$35,L$111,0)/$D$110)/1000</f>
        <v>#N/A</v>
      </c>
      <c r="M114" s="240" t="e">
        <f>E11*(VLOOKUP('Nøkkelinfo og veiledning'!$F$10,Utslippsfaktorer!$C$7:$I$35,M$111,0)/$D$110)/1000</f>
        <v>#N/A</v>
      </c>
      <c r="N114" s="240" t="e">
        <f>F11*(VLOOKUP('Nøkkelinfo og veiledning'!$F$10,Utslippsfaktorer!$C$7:$I$35,N$111,0)/$D$110)/1000</f>
        <v>#N/A</v>
      </c>
      <c r="O114" s="240" t="e">
        <f>G11*(VLOOKUP('Nøkkelinfo og veiledning'!$F$10,Utslippsfaktorer!$C$7:$I$35,O$111,0)/$D$110)/1000</f>
        <v>#N/A</v>
      </c>
      <c r="P114" s="240" t="e">
        <f>H11*(VLOOKUP('Nøkkelinfo og veiledning'!$F$10,Utslippsfaktorer!$C$7:$I$35,P$111,0)/$D$110)/1000</f>
        <v>#N/A</v>
      </c>
      <c r="Q114" s="111"/>
      <c r="R114" s="111"/>
      <c r="S114" s="111"/>
      <c r="T114" s="111"/>
      <c r="U114" s="111"/>
      <c r="V114" s="111"/>
      <c r="W114" s="17"/>
      <c r="X114" s="17"/>
      <c r="Y114" s="17"/>
      <c r="Z114" s="17"/>
    </row>
    <row r="115" spans="1:26">
      <c r="A115" s="173"/>
      <c r="B115" s="170"/>
      <c r="C115" s="224" t="s">
        <v>37</v>
      </c>
      <c r="D115" s="240" t="e">
        <f>D12*(VLOOKUP('Nøkkelinfo og veiledning'!$F$10,Utslippsfaktorer!$C$7:$I$35,D$111,0)/$D$110)/1000</f>
        <v>#N/A</v>
      </c>
      <c r="E115" s="240" t="e">
        <f>E12*(VLOOKUP('Nøkkelinfo og veiledning'!$F$10,Utslippsfaktorer!$C$7:$I$35,E$111,0)/$D$110)/1000</f>
        <v>#N/A</v>
      </c>
      <c r="F115" s="240">
        <f>IFERROR(F12*(VLOOKUP('Nøkkelinfo og veiledning'!$F$10,Utslippsfaktorer!$C$7:$I$35,F$111,0)/D110)*(1+L12)/1000,0)</f>
        <v>0</v>
      </c>
      <c r="G115" s="240">
        <f>IFERROR(G12*(VLOOKUP('Nøkkelinfo og veiledning'!$F$10,Utslippsfaktorer!$C$7:$I$35,G$111,0)/D110)*(1+N12)/1000,0)</f>
        <v>0</v>
      </c>
      <c r="H115" s="240">
        <f>IFERROR(H12*(VLOOKUP('Nøkkelinfo og veiledning'!$F$10,Utslippsfaktorer!$C$7:$I$35,H$111,0)/D110)*(1+P12)/1000,0)</f>
        <v>0</v>
      </c>
      <c r="I115" s="111"/>
      <c r="J115" s="224"/>
      <c r="K115" s="224" t="s">
        <v>37</v>
      </c>
      <c r="L115" s="240" t="e">
        <f>D12*(VLOOKUP('Nøkkelinfo og veiledning'!$F$10,Utslippsfaktorer!$C$7:$I$35,L$111,0)/$D$110)/1000</f>
        <v>#N/A</v>
      </c>
      <c r="M115" s="240" t="e">
        <f>E12*(VLOOKUP('Nøkkelinfo og veiledning'!$F$10,Utslippsfaktorer!$C$7:$I$35,M$111,0)/$D$110)/1000</f>
        <v>#N/A</v>
      </c>
      <c r="N115" s="240" t="e">
        <f>F12*(VLOOKUP('Nøkkelinfo og veiledning'!$F$10,Utslippsfaktorer!$C$7:$I$35,N$111,0)/$D$110)/1000</f>
        <v>#N/A</v>
      </c>
      <c r="O115" s="240" t="e">
        <f>G12*(VLOOKUP('Nøkkelinfo og veiledning'!$F$10,Utslippsfaktorer!$C$7:$I$35,O$111,0)/$D$110)/1000</f>
        <v>#N/A</v>
      </c>
      <c r="P115" s="240" t="e">
        <f>H12*(VLOOKUP('Nøkkelinfo og veiledning'!$F$10,Utslippsfaktorer!$C$7:$I$35,P$111,0)/$D$110)/1000</f>
        <v>#N/A</v>
      </c>
      <c r="Q115" s="111"/>
      <c r="R115" s="111"/>
      <c r="S115" s="111"/>
      <c r="T115" s="111"/>
      <c r="U115" s="111"/>
      <c r="V115" s="111"/>
      <c r="W115" s="17"/>
      <c r="X115" s="17"/>
      <c r="Y115" s="17"/>
      <c r="Z115" s="17"/>
    </row>
    <row r="116" spans="1:26">
      <c r="A116" s="173"/>
      <c r="B116" s="170"/>
      <c r="C116" s="224" t="s">
        <v>139</v>
      </c>
      <c r="D116" s="240" t="e">
        <f>D13*(VLOOKUP('Nøkkelinfo og veiledning'!$F$10,Utslippsfaktorer!$C$7:$I$35,D$111,0)/$D$110)/1000</f>
        <v>#N/A</v>
      </c>
      <c r="E116" s="240" t="e">
        <f>E13*(VLOOKUP('Nøkkelinfo og veiledning'!$F$10,Utslippsfaktorer!$C$7:$I$35,E$111,0)/$D$110)/1000</f>
        <v>#N/A</v>
      </c>
      <c r="F116" s="240">
        <f>IFERROR(F13*(VLOOKUP('Nøkkelinfo og veiledning'!$F$10,Utslippsfaktorer!$C$7:$I$35,F$111,0)/D110)*(1+L13)/1000,0)</f>
        <v>0</v>
      </c>
      <c r="G116" s="240">
        <f>IFERROR(G13*(VLOOKUP('Nøkkelinfo og veiledning'!$F$10,Utslippsfaktorer!$C$7:$I$35,G$111,0)/D110)*(1+N13)/1000,0)</f>
        <v>0</v>
      </c>
      <c r="H116" s="240">
        <f>IFERROR(H13*(VLOOKUP('Nøkkelinfo og veiledning'!$F$10,Utslippsfaktorer!$C$7:$I$35,H$111,0)/D110)*(1+P13)/1000,0)</f>
        <v>0</v>
      </c>
      <c r="I116" s="111"/>
      <c r="J116" s="224"/>
      <c r="K116" s="224" t="s">
        <v>139</v>
      </c>
      <c r="L116" s="240" t="e">
        <f>D13*(VLOOKUP('Nøkkelinfo og veiledning'!$F$10,Utslippsfaktorer!$C$7:$I$35,L$111,0)/$D$110)/1000</f>
        <v>#N/A</v>
      </c>
      <c r="M116" s="240" t="e">
        <f>E13*(VLOOKUP('Nøkkelinfo og veiledning'!$F$10,Utslippsfaktorer!$C$7:$I$35,M$111,0)/$D$110)/1000</f>
        <v>#N/A</v>
      </c>
      <c r="N116" s="240" t="e">
        <f>F13*(VLOOKUP('Nøkkelinfo og veiledning'!$F$10,Utslippsfaktorer!$C$7:$I$35,N$111,0)/$D$110)/1000</f>
        <v>#N/A</v>
      </c>
      <c r="O116" s="240" t="e">
        <f>G13*(VLOOKUP('Nøkkelinfo og veiledning'!$F$10,Utslippsfaktorer!$C$7:$I$35,O$111,0)/$D$110)/1000</f>
        <v>#N/A</v>
      </c>
      <c r="P116" s="240" t="e">
        <f>H13*(VLOOKUP('Nøkkelinfo og veiledning'!$F$10,Utslippsfaktorer!$C$7:$I$35,P$111,0)/$D$110)/1000</f>
        <v>#N/A</v>
      </c>
      <c r="Q116" s="111"/>
      <c r="R116" s="111"/>
      <c r="S116" s="111"/>
      <c r="T116" s="111"/>
      <c r="U116" s="111"/>
      <c r="V116" s="111"/>
      <c r="W116" s="17"/>
      <c r="X116" s="17"/>
      <c r="Y116" s="17"/>
      <c r="Z116" s="17"/>
    </row>
    <row r="117" spans="1:26">
      <c r="A117" s="173"/>
      <c r="B117" s="170"/>
      <c r="C117" s="224" t="s">
        <v>12</v>
      </c>
      <c r="D117" s="240" t="e">
        <f>D14*(VLOOKUP('Nøkkelinfo og veiledning'!$F$10,Utslippsfaktorer!$K$7:$Q$35,D$111,0)/$D$110)/1000</f>
        <v>#N/A</v>
      </c>
      <c r="E117" s="240" t="e">
        <f>E14*(VLOOKUP('Nøkkelinfo og veiledning'!$F$10,Utslippsfaktorer!$K$7:$Q$35,E$111,0)/$D$110)/1000</f>
        <v>#N/A</v>
      </c>
      <c r="F117" s="240">
        <f>IFERROR(F14*(VLOOKUP('Nøkkelinfo og veiledning'!$F$10,Utslippsfaktorer!$K$7:$Q$35,F$111,0)/D110)*(1+L14)/1000,0)</f>
        <v>0</v>
      </c>
      <c r="G117" s="240">
        <f>IFERROR(G14*(VLOOKUP('Nøkkelinfo og veiledning'!$F$10,Utslippsfaktorer!$K$7:$Q$35,G$111,0)/D110)*(1+N14)/1000,0)</f>
        <v>0</v>
      </c>
      <c r="H117" s="240">
        <f>IFERROR(H14*(VLOOKUP('Nøkkelinfo og veiledning'!$F$10,Utslippsfaktorer!$K$7:$Q$35,H$111,0)/D110)*(1+P14)/1000,0)</f>
        <v>0</v>
      </c>
      <c r="I117" s="111"/>
      <c r="J117" s="224"/>
      <c r="K117" s="224" t="s">
        <v>12</v>
      </c>
      <c r="L117" s="240" t="e">
        <f>D14*(VLOOKUP('Nøkkelinfo og veiledning'!$F$10,Utslippsfaktorer!$K$7:$Q$35,L$111,0)/$D$110)/1000</f>
        <v>#N/A</v>
      </c>
      <c r="M117" s="240" t="e">
        <f>E14*(VLOOKUP('Nøkkelinfo og veiledning'!$F$10,Utslippsfaktorer!$K$7:$Q$35,M$111,0)/$D$110)/1000</f>
        <v>#N/A</v>
      </c>
      <c r="N117" s="240" t="e">
        <f>F14*(VLOOKUP('Nøkkelinfo og veiledning'!$F$10,Utslippsfaktorer!$K$7:$Q$35,N$111,0)/$D$110)/1000</f>
        <v>#N/A</v>
      </c>
      <c r="O117" s="240" t="e">
        <f>G14*(VLOOKUP('Nøkkelinfo og veiledning'!$F$10,Utslippsfaktorer!$K$7:$Q$35,O$111,0)/$D$110)/1000</f>
        <v>#N/A</v>
      </c>
      <c r="P117" s="240" t="e">
        <f>H14*(VLOOKUP('Nøkkelinfo og veiledning'!$F$10,Utslippsfaktorer!$K$7:$Q$35,P$111,0)/$D$110)/1000</f>
        <v>#N/A</v>
      </c>
      <c r="Q117" s="111"/>
      <c r="R117" s="111"/>
      <c r="S117" s="111"/>
      <c r="T117" s="111"/>
      <c r="U117" s="111"/>
      <c r="V117" s="111"/>
      <c r="W117" s="17"/>
      <c r="X117" s="17"/>
      <c r="Y117" s="17"/>
      <c r="Z117" s="17"/>
    </row>
    <row r="118" spans="1:26">
      <c r="A118" s="173"/>
      <c r="B118" s="170"/>
      <c r="C118" s="224" t="s">
        <v>13</v>
      </c>
      <c r="D118" s="240" t="e">
        <f>D15*(VLOOKUP('Nøkkelinfo og veiledning'!$F$10,Utslippsfaktorer!$S$7:$Y$35,D$111,0)/$D$110)/1000</f>
        <v>#N/A</v>
      </c>
      <c r="E118" s="240" t="e">
        <f>E15*(VLOOKUP('Nøkkelinfo og veiledning'!$F$10,Utslippsfaktorer!$S$7:$Y$35,E$111,0)/$D$110)/1000</f>
        <v>#N/A</v>
      </c>
      <c r="F118" s="240">
        <f>IFERROR(F15*(VLOOKUP('Nøkkelinfo og veiledning'!$F$10,Utslippsfaktorer!$S$7:$Y$35,F$111,0)/D110)*(1+L15)/1000,0)</f>
        <v>0</v>
      </c>
      <c r="G118" s="240">
        <f>IFERROR(G15*(VLOOKUP('Nøkkelinfo og veiledning'!$F$10,Utslippsfaktorer!$S$7:$Y$35,G$111,0)/D110)*(1+N15)/1000,0)</f>
        <v>0</v>
      </c>
      <c r="H118" s="240">
        <f>IFERROR(H15*(VLOOKUP('Nøkkelinfo og veiledning'!$F$10,Utslippsfaktorer!$S$7:$Y$35,H$111,0)/D110)*(1+P15)/1000,0)</f>
        <v>0</v>
      </c>
      <c r="I118" s="111"/>
      <c r="J118" s="224"/>
      <c r="K118" s="224" t="s">
        <v>13</v>
      </c>
      <c r="L118" s="240" t="e">
        <f>D15*(VLOOKUP('Nøkkelinfo og veiledning'!$F$10,Utslippsfaktorer!$S$7:$Y$35,L$111,0)/$D$110)/1000</f>
        <v>#N/A</v>
      </c>
      <c r="M118" s="240" t="e">
        <f>E15*(VLOOKUP('Nøkkelinfo og veiledning'!$F$10,Utslippsfaktorer!$S$7:$Y$35,M$111,0)/$D$110)/1000</f>
        <v>#N/A</v>
      </c>
      <c r="N118" s="240" t="e">
        <f>F15*(VLOOKUP('Nøkkelinfo og veiledning'!$F$10,Utslippsfaktorer!$S$7:$Y$35,N$111,0)/$D$110)/1000</f>
        <v>#N/A</v>
      </c>
      <c r="O118" s="240" t="e">
        <f>G15*(VLOOKUP('Nøkkelinfo og veiledning'!$F$10,Utslippsfaktorer!$S$7:$Y$35,O$111,0)/$D$110)/1000</f>
        <v>#N/A</v>
      </c>
      <c r="P118" s="240" t="e">
        <f>H15*(VLOOKUP('Nøkkelinfo og veiledning'!$F$10,Utslippsfaktorer!$S$7:$Y$35,P$111,0)/$D$110)/1000</f>
        <v>#N/A</v>
      </c>
      <c r="Q118" s="111"/>
      <c r="R118" s="111"/>
      <c r="S118" s="111"/>
      <c r="T118" s="111"/>
      <c r="U118" s="111"/>
      <c r="V118" s="111"/>
      <c r="W118" s="17"/>
      <c r="X118" s="17"/>
      <c r="Y118" s="17"/>
      <c r="Z118" s="17"/>
    </row>
    <row r="119" spans="1:26">
      <c r="A119" s="173"/>
      <c r="B119" s="170"/>
      <c r="C119" s="224" t="s">
        <v>24</v>
      </c>
      <c r="D119" s="240" t="e">
        <f>D16*(VLOOKUP('Nøkkelinfo og veiledning'!$F$10,Utslippsfaktorer!$AA$7:$AG$35,D$111,0)/$D$110)/1000</f>
        <v>#N/A</v>
      </c>
      <c r="E119" s="240" t="e">
        <f>E16*(VLOOKUP('Nøkkelinfo og veiledning'!$F$10,Utslippsfaktorer!$AA$7:$AG$35,E$111,0)/$D$110)/1000</f>
        <v>#N/A</v>
      </c>
      <c r="F119" s="240">
        <f>IFERROR(F16*(VLOOKUP('Nøkkelinfo og veiledning'!$F$10,Utslippsfaktorer!$AA$7:$AG$35,F$111,0)/D110)*(1+L16)/1000,0)</f>
        <v>0</v>
      </c>
      <c r="G119" s="240">
        <f>IFERROR(G16*(VLOOKUP('Nøkkelinfo og veiledning'!$F$10,Utslippsfaktorer!$AA$7:$AG$35,G$111,0)/D110)*(1+N16)/1000,0)</f>
        <v>0</v>
      </c>
      <c r="H119" s="240">
        <f>IFERROR(H16*(VLOOKUP('Nøkkelinfo og veiledning'!$F$10,Utslippsfaktorer!$AA$7:$AG$35,H$111,0)/D110)*(1+P16)/1000,0)</f>
        <v>0</v>
      </c>
      <c r="I119" s="111"/>
      <c r="J119" s="224"/>
      <c r="K119" s="224" t="s">
        <v>24</v>
      </c>
      <c r="L119" s="240" t="e">
        <f>D16*(VLOOKUP('Nøkkelinfo og veiledning'!$F$10,Utslippsfaktorer!$AA$7:$AG$35,L$111,0)/$D$110)/1000</f>
        <v>#N/A</v>
      </c>
      <c r="M119" s="240" t="e">
        <f>E16*(VLOOKUP('Nøkkelinfo og veiledning'!$F$10,Utslippsfaktorer!$AA$7:$AG$35,M$111,0)/$D$110)/1000</f>
        <v>#N/A</v>
      </c>
      <c r="N119" s="240" t="e">
        <f>F16*(VLOOKUP('Nøkkelinfo og veiledning'!$F$10,Utslippsfaktorer!$AA$7:$AG$35,N$111,0)/$D$110)/1000</f>
        <v>#N/A</v>
      </c>
      <c r="O119" s="240" t="e">
        <f>G16*(VLOOKUP('Nøkkelinfo og veiledning'!$F$10,Utslippsfaktorer!$AA$7:$AG$35,O$111,0)/$D$110)/1000</f>
        <v>#N/A</v>
      </c>
      <c r="P119" s="240" t="e">
        <f>H16*(VLOOKUP('Nøkkelinfo og veiledning'!$F$10,Utslippsfaktorer!$AA$7:$AG$35,P$111,0)/$D$110)/1000</f>
        <v>#N/A</v>
      </c>
      <c r="Q119" s="111"/>
      <c r="R119" s="111"/>
      <c r="S119" s="111"/>
      <c r="T119" s="111"/>
      <c r="U119" s="111"/>
      <c r="V119" s="111"/>
      <c r="W119" s="17"/>
      <c r="X119" s="17"/>
      <c r="Y119" s="17"/>
      <c r="Z119" s="17"/>
    </row>
    <row r="120" spans="1:26">
      <c r="A120" s="173"/>
      <c r="B120" s="170"/>
      <c r="C120" s="224" t="s">
        <v>15</v>
      </c>
      <c r="D120" s="240" t="e">
        <f>D17*(VLOOKUP('Nøkkelinfo og veiledning'!$F$10,Utslippsfaktorer!$AI$7:$AO$35,D$111,0)/$D$110)/1000</f>
        <v>#N/A</v>
      </c>
      <c r="E120" s="240" t="e">
        <f>E17*(VLOOKUP('Nøkkelinfo og veiledning'!$F$10,Utslippsfaktorer!$AI$7:$AO$35,E$111,0)/$D$110)/1000</f>
        <v>#N/A</v>
      </c>
      <c r="F120" s="240">
        <f>IFERROR(F17*(VLOOKUP('Nøkkelinfo og veiledning'!$F$10,Utslippsfaktorer!$AI$7:$AO$35,F$111,0)/D110)*(1+L17)/1000,0)</f>
        <v>0</v>
      </c>
      <c r="G120" s="240">
        <f>IFERROR(G17*(VLOOKUP('Nøkkelinfo og veiledning'!$F$10,Utslippsfaktorer!$AI$7:$AO$35,G$111,0)/D110)*(1+N17)/1000,0)</f>
        <v>0</v>
      </c>
      <c r="H120" s="240">
        <f>IFERROR(H17*(VLOOKUP('Nøkkelinfo og veiledning'!$F$10,Utslippsfaktorer!$AI$7:$AO$35,H$111,0)/D110)*(1+P17)/1000,0)</f>
        <v>0</v>
      </c>
      <c r="I120" s="111"/>
      <c r="J120" s="224"/>
      <c r="K120" s="224" t="s">
        <v>15</v>
      </c>
      <c r="L120" s="240" t="e">
        <f>D17*(VLOOKUP('Nøkkelinfo og veiledning'!$F$10,Utslippsfaktorer!$AI$7:$AO$35,L$111,0)/$D$110)/1000</f>
        <v>#N/A</v>
      </c>
      <c r="M120" s="240" t="e">
        <f>E17*(VLOOKUP('Nøkkelinfo og veiledning'!$F$10,Utslippsfaktorer!$AI$7:$AO$35,M$111,0)/$D$110)/1000</f>
        <v>#N/A</v>
      </c>
      <c r="N120" s="240" t="e">
        <f>F17*(VLOOKUP('Nøkkelinfo og veiledning'!$F$10,Utslippsfaktorer!$AI$7:$AO$35,N$111,0)/$D$110)/1000</f>
        <v>#N/A</v>
      </c>
      <c r="O120" s="240" t="e">
        <f>G17*(VLOOKUP('Nøkkelinfo og veiledning'!$F$10,Utslippsfaktorer!$AI$7:$AO$35,O$111,0)/$D$110)/1000</f>
        <v>#N/A</v>
      </c>
      <c r="P120" s="240" t="e">
        <f>H17*(VLOOKUP('Nøkkelinfo og veiledning'!$F$10,Utslippsfaktorer!$AI$7:$AO$35,P$111,0)/$D$110)/1000</f>
        <v>#N/A</v>
      </c>
      <c r="Q120" s="111"/>
      <c r="R120" s="111"/>
      <c r="S120" s="111"/>
      <c r="T120" s="111"/>
      <c r="U120" s="111"/>
      <c r="V120" s="111"/>
      <c r="W120" s="17"/>
      <c r="X120" s="17"/>
      <c r="Y120" s="17"/>
      <c r="Z120" s="17"/>
    </row>
    <row r="121" spans="1:26">
      <c r="A121" s="173"/>
      <c r="B121" s="170"/>
      <c r="C121" s="224" t="s">
        <v>16</v>
      </c>
      <c r="D121" s="240" t="e">
        <f>D18*(VLOOKUP('Nøkkelinfo og veiledning'!$F$10,Utslippsfaktorer!$AQ$7:$AW$35,D$111,0)/$D$110)/1000</f>
        <v>#N/A</v>
      </c>
      <c r="E121" s="240" t="e">
        <f>E18*(VLOOKUP('Nøkkelinfo og veiledning'!$F$10,Utslippsfaktorer!$AQ$7:$AW$35,E$111,0)/$D$110)/1000</f>
        <v>#N/A</v>
      </c>
      <c r="F121" s="240">
        <f>IFERROR(F18*(VLOOKUP('Nøkkelinfo og veiledning'!$F$10,Utslippsfaktorer!$AQ$7:$AW$35,F$111,0)/D110)*(1+L18)/1000,0)</f>
        <v>0</v>
      </c>
      <c r="G121" s="240">
        <f>IFERROR(G18*(VLOOKUP('Nøkkelinfo og veiledning'!$F$10,Utslippsfaktorer!$AQ$7:$AW$35,G$111,0)/D110)*(1+N18)/1000,0)</f>
        <v>0</v>
      </c>
      <c r="H121" s="240">
        <f>IFERROR(H18*(VLOOKUP('Nøkkelinfo og veiledning'!$F$10,Utslippsfaktorer!$AQ$7:$AW$35,H$111,0)/D110)*(1+P18)/1000,0)</f>
        <v>0</v>
      </c>
      <c r="I121" s="111"/>
      <c r="J121" s="224"/>
      <c r="K121" s="224" t="s">
        <v>16</v>
      </c>
      <c r="L121" s="240" t="e">
        <f>D18*(VLOOKUP('Nøkkelinfo og veiledning'!$F$10,Utslippsfaktorer!$AQ$7:$AW$35,L$111,0)/$D$110)/1000</f>
        <v>#N/A</v>
      </c>
      <c r="M121" s="240" t="e">
        <f>E18*(VLOOKUP('Nøkkelinfo og veiledning'!$F$10,Utslippsfaktorer!$AQ$7:$AW$35,M$111,0)/$D$110)/1000</f>
        <v>#N/A</v>
      </c>
      <c r="N121" s="240" t="e">
        <f>F18*(VLOOKUP('Nøkkelinfo og veiledning'!$F$10,Utslippsfaktorer!$AQ$7:$AW$35,N$111,0)/$D$110)/1000</f>
        <v>#N/A</v>
      </c>
      <c r="O121" s="240" t="e">
        <f>G18*(VLOOKUP('Nøkkelinfo og veiledning'!$F$10,Utslippsfaktorer!$AQ$7:$AW$35,O$111,0)/$D$110)/1000</f>
        <v>#N/A</v>
      </c>
      <c r="P121" s="240" t="e">
        <f>H18*(VLOOKUP('Nøkkelinfo og veiledning'!$F$10,Utslippsfaktorer!$AQ$7:$AW$35,P$111,0)/$D$110)/1000</f>
        <v>#N/A</v>
      </c>
      <c r="Q121" s="111"/>
      <c r="R121" s="111"/>
      <c r="S121" s="111"/>
      <c r="T121" s="111"/>
      <c r="U121" s="111"/>
      <c r="V121" s="111"/>
      <c r="W121" s="17"/>
      <c r="X121" s="17"/>
      <c r="Y121" s="17"/>
      <c r="Z121" s="17"/>
    </row>
    <row r="122" spans="1:26">
      <c r="A122" s="173"/>
      <c r="B122" s="170"/>
      <c r="C122" s="224" t="s">
        <v>17</v>
      </c>
      <c r="D122" s="240" t="e">
        <f>D19*(VLOOKUP('Nøkkelinfo og veiledning'!$F$10,Utslippsfaktorer!$C$44:$I$72,D$111,0)/$D$110)/1000</f>
        <v>#N/A</v>
      </c>
      <c r="E122" s="240" t="e">
        <f>E19*(VLOOKUP('Nøkkelinfo og veiledning'!$F$10,Utslippsfaktorer!$C$44:$I$72,E$111,0)/$D$110)/1000</f>
        <v>#N/A</v>
      </c>
      <c r="F122" s="240">
        <f>IFERROR(F19*(VLOOKUP('Nøkkelinfo og veiledning'!$F$10,Utslippsfaktorer!$C$44:$I$72,F$111,0)/D110)*(1+L19)/1000,0)</f>
        <v>0</v>
      </c>
      <c r="G122" s="240">
        <f>IFERROR(G19*(VLOOKUP('Nøkkelinfo og veiledning'!$F$10,Utslippsfaktorer!$C$44:$I$72,G$111,0)/D110)*(1+N19)/1000,0)</f>
        <v>0</v>
      </c>
      <c r="H122" s="240">
        <f>IFERROR(H19*(VLOOKUP('Nøkkelinfo og veiledning'!$F$10,Utslippsfaktorer!$C$44:$I$72,H$111,0)/D110)*(1+P19)/1000,0)</f>
        <v>0</v>
      </c>
      <c r="I122" s="111"/>
      <c r="J122" s="224"/>
      <c r="K122" s="224" t="s">
        <v>17</v>
      </c>
      <c r="L122" s="240" t="e">
        <f>D19*(VLOOKUP('Nøkkelinfo og veiledning'!$F$10,Utslippsfaktorer!$C$44:$I$72,L$111,0)/$D$110)/1000</f>
        <v>#N/A</v>
      </c>
      <c r="M122" s="240" t="e">
        <f>E19*(VLOOKUP('Nøkkelinfo og veiledning'!$F$10,Utslippsfaktorer!$C$44:$I$72,M$111,0)/$D$110)/1000</f>
        <v>#N/A</v>
      </c>
      <c r="N122" s="240" t="e">
        <f>F19*(VLOOKUP('Nøkkelinfo og veiledning'!$F$10,Utslippsfaktorer!$C$44:$I$72,N$111,0)/$D$110)/1000</f>
        <v>#N/A</v>
      </c>
      <c r="O122" s="240" t="e">
        <f>G19*(VLOOKUP('Nøkkelinfo og veiledning'!$F$10,Utslippsfaktorer!$C$44:$I$72,O$111,0)/$D$110)/1000</f>
        <v>#N/A</v>
      </c>
      <c r="P122" s="240" t="e">
        <f>H19*(VLOOKUP('Nøkkelinfo og veiledning'!$F$10,Utslippsfaktorer!$C$44:$I$72,P$111,0)/$D$110)/1000</f>
        <v>#N/A</v>
      </c>
      <c r="Q122" s="111"/>
      <c r="R122" s="111"/>
      <c r="S122" s="111"/>
      <c r="T122" s="111"/>
      <c r="U122" s="111"/>
      <c r="V122" s="111"/>
      <c r="W122" s="17"/>
      <c r="X122" s="17"/>
      <c r="Y122" s="17"/>
      <c r="Z122" s="17"/>
    </row>
    <row r="123" spans="1:26">
      <c r="A123" s="173"/>
      <c r="B123" s="170"/>
      <c r="C123" s="224" t="s">
        <v>18</v>
      </c>
      <c r="D123" s="240" t="e">
        <f>D20*(VLOOKUP('Nøkkelinfo og veiledning'!$F$10,Utslippsfaktorer!$K$44:$Q$72,D$111,0)/$D$110)/1000</f>
        <v>#N/A</v>
      </c>
      <c r="E123" s="240" t="e">
        <f>E20*(VLOOKUP('Nøkkelinfo og veiledning'!$F$10,Utslippsfaktorer!$K$44:$Q$72,E$111,0)/$D$110)/1000</f>
        <v>#N/A</v>
      </c>
      <c r="F123" s="240">
        <f>IFERROR(F20*(VLOOKUP('Nøkkelinfo og veiledning'!$F$10,Utslippsfaktorer!$K$44:$Q$72,F$111,0)/D110)*(1+L20)/1000,0)</f>
        <v>0</v>
      </c>
      <c r="G123" s="240">
        <f>IFERROR(G20*(VLOOKUP('Nøkkelinfo og veiledning'!$F$10,Utslippsfaktorer!$K$44:$Q$72,G$111,0)/D110)*(1+N20)/1000,0)</f>
        <v>0</v>
      </c>
      <c r="H123" s="240">
        <f>IFERROR(H20*(VLOOKUP('Nøkkelinfo og veiledning'!$F$10,Utslippsfaktorer!$K$44:$Q$72,H$111,0)/D110)*(1+P20)/1000,0)</f>
        <v>0</v>
      </c>
      <c r="I123" s="111"/>
      <c r="J123" s="224"/>
      <c r="K123" s="224" t="s">
        <v>18</v>
      </c>
      <c r="L123" s="240" t="e">
        <f>D20*(VLOOKUP('Nøkkelinfo og veiledning'!$F$10,Utslippsfaktorer!$K$44:$Q$72,L$111,0)/$D$110)/1000</f>
        <v>#N/A</v>
      </c>
      <c r="M123" s="240" t="e">
        <f>E20*(VLOOKUP('Nøkkelinfo og veiledning'!$F$10,Utslippsfaktorer!$K$44:$Q$72,M$111,0)/$D$110)/1000</f>
        <v>#N/A</v>
      </c>
      <c r="N123" s="240" t="e">
        <f>F20*(VLOOKUP('Nøkkelinfo og veiledning'!$F$10,Utslippsfaktorer!$K$44:$Q$72,N$111,0)/$D$110)/1000</f>
        <v>#N/A</v>
      </c>
      <c r="O123" s="240" t="e">
        <f>G20*(VLOOKUP('Nøkkelinfo og veiledning'!$F$10,Utslippsfaktorer!$K$44:$Q$72,O$111,0)/$D$110)/1000</f>
        <v>#N/A</v>
      </c>
      <c r="P123" s="240" t="e">
        <f>H20*(VLOOKUP('Nøkkelinfo og veiledning'!$F$10,Utslippsfaktorer!$K$44:$Q$72,P$111,0)/$D$110)/1000</f>
        <v>#N/A</v>
      </c>
      <c r="Q123" s="111"/>
      <c r="R123" s="111"/>
      <c r="S123" s="111"/>
      <c r="T123" s="111"/>
      <c r="U123" s="111"/>
      <c r="V123" s="111"/>
      <c r="W123" s="17"/>
      <c r="X123" s="17"/>
      <c r="Y123" s="17"/>
      <c r="Z123" s="17"/>
    </row>
    <row r="124" spans="1:26">
      <c r="A124" s="173"/>
      <c r="B124" s="170"/>
      <c r="C124" s="224" t="s">
        <v>19</v>
      </c>
      <c r="D124" s="240" t="e">
        <f>D21*(VLOOKUP('Nøkkelinfo og veiledning'!$F$10,Utslippsfaktorer!$S$42:$Y$72,D$111,0)/$D$110)/1000</f>
        <v>#N/A</v>
      </c>
      <c r="E124" s="240" t="e">
        <f>E21*(VLOOKUP('Nøkkelinfo og veiledning'!$F$10,Utslippsfaktorer!$S$42:$Y$72,E$111,0)/$D$110)/1000</f>
        <v>#N/A</v>
      </c>
      <c r="F124" s="240">
        <f>IFERROR(F21*(VLOOKUP('Nøkkelinfo og veiledning'!$F$10,Utslippsfaktorer!$S$42:$Y$72,F$111,0)/D110)*(1+L21)/1000,0)</f>
        <v>0</v>
      </c>
      <c r="G124" s="240">
        <f>IFERROR(G21*(VLOOKUP('Nøkkelinfo og veiledning'!$F$10,Utslippsfaktorer!$S$42:$Y$72,G$111,0)/D110)*(1+N21)/1000,0)</f>
        <v>0</v>
      </c>
      <c r="H124" s="240">
        <f>IFERROR(H21*(VLOOKUP('Nøkkelinfo og veiledning'!$F$10,Utslippsfaktorer!$S$42:$Y$72,H$111,0)/D110)*(1+P21)/1000,0)</f>
        <v>0</v>
      </c>
      <c r="I124" s="111"/>
      <c r="J124" s="224"/>
      <c r="K124" s="224" t="s">
        <v>19</v>
      </c>
      <c r="L124" s="240" t="e">
        <f>D21*(VLOOKUP('Nøkkelinfo og veiledning'!$F$10,Utslippsfaktorer!$S$42:$Y$72,L$111,0)/$D$110)/1000</f>
        <v>#N/A</v>
      </c>
      <c r="M124" s="240" t="e">
        <f>E21*(VLOOKUP('Nøkkelinfo og veiledning'!$F$10,Utslippsfaktorer!$S$42:$Y$72,M$111,0)/$D$110)/1000</f>
        <v>#N/A</v>
      </c>
      <c r="N124" s="240" t="e">
        <f>F21*(VLOOKUP('Nøkkelinfo og veiledning'!$F$10,Utslippsfaktorer!$S$42:$Y$72,N$111,0)/$D$110)/1000</f>
        <v>#N/A</v>
      </c>
      <c r="O124" s="240" t="e">
        <f>G21*(VLOOKUP('Nøkkelinfo og veiledning'!$F$10,Utslippsfaktorer!$S$42:$Y$72,O$111,0)/$D$110)/1000</f>
        <v>#N/A</v>
      </c>
      <c r="P124" s="240" t="e">
        <f>H21*(VLOOKUP('Nøkkelinfo og veiledning'!$F$10,Utslippsfaktorer!$S$42:$Y$72,P$111,0)/$D$110)/1000</f>
        <v>#N/A</v>
      </c>
      <c r="Q124" s="111"/>
      <c r="R124" s="111"/>
      <c r="S124" s="111"/>
      <c r="T124" s="111"/>
      <c r="U124" s="111"/>
      <c r="V124" s="111"/>
      <c r="W124" s="17"/>
      <c r="X124" s="17"/>
      <c r="Y124" s="17"/>
      <c r="Z124" s="17"/>
    </row>
    <row r="125" spans="1:26">
      <c r="A125" s="173"/>
      <c r="B125" s="170"/>
      <c r="C125" s="224" t="s">
        <v>20</v>
      </c>
      <c r="D125" s="240" t="e">
        <f>D22*(VLOOKUP('Nøkkelinfo og veiledning'!$F$10,Utslippsfaktorer!$AA$44:$AG$72,D$111,0)/$D$110)/1000</f>
        <v>#N/A</v>
      </c>
      <c r="E125" s="240" t="e">
        <f>E22*(VLOOKUP('Nøkkelinfo og veiledning'!$F$10,Utslippsfaktorer!$AA$44:$AG$72,E$111,0)/$D$110)/1000</f>
        <v>#N/A</v>
      </c>
      <c r="F125" s="240">
        <f>IFERROR(F22*(VLOOKUP('Nøkkelinfo og veiledning'!$F$10,Utslippsfaktorer!$AA$44:$AG$72,F$111,0)/D110)*(1+L22)/1000,0)</f>
        <v>0</v>
      </c>
      <c r="G125" s="240">
        <f>IFERROR(G22*(VLOOKUP('Nøkkelinfo og veiledning'!$F$10,Utslippsfaktorer!$AA$44:$AG$72,G$111,0)/D110)*(1+N22)/1000,0)</f>
        <v>0</v>
      </c>
      <c r="H125" s="240">
        <f>IFERROR(H22*(VLOOKUP('Nøkkelinfo og veiledning'!$F$10,Utslippsfaktorer!$AA$44:$AG$72,H$111,0)/D110)*(1+P22)/1000,0)</f>
        <v>0</v>
      </c>
      <c r="I125" s="111"/>
      <c r="J125" s="224"/>
      <c r="K125" s="224" t="s">
        <v>20</v>
      </c>
      <c r="L125" s="240" t="e">
        <f>D22*(VLOOKUP('Nøkkelinfo og veiledning'!$F$10,Utslippsfaktorer!$AA$44:$AG$72,L$111,0)/$D$110)/1000</f>
        <v>#N/A</v>
      </c>
      <c r="M125" s="240" t="e">
        <f>E22*(VLOOKUP('Nøkkelinfo og veiledning'!$F$10,Utslippsfaktorer!$AA$44:$AG$72,M$111,0)/$D$110)/1000</f>
        <v>#N/A</v>
      </c>
      <c r="N125" s="240" t="e">
        <f>F22*(VLOOKUP('Nøkkelinfo og veiledning'!$F$10,Utslippsfaktorer!$AA$44:$AG$72,N$111,0)/$D$110)/1000</f>
        <v>#N/A</v>
      </c>
      <c r="O125" s="240" t="e">
        <f>G22*(VLOOKUP('Nøkkelinfo og veiledning'!$F$10,Utslippsfaktorer!$AA$44:$AG$72,O$111,0)/$D$110)/1000</f>
        <v>#N/A</v>
      </c>
      <c r="P125" s="240" t="e">
        <f>H22*(VLOOKUP('Nøkkelinfo og veiledning'!$F$10,Utslippsfaktorer!$AA$44:$AG$72,P$111,0)/$D$110)/1000</f>
        <v>#N/A</v>
      </c>
      <c r="Q125" s="111"/>
      <c r="R125" s="111"/>
      <c r="S125" s="111"/>
      <c r="T125" s="111"/>
      <c r="U125" s="111"/>
      <c r="V125" s="111"/>
      <c r="W125" s="17"/>
      <c r="X125" s="17"/>
      <c r="Y125" s="17"/>
      <c r="Z125" s="17"/>
    </row>
    <row r="126" spans="1:26">
      <c r="A126" s="173"/>
      <c r="B126" s="170"/>
      <c r="C126" s="224" t="s">
        <v>120</v>
      </c>
      <c r="D126" s="240" t="e">
        <f>D23*(VLOOKUP('Nøkkelinfo og veiledning'!$F$10,Utslippsfaktorer!$AI$44:$AO$72,D$111,0)/$D$110)/1000</f>
        <v>#N/A</v>
      </c>
      <c r="E126" s="240" t="e">
        <f>E23*(VLOOKUP('Nøkkelinfo og veiledning'!$F$10,Utslippsfaktorer!$AI$44:$AO$72,E$111,0)/$D$110)/1000</f>
        <v>#N/A</v>
      </c>
      <c r="F126" s="240">
        <f>IFERROR(F23*(VLOOKUP('Nøkkelinfo og veiledning'!$F$10,Utslippsfaktorer!$AI$44:$AO$72,F$111,0)/D110)*(1+L23)/1000,0)</f>
        <v>0</v>
      </c>
      <c r="G126" s="240">
        <f>IFERROR(G23*(VLOOKUP('Nøkkelinfo og veiledning'!$F$10,Utslippsfaktorer!$AI$44:$AO$72,G$111,0)/D110)*(1+N23)/1000,0)</f>
        <v>0</v>
      </c>
      <c r="H126" s="240">
        <f>IFERROR(H23*(VLOOKUP('Nøkkelinfo og veiledning'!$F$10,Utslippsfaktorer!$AI$44:$AO$72,H$111,0)/D110)*(1+P23)/1000,0)</f>
        <v>0</v>
      </c>
      <c r="I126" s="111"/>
      <c r="J126" s="224"/>
      <c r="K126" s="224" t="s">
        <v>120</v>
      </c>
      <c r="L126" s="240" t="e">
        <f>D23*(VLOOKUP('Nøkkelinfo og veiledning'!$F$10,Utslippsfaktorer!$AI$44:$AO$72,L$111,0)/$D$110)/1000</f>
        <v>#N/A</v>
      </c>
      <c r="M126" s="240" t="e">
        <f>E23*(VLOOKUP('Nøkkelinfo og veiledning'!$F$10,Utslippsfaktorer!$AI$44:$AO$72,M$111,0)/$D$110)/1000</f>
        <v>#N/A</v>
      </c>
      <c r="N126" s="240" t="e">
        <f>F23*(VLOOKUP('Nøkkelinfo og veiledning'!$F$10,Utslippsfaktorer!$AI$44:$AO$72,N$111,0)/$D$110)/1000</f>
        <v>#N/A</v>
      </c>
      <c r="O126" s="240" t="e">
        <f>G23*(VLOOKUP('Nøkkelinfo og veiledning'!$F$10,Utslippsfaktorer!$AI$44:$AO$72,O$111,0)/$D$110)/1000</f>
        <v>#N/A</v>
      </c>
      <c r="P126" s="240" t="e">
        <f>H23*(VLOOKUP('Nøkkelinfo og veiledning'!$F$10,Utslippsfaktorer!$AI$44:$AO$72,P$111,0)/$D$110)/1000</f>
        <v>#N/A</v>
      </c>
      <c r="Q126" s="111"/>
      <c r="R126" s="111"/>
      <c r="S126" s="111"/>
      <c r="T126" s="111"/>
      <c r="U126" s="111"/>
      <c r="V126" s="111"/>
      <c r="W126" s="17"/>
      <c r="X126" s="17"/>
      <c r="Y126" s="17"/>
      <c r="Z126" s="17"/>
    </row>
    <row r="127" spans="1:26">
      <c r="A127" s="173"/>
      <c r="B127" s="170"/>
      <c r="C127" s="224" t="s">
        <v>23</v>
      </c>
      <c r="D127" s="240" t="e">
        <f>D24*(VLOOKUP('Nøkkelinfo og veiledning'!$F$10,Utslippsfaktorer!$AQ$44:$AW$72,D$111,0)/$D$110)/1000</f>
        <v>#N/A</v>
      </c>
      <c r="E127" s="240" t="e">
        <f>E24*(VLOOKUP('Nøkkelinfo og veiledning'!$F$10,Utslippsfaktorer!$AQ$44:$AW$72,E$111,0)/$D$110)/1000</f>
        <v>#N/A</v>
      </c>
      <c r="F127" s="240">
        <f>IFERROR(F24*(VLOOKUP('Nøkkelinfo og veiledning'!$F$10,Utslippsfaktorer!$AQ$44:$AW$72,F$111,0)/D110)*(1+L24)/1000,0)</f>
        <v>0</v>
      </c>
      <c r="G127" s="240">
        <f>IFERROR(G24*(VLOOKUP('Nøkkelinfo og veiledning'!$F$10,Utslippsfaktorer!$AQ$44:$AW$72,G$111,0)/D110)*(1+N24)/1000,0)</f>
        <v>0</v>
      </c>
      <c r="H127" s="240">
        <f>IFERROR(H24*(VLOOKUP('Nøkkelinfo og veiledning'!$F$10,Utslippsfaktorer!$AQ$44:$AW$72,H$111,0)/D110)*(1+P24)/1000,0)</f>
        <v>0</v>
      </c>
      <c r="I127" s="111"/>
      <c r="J127" s="224"/>
      <c r="K127" s="224" t="s">
        <v>23</v>
      </c>
      <c r="L127" s="240" t="e">
        <f>D24*(VLOOKUP('Nøkkelinfo og veiledning'!$F$10,Utslippsfaktorer!$AQ$44:$AW$72,L$111,0)/$D$110)/1000</f>
        <v>#N/A</v>
      </c>
      <c r="M127" s="240" t="e">
        <f>E24*(VLOOKUP('Nøkkelinfo og veiledning'!$F$10,Utslippsfaktorer!$AQ$44:$AW$72,M$111,0)/$D$110)/1000</f>
        <v>#N/A</v>
      </c>
      <c r="N127" s="240" t="e">
        <f>F24*(VLOOKUP('Nøkkelinfo og veiledning'!$F$10,Utslippsfaktorer!$AQ$44:$AW$72,N$111,0)/$D$110)/1000</f>
        <v>#N/A</v>
      </c>
      <c r="O127" s="240" t="e">
        <f>G24*(VLOOKUP('Nøkkelinfo og veiledning'!$F$10,Utslippsfaktorer!$AQ$44:$AW$72,O$111,0)/$D$110)/1000</f>
        <v>#N/A</v>
      </c>
      <c r="P127" s="240" t="e">
        <f>H24*(VLOOKUP('Nøkkelinfo og veiledning'!$F$10,Utslippsfaktorer!$AQ$44:$AW$72,P$111,0)/$D$110)/1000</f>
        <v>#N/A</v>
      </c>
      <c r="Q127" s="111"/>
      <c r="R127" s="111"/>
      <c r="S127" s="111"/>
      <c r="T127" s="111"/>
      <c r="U127" s="111"/>
      <c r="V127" s="111"/>
      <c r="W127" s="17"/>
      <c r="X127" s="17"/>
      <c r="Y127" s="17"/>
      <c r="Z127" s="17"/>
    </row>
    <row r="128" spans="1:26">
      <c r="A128" s="173"/>
      <c r="B128" s="17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7"/>
      <c r="X128" s="17"/>
      <c r="Y128" s="17"/>
      <c r="Z128" s="17"/>
    </row>
    <row r="129" spans="1:26">
      <c r="A129" s="173"/>
      <c r="B129" s="170"/>
      <c r="C129" s="111"/>
      <c r="D129" s="111"/>
      <c r="E129" s="111"/>
      <c r="F129" s="111"/>
      <c r="G129" s="111"/>
      <c r="H129" s="111"/>
      <c r="I129" s="111"/>
      <c r="J129" s="111"/>
      <c r="K129" s="111"/>
      <c r="L129" s="161"/>
      <c r="M129" s="161"/>
      <c r="N129" s="161"/>
      <c r="O129" s="161"/>
      <c r="P129" s="111"/>
      <c r="Q129" s="111"/>
      <c r="R129" s="111"/>
      <c r="S129" s="111"/>
      <c r="T129" s="111"/>
      <c r="U129" s="111"/>
      <c r="V129" s="111"/>
      <c r="W129" s="17"/>
      <c r="X129" s="17"/>
      <c r="Y129" s="17"/>
      <c r="Z129" s="17"/>
    </row>
    <row r="130" spans="1:26">
      <c r="A130" s="173"/>
      <c r="B130" s="170"/>
      <c r="C130" s="111"/>
      <c r="D130" s="111"/>
      <c r="E130" s="111"/>
      <c r="F130" s="111"/>
      <c r="G130" s="230"/>
      <c r="H130" s="230"/>
      <c r="I130" s="111"/>
      <c r="J130" s="111"/>
      <c r="K130" s="227"/>
      <c r="L130" s="241"/>
      <c r="M130" s="241"/>
      <c r="N130" s="241"/>
      <c r="O130" s="241"/>
      <c r="P130" s="227"/>
      <c r="Q130" s="227"/>
      <c r="R130" s="227"/>
      <c r="S130" s="227"/>
      <c r="T130" s="227"/>
      <c r="U130" s="227"/>
      <c r="V130" s="227"/>
    </row>
    <row r="131" spans="1:26">
      <c r="A131" s="173"/>
      <c r="B131" s="170"/>
      <c r="C131" s="111"/>
      <c r="D131" s="111"/>
      <c r="E131" s="111"/>
      <c r="F131" s="111"/>
      <c r="G131" s="111" t="s">
        <v>1</v>
      </c>
      <c r="H131" s="111" t="s">
        <v>217</v>
      </c>
      <c r="I131" s="111" t="s">
        <v>260</v>
      </c>
      <c r="J131" s="111"/>
      <c r="K131" s="227"/>
      <c r="L131" s="241"/>
      <c r="M131" s="241"/>
      <c r="N131" s="241"/>
      <c r="O131" s="241"/>
      <c r="P131" s="227"/>
      <c r="Q131" s="227"/>
      <c r="R131" s="227"/>
      <c r="S131" s="227"/>
      <c r="T131" s="227"/>
      <c r="U131" s="227"/>
      <c r="V131" s="227"/>
    </row>
    <row r="132" spans="1:26">
      <c r="A132" s="173"/>
      <c r="B132" s="170"/>
      <c r="C132" s="163"/>
      <c r="D132" s="163" t="s">
        <v>140</v>
      </c>
      <c r="E132" s="163"/>
      <c r="F132" s="242" t="s">
        <v>0</v>
      </c>
      <c r="G132" s="240" t="e">
        <f>SUM(L114:P127)</f>
        <v>#N/A</v>
      </c>
      <c r="H132" s="240" t="e">
        <f>SUM(D114:H127)</f>
        <v>#N/A</v>
      </c>
      <c r="I132" s="234" t="e">
        <f>1-(H132/G132)</f>
        <v>#N/A</v>
      </c>
      <c r="J132" s="111"/>
      <c r="K132" s="227"/>
      <c r="L132" s="241"/>
      <c r="M132" s="241"/>
      <c r="N132" s="241"/>
      <c r="O132" s="241"/>
      <c r="P132" s="227"/>
      <c r="Q132" s="227"/>
      <c r="R132" s="227"/>
      <c r="S132" s="227"/>
      <c r="T132" s="227"/>
      <c r="U132" s="227"/>
      <c r="V132" s="227"/>
    </row>
    <row r="133" spans="1:26">
      <c r="A133" s="173"/>
      <c r="B133" s="170"/>
      <c r="C133" s="224" t="s">
        <v>36</v>
      </c>
      <c r="D133" s="111">
        <f>IF(I11=0,0,D34*$E164)</f>
        <v>0</v>
      </c>
      <c r="E133" s="111"/>
      <c r="F133" s="111" t="s">
        <v>5</v>
      </c>
      <c r="G133" s="111">
        <f>SUM(I45:I57)</f>
        <v>0</v>
      </c>
      <c r="H133" s="111">
        <f>SUM(H45:H57)</f>
        <v>0</v>
      </c>
      <c r="I133" s="234">
        <f>IFERROR(1-(H133/G133),0)</f>
        <v>0</v>
      </c>
      <c r="J133" s="111"/>
      <c r="K133" s="227"/>
      <c r="L133" s="241"/>
      <c r="M133" s="241"/>
      <c r="N133" s="241"/>
      <c r="O133" s="241"/>
      <c r="P133" s="227"/>
      <c r="Q133" s="227"/>
      <c r="R133" s="227"/>
      <c r="S133" s="227"/>
      <c r="T133" s="227"/>
      <c r="U133" s="227"/>
      <c r="V133" s="227"/>
    </row>
    <row r="134" spans="1:26">
      <c r="A134" s="173"/>
      <c r="B134" s="170"/>
      <c r="C134" s="224" t="s">
        <v>37</v>
      </c>
      <c r="D134" s="111">
        <f>IF(I12=0,0,D35*$E165)</f>
        <v>0</v>
      </c>
      <c r="E134" s="111"/>
      <c r="F134" s="111"/>
      <c r="G134" s="111"/>
      <c r="H134" s="111"/>
      <c r="I134" s="111"/>
      <c r="J134" s="111"/>
      <c r="K134" s="227"/>
      <c r="L134" s="241"/>
      <c r="M134" s="241"/>
      <c r="N134" s="241"/>
      <c r="O134" s="241"/>
      <c r="P134" s="227"/>
      <c r="Q134" s="227"/>
      <c r="R134" s="227"/>
      <c r="S134" s="227"/>
      <c r="T134" s="227"/>
      <c r="U134" s="227"/>
      <c r="V134" s="227"/>
    </row>
    <row r="135" spans="1:26">
      <c r="A135" s="173"/>
      <c r="B135" s="170"/>
      <c r="C135" s="224" t="s">
        <v>139</v>
      </c>
      <c r="D135" s="111">
        <f>IF(I13=0,0,D36*$E166)</f>
        <v>0</v>
      </c>
      <c r="E135" s="111"/>
      <c r="F135" s="111"/>
      <c r="G135" s="111"/>
      <c r="H135" s="111"/>
      <c r="I135" s="111"/>
      <c r="J135" s="111"/>
      <c r="K135" s="227"/>
      <c r="L135" s="241"/>
      <c r="M135" s="241"/>
      <c r="N135" s="241"/>
      <c r="O135" s="241"/>
      <c r="P135" s="227"/>
      <c r="Q135" s="227"/>
      <c r="R135" s="227"/>
      <c r="S135" s="227"/>
      <c r="T135" s="227"/>
      <c r="U135" s="227"/>
      <c r="V135" s="227"/>
    </row>
    <row r="136" spans="1:26">
      <c r="A136" s="173"/>
      <c r="B136" s="170"/>
      <c r="C136" s="224" t="s">
        <v>12</v>
      </c>
      <c r="D136" s="111">
        <f>IF(I14=0,0,D37*$E167)</f>
        <v>0</v>
      </c>
      <c r="E136" s="111"/>
      <c r="F136" s="111"/>
      <c r="G136" s="111"/>
      <c r="H136" s="111"/>
      <c r="I136" s="111"/>
      <c r="J136" s="111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</row>
    <row r="137" spans="1:26">
      <c r="A137" s="173"/>
      <c r="B137" s="170"/>
      <c r="C137" s="224" t="s">
        <v>24</v>
      </c>
      <c r="D137" s="111" t="e">
        <f>SUM(D140:D143)</f>
        <v>#DIV/0!</v>
      </c>
      <c r="E137" s="111"/>
      <c r="F137" s="111"/>
      <c r="G137" s="111"/>
      <c r="H137" s="111"/>
      <c r="I137" s="111"/>
      <c r="J137" s="111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</row>
    <row r="138" spans="1:26">
      <c r="A138" s="173"/>
      <c r="B138" s="170"/>
      <c r="C138" s="111"/>
      <c r="D138" s="111"/>
      <c r="E138" s="111"/>
      <c r="F138" s="111"/>
      <c r="G138" s="111"/>
      <c r="H138" s="111"/>
      <c r="I138" s="111"/>
      <c r="J138" s="111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</row>
    <row r="139" spans="1:26">
      <c r="A139" s="173"/>
      <c r="B139" s="170"/>
      <c r="C139" s="111"/>
      <c r="D139" s="111" t="s">
        <v>141</v>
      </c>
      <c r="E139" s="111"/>
      <c r="F139" s="111"/>
      <c r="G139" s="111"/>
      <c r="H139" s="111"/>
      <c r="I139" s="111"/>
      <c r="J139" s="111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</row>
    <row r="140" spans="1:26">
      <c r="A140" s="173"/>
      <c r="B140" s="170"/>
      <c r="C140" s="232" t="s">
        <v>31</v>
      </c>
      <c r="D140" s="111" t="e">
        <f>D16/D30</f>
        <v>#DIV/0!</v>
      </c>
      <c r="E140" s="111"/>
      <c r="F140" s="111"/>
      <c r="G140" s="111"/>
      <c r="H140" s="111"/>
      <c r="I140" s="111"/>
      <c r="J140" s="111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</row>
    <row r="141" spans="1:26">
      <c r="A141" s="173"/>
      <c r="B141" s="170"/>
      <c r="C141" s="232" t="s">
        <v>27</v>
      </c>
      <c r="D141" s="111" t="e">
        <f>F16/E30</f>
        <v>#DIV/0!</v>
      </c>
      <c r="E141" s="111"/>
      <c r="F141" s="111"/>
      <c r="G141" s="111"/>
      <c r="H141" s="111"/>
      <c r="I141" s="111"/>
      <c r="J141" s="111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</row>
    <row r="142" spans="1:26">
      <c r="A142" s="173"/>
      <c r="B142" s="170"/>
      <c r="C142" s="232" t="s">
        <v>28</v>
      </c>
      <c r="D142" s="111" t="e">
        <f>G16/F30</f>
        <v>#DIV/0!</v>
      </c>
      <c r="E142" s="111"/>
      <c r="F142" s="111"/>
      <c r="G142" s="111"/>
      <c r="H142" s="111"/>
      <c r="I142" s="111"/>
      <c r="J142" s="111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</row>
    <row r="143" spans="1:26">
      <c r="A143" s="173"/>
      <c r="B143" s="170"/>
      <c r="C143" s="232" t="s">
        <v>25</v>
      </c>
      <c r="D143" s="111">
        <f>H16/G30</f>
        <v>0</v>
      </c>
      <c r="E143" s="111"/>
      <c r="F143" s="111"/>
      <c r="G143" s="111"/>
      <c r="H143" s="111"/>
      <c r="I143" s="111"/>
      <c r="J143" s="111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</row>
    <row r="144" spans="1:26">
      <c r="A144" s="173"/>
      <c r="B144" s="170"/>
      <c r="C144" s="111"/>
      <c r="D144" s="111"/>
      <c r="E144" s="111"/>
      <c r="F144" s="111"/>
      <c r="G144" s="111"/>
      <c r="H144" s="111"/>
      <c r="I144" s="111"/>
      <c r="J144" s="111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</row>
    <row r="145" spans="1:22">
      <c r="A145" s="173"/>
      <c r="B145" s="170"/>
      <c r="C145" s="224"/>
      <c r="D145" s="233" t="s">
        <v>128</v>
      </c>
      <c r="E145" s="111"/>
      <c r="F145" s="233"/>
      <c r="G145" s="111"/>
      <c r="H145" s="111"/>
      <c r="I145" s="111"/>
      <c r="J145" s="111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</row>
    <row r="146" spans="1:22">
      <c r="A146" s="173"/>
      <c r="B146" s="170"/>
      <c r="C146" s="224" t="s">
        <v>35</v>
      </c>
      <c r="D146" s="111"/>
      <c r="E146" s="111"/>
      <c r="F146" s="111"/>
      <c r="G146" s="111"/>
      <c r="H146" s="111"/>
      <c r="I146" s="111"/>
      <c r="J146" s="111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</row>
    <row r="147" spans="1:22">
      <c r="A147" s="173"/>
      <c r="B147" s="170"/>
      <c r="C147" s="224" t="s">
        <v>13</v>
      </c>
      <c r="D147" s="111">
        <f>I15</f>
        <v>0</v>
      </c>
      <c r="E147" s="111"/>
      <c r="F147" s="111"/>
      <c r="G147" s="111"/>
      <c r="H147" s="111"/>
      <c r="I147" s="111"/>
      <c r="J147" s="111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</row>
    <row r="148" spans="1:22">
      <c r="A148" s="173"/>
      <c r="B148" s="170"/>
      <c r="C148" s="224" t="s">
        <v>15</v>
      </c>
      <c r="D148" s="111">
        <f t="shared" ref="D148:D155" si="7">I17</f>
        <v>0</v>
      </c>
      <c r="E148" s="111"/>
      <c r="F148" s="111"/>
      <c r="G148" s="111"/>
      <c r="H148" s="111"/>
      <c r="I148" s="111"/>
      <c r="J148" s="111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</row>
    <row r="149" spans="1:22">
      <c r="A149" s="173"/>
      <c r="B149" s="170"/>
      <c r="C149" s="224" t="s">
        <v>16</v>
      </c>
      <c r="D149" s="111">
        <f t="shared" si="7"/>
        <v>0</v>
      </c>
      <c r="E149" s="111"/>
      <c r="F149" s="111"/>
      <c r="G149" s="111"/>
      <c r="H149" s="111"/>
      <c r="I149" s="111"/>
      <c r="J149" s="111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</row>
    <row r="150" spans="1:22">
      <c r="A150" s="173"/>
      <c r="B150" s="170"/>
      <c r="C150" s="224" t="s">
        <v>17</v>
      </c>
      <c r="D150" s="111">
        <f t="shared" si="7"/>
        <v>0</v>
      </c>
      <c r="E150" s="111"/>
      <c r="F150" s="111"/>
      <c r="G150" s="111"/>
      <c r="H150" s="111"/>
      <c r="I150" s="111"/>
      <c r="J150" s="111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</row>
    <row r="151" spans="1:22">
      <c r="A151" s="173"/>
      <c r="B151" s="170"/>
      <c r="C151" s="224" t="s">
        <v>18</v>
      </c>
      <c r="D151" s="111">
        <f t="shared" si="7"/>
        <v>0</v>
      </c>
      <c r="E151" s="111"/>
      <c r="F151" s="111"/>
      <c r="G151" s="111"/>
      <c r="H151" s="111"/>
      <c r="I151" s="111"/>
      <c r="J151" s="111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</row>
    <row r="152" spans="1:22">
      <c r="A152" s="173"/>
      <c r="B152" s="170"/>
      <c r="C152" s="224" t="s">
        <v>19</v>
      </c>
      <c r="D152" s="111">
        <f t="shared" si="7"/>
        <v>0</v>
      </c>
      <c r="E152" s="111"/>
      <c r="F152" s="111"/>
      <c r="G152" s="111"/>
      <c r="H152" s="111"/>
      <c r="I152" s="111"/>
      <c r="J152" s="111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</row>
    <row r="153" spans="1:22">
      <c r="A153" s="173"/>
      <c r="B153" s="170"/>
      <c r="C153" s="224" t="s">
        <v>20</v>
      </c>
      <c r="D153" s="111">
        <f t="shared" si="7"/>
        <v>0</v>
      </c>
      <c r="E153" s="111"/>
      <c r="F153" s="111"/>
      <c r="G153" s="111"/>
      <c r="H153" s="111"/>
      <c r="I153" s="111"/>
      <c r="J153" s="111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</row>
    <row r="154" spans="1:22">
      <c r="A154" s="173"/>
      <c r="B154" s="170"/>
      <c r="C154" s="224" t="s">
        <v>120</v>
      </c>
      <c r="D154" s="111">
        <f t="shared" si="7"/>
        <v>0</v>
      </c>
      <c r="E154" s="111"/>
      <c r="F154" s="111"/>
      <c r="G154" s="111"/>
      <c r="H154" s="111"/>
      <c r="I154" s="111"/>
      <c r="J154" s="111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</row>
    <row r="155" spans="1:22">
      <c r="A155" s="173"/>
      <c r="B155" s="170"/>
      <c r="C155" s="224" t="s">
        <v>23</v>
      </c>
      <c r="D155" s="111">
        <f t="shared" si="7"/>
        <v>0</v>
      </c>
      <c r="E155" s="111"/>
      <c r="F155" s="111"/>
      <c r="G155" s="111"/>
      <c r="H155" s="111"/>
      <c r="I155" s="111"/>
      <c r="J155" s="111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</row>
    <row r="156" spans="1:22">
      <c r="A156" s="173"/>
      <c r="B156" s="170"/>
      <c r="C156" s="111"/>
      <c r="D156" s="111"/>
      <c r="E156" s="111"/>
      <c r="F156" s="111"/>
      <c r="G156" s="111"/>
      <c r="H156" s="111"/>
      <c r="I156" s="111"/>
      <c r="J156" s="111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</row>
    <row r="157" spans="1:22">
      <c r="A157" s="173"/>
      <c r="B157" s="170"/>
      <c r="C157" s="111"/>
      <c r="D157" s="111"/>
      <c r="E157" s="111"/>
      <c r="F157" s="111"/>
      <c r="G157" s="111"/>
      <c r="H157" s="111"/>
      <c r="I157" s="111"/>
      <c r="J157" s="111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</row>
    <row r="158" spans="1:22">
      <c r="A158" s="173"/>
      <c r="B158" s="170"/>
      <c r="C158" s="111"/>
      <c r="D158" s="111"/>
      <c r="E158" s="111"/>
      <c r="F158" s="111"/>
      <c r="G158" s="111"/>
      <c r="H158" s="111"/>
      <c r="I158" s="111"/>
      <c r="J158" s="111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</row>
    <row r="159" spans="1:22">
      <c r="A159" s="173"/>
      <c r="B159" s="170"/>
      <c r="C159" s="111"/>
      <c r="D159" s="111"/>
      <c r="E159" s="111"/>
      <c r="F159" s="111"/>
      <c r="G159" s="111"/>
      <c r="H159" s="111"/>
      <c r="I159" s="111"/>
      <c r="J159" s="111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</row>
    <row r="160" spans="1:22">
      <c r="A160" s="173"/>
      <c r="B160" s="170"/>
      <c r="C160" s="111"/>
      <c r="D160" s="111"/>
      <c r="E160" s="111"/>
      <c r="F160" s="111"/>
      <c r="G160" s="111"/>
      <c r="H160" s="111"/>
      <c r="I160" s="111"/>
      <c r="J160" s="111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</row>
    <row r="161" spans="1:22">
      <c r="A161" s="173"/>
      <c r="B161" s="170"/>
      <c r="C161" s="111"/>
      <c r="D161" s="111"/>
      <c r="E161" s="111"/>
      <c r="F161" s="111"/>
      <c r="G161" s="111"/>
      <c r="H161" s="111"/>
      <c r="I161" s="111"/>
      <c r="J161" s="111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</row>
    <row r="162" spans="1:22">
      <c r="A162" s="173"/>
      <c r="B162" s="170"/>
      <c r="C162" s="111"/>
      <c r="D162" s="243" t="s">
        <v>41</v>
      </c>
      <c r="E162" s="111"/>
      <c r="F162" s="111"/>
      <c r="G162" s="111" t="s">
        <v>133</v>
      </c>
      <c r="H162" s="111">
        <v>0.9</v>
      </c>
      <c r="I162" s="111"/>
      <c r="J162" s="111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</row>
    <row r="163" spans="1:22">
      <c r="A163" s="173"/>
      <c r="B163" s="170"/>
      <c r="C163" s="111"/>
      <c r="D163" s="111" t="s">
        <v>39</v>
      </c>
      <c r="E163" s="111" t="s">
        <v>40</v>
      </c>
      <c r="F163" s="111"/>
      <c r="G163" s="111"/>
      <c r="H163" s="111"/>
      <c r="I163" s="111"/>
      <c r="J163" s="111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</row>
    <row r="164" spans="1:22">
      <c r="A164" s="173"/>
      <c r="B164" s="170"/>
      <c r="C164" s="111"/>
      <c r="D164" s="111" t="s">
        <v>36</v>
      </c>
      <c r="E164" s="111">
        <v>2.2000000000000002</v>
      </c>
      <c r="F164" s="111"/>
      <c r="G164" s="243" t="s">
        <v>43</v>
      </c>
      <c r="H164" s="111"/>
      <c r="I164" s="111"/>
      <c r="J164" s="111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</row>
    <row r="165" spans="1:22">
      <c r="A165" s="173"/>
      <c r="B165" s="170"/>
      <c r="C165" s="111"/>
      <c r="D165" s="111" t="s">
        <v>37</v>
      </c>
      <c r="E165" s="111">
        <v>2.5</v>
      </c>
      <c r="F165" s="111"/>
      <c r="G165" s="111" t="s">
        <v>42</v>
      </c>
      <c r="H165" s="111">
        <v>23</v>
      </c>
      <c r="I165" s="111" t="s">
        <v>11</v>
      </c>
      <c r="J165" s="111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</row>
    <row r="166" spans="1:22">
      <c r="A166" s="173"/>
      <c r="B166" s="170"/>
      <c r="C166" s="111"/>
      <c r="D166" s="111" t="s">
        <v>38</v>
      </c>
      <c r="E166" s="111">
        <v>2.2999999999999998</v>
      </c>
      <c r="F166" s="111"/>
      <c r="G166" s="111"/>
      <c r="H166" s="111"/>
      <c r="I166" s="111"/>
      <c r="J166" s="111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</row>
    <row r="167" spans="1:22">
      <c r="A167" s="173"/>
      <c r="B167" s="170"/>
      <c r="C167" s="111"/>
      <c r="D167" s="111" t="s">
        <v>12</v>
      </c>
      <c r="E167" s="111">
        <v>1.6</v>
      </c>
      <c r="F167" s="111"/>
      <c r="G167" s="111"/>
      <c r="H167" s="111"/>
      <c r="I167" s="111" t="s">
        <v>33</v>
      </c>
      <c r="J167" s="111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</row>
    <row r="168" spans="1:22">
      <c r="A168" s="173"/>
      <c r="B168" s="170"/>
      <c r="C168" s="111"/>
      <c r="D168" s="111"/>
      <c r="E168" s="111"/>
      <c r="F168" s="111">
        <v>2</v>
      </c>
      <c r="G168" s="237" t="s">
        <v>36</v>
      </c>
      <c r="H168" s="111" t="s">
        <v>34</v>
      </c>
      <c r="I168" s="235" t="e">
        <f>HLOOKUP('Nøkkelinfo og veiledning'!$F$11,Boligutbygging!$J$33:$O$37,F168,0)</f>
        <v>#N/A</v>
      </c>
      <c r="J168" s="111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</row>
    <row r="169" spans="1:22">
      <c r="A169" s="173"/>
      <c r="B169" s="170"/>
      <c r="C169" s="111"/>
      <c r="D169" s="111"/>
      <c r="E169" s="111"/>
      <c r="F169" s="111">
        <v>3</v>
      </c>
      <c r="G169" s="237" t="s">
        <v>37</v>
      </c>
      <c r="H169" s="111" t="s">
        <v>34</v>
      </c>
      <c r="I169" s="235" t="e">
        <f>HLOOKUP('Nøkkelinfo og veiledning'!$F$11,Boligutbygging!$J$33:$O$37,F169,0)</f>
        <v>#N/A</v>
      </c>
      <c r="J169" s="111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</row>
    <row r="170" spans="1:22">
      <c r="A170" s="173"/>
      <c r="B170" s="170"/>
      <c r="C170" s="111"/>
      <c r="D170" s="111"/>
      <c r="E170" s="111">
        <v>2023</v>
      </c>
      <c r="F170" s="111">
        <v>4</v>
      </c>
      <c r="G170" s="164" t="s">
        <v>38</v>
      </c>
      <c r="H170" s="111" t="s">
        <v>34</v>
      </c>
      <c r="I170" s="235" t="e">
        <f>HLOOKUP('Nøkkelinfo og veiledning'!$F$11,Boligutbygging!$J$33:$O$37,F170,0)</f>
        <v>#N/A</v>
      </c>
      <c r="J170" s="111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</row>
    <row r="171" spans="1:22">
      <c r="A171" s="173"/>
      <c r="B171" s="170"/>
      <c r="C171" s="111"/>
      <c r="D171" s="111"/>
      <c r="E171" s="111">
        <v>2024</v>
      </c>
      <c r="F171" s="111">
        <v>5</v>
      </c>
      <c r="G171" s="164" t="s">
        <v>12</v>
      </c>
      <c r="H171" s="111" t="s">
        <v>34</v>
      </c>
      <c r="I171" s="235" t="e">
        <f>HLOOKUP('Nøkkelinfo og veiledning'!$F$11,Boligutbygging!$J$33:$O$37,F171,0)</f>
        <v>#N/A</v>
      </c>
      <c r="J171" s="111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</row>
    <row r="172" spans="1:22">
      <c r="A172" s="173"/>
      <c r="B172" s="170"/>
      <c r="C172" s="111"/>
      <c r="D172" s="111"/>
      <c r="E172" s="111">
        <v>2025</v>
      </c>
      <c r="F172" s="111"/>
      <c r="G172" s="111" t="s">
        <v>35</v>
      </c>
      <c r="H172" s="111" t="s">
        <v>32</v>
      </c>
      <c r="I172" s="111">
        <f>H165</f>
        <v>23</v>
      </c>
      <c r="J172" s="111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</row>
    <row r="173" spans="1:22">
      <c r="A173" s="173"/>
      <c r="B173" s="170"/>
      <c r="C173" s="111"/>
      <c r="D173" s="111"/>
      <c r="E173" s="111">
        <v>2026</v>
      </c>
      <c r="F173" s="111"/>
      <c r="G173" s="111"/>
      <c r="H173" s="111"/>
      <c r="I173" s="111"/>
      <c r="J173" s="111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</row>
    <row r="174" spans="1:22">
      <c r="A174" s="173"/>
      <c r="B174" s="170"/>
      <c r="C174" s="111"/>
      <c r="D174" s="111"/>
      <c r="E174" s="111">
        <v>2027</v>
      </c>
      <c r="F174" s="111"/>
      <c r="G174" s="111"/>
      <c r="H174" s="111"/>
      <c r="I174" s="111"/>
      <c r="J174" s="111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</row>
    <row r="175" spans="1:22">
      <c r="A175" s="173"/>
      <c r="B175" s="170"/>
      <c r="C175" s="111"/>
      <c r="D175" s="111"/>
      <c r="E175" s="111">
        <v>2028</v>
      </c>
      <c r="F175" s="111"/>
      <c r="G175" s="111"/>
      <c r="H175" s="111"/>
      <c r="I175" s="111"/>
      <c r="J175" s="111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</row>
    <row r="176" spans="1:22">
      <c r="A176" s="173"/>
      <c r="B176" s="170"/>
      <c r="C176" s="111"/>
      <c r="D176" s="111"/>
      <c r="E176" s="111">
        <v>2029</v>
      </c>
      <c r="F176" s="111"/>
      <c r="G176" s="111"/>
      <c r="H176" s="111"/>
      <c r="I176" s="111"/>
      <c r="J176" s="111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</row>
    <row r="177" spans="1:22">
      <c r="A177" s="173"/>
      <c r="B177" s="170"/>
      <c r="C177" s="111"/>
      <c r="D177" s="111" t="s">
        <v>126</v>
      </c>
      <c r="E177" s="111">
        <v>2030</v>
      </c>
      <c r="F177" s="111"/>
      <c r="G177" s="111"/>
      <c r="H177" s="111"/>
      <c r="I177" s="111"/>
      <c r="J177" s="111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</row>
    <row r="178" spans="1:22">
      <c r="A178" s="173"/>
      <c r="B178" s="170"/>
      <c r="C178" s="111"/>
      <c r="D178" s="111">
        <v>2</v>
      </c>
      <c r="E178" s="111">
        <v>2031</v>
      </c>
      <c r="F178" s="111"/>
      <c r="G178" s="111"/>
      <c r="H178" s="111"/>
      <c r="I178" s="111"/>
      <c r="J178" s="111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</row>
    <row r="179" spans="1:22">
      <c r="A179" s="173"/>
      <c r="B179" s="170"/>
      <c r="C179" s="111"/>
      <c r="D179" s="111">
        <v>3</v>
      </c>
      <c r="E179" s="111">
        <v>2032</v>
      </c>
      <c r="F179" s="111"/>
      <c r="G179" s="111"/>
      <c r="H179" s="111"/>
      <c r="I179" s="111"/>
      <c r="J179" s="111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</row>
    <row r="180" spans="1:22">
      <c r="A180" s="173"/>
      <c r="B180" s="170"/>
      <c r="C180" s="111"/>
      <c r="D180" s="111">
        <v>4</v>
      </c>
      <c r="E180" s="111">
        <v>2033</v>
      </c>
      <c r="F180" s="111"/>
      <c r="G180" s="111"/>
      <c r="H180" s="111"/>
      <c r="I180" s="111"/>
      <c r="J180" s="111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</row>
    <row r="181" spans="1:22">
      <c r="A181" s="173"/>
      <c r="B181" s="170"/>
      <c r="C181" s="111"/>
      <c r="D181" s="111"/>
      <c r="E181" s="111">
        <v>2034</v>
      </c>
      <c r="F181" s="111"/>
      <c r="G181" s="111"/>
      <c r="H181" s="111"/>
      <c r="I181" s="111"/>
      <c r="J181" s="111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</row>
    <row r="182" spans="1:22">
      <c r="A182" s="173"/>
      <c r="B182" s="170"/>
      <c r="C182" s="111"/>
      <c r="D182" s="111"/>
      <c r="E182" s="111">
        <v>2035</v>
      </c>
      <c r="F182" s="111"/>
      <c r="G182" s="111"/>
      <c r="H182" s="111"/>
      <c r="I182" s="111"/>
      <c r="J182" s="111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</row>
    <row r="183" spans="1:22">
      <c r="A183" s="173"/>
      <c r="B183" s="170"/>
      <c r="C183" s="111"/>
      <c r="D183" s="111"/>
      <c r="E183" s="111">
        <v>2036</v>
      </c>
      <c r="F183" s="111"/>
      <c r="G183" s="111"/>
      <c r="H183" s="111"/>
      <c r="I183" s="111"/>
      <c r="J183" s="111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</row>
    <row r="184" spans="1:22">
      <c r="A184" s="173"/>
      <c r="B184" s="170"/>
      <c r="C184" s="111"/>
      <c r="D184" s="111"/>
      <c r="E184" s="111">
        <v>2037</v>
      </c>
      <c r="F184" s="111"/>
      <c r="G184" s="111"/>
      <c r="H184" s="111"/>
      <c r="I184" s="111"/>
      <c r="J184" s="111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</row>
    <row r="185" spans="1:22">
      <c r="A185" s="173"/>
      <c r="B185" s="170"/>
      <c r="C185" s="111"/>
      <c r="D185" s="111"/>
      <c r="E185" s="111">
        <v>2038</v>
      </c>
      <c r="F185" s="111"/>
      <c r="G185" s="111"/>
      <c r="H185" s="111"/>
      <c r="I185" s="111"/>
      <c r="J185" s="111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</row>
    <row r="186" spans="1:22">
      <c r="A186" s="173"/>
      <c r="B186" s="170"/>
      <c r="C186" s="111"/>
      <c r="D186" s="111"/>
      <c r="E186" s="111">
        <v>2039</v>
      </c>
      <c r="F186" s="111"/>
      <c r="G186" s="111"/>
      <c r="H186" s="111"/>
      <c r="I186" s="111"/>
      <c r="J186" s="111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</row>
    <row r="187" spans="1:22">
      <c r="A187" s="173"/>
      <c r="B187" s="170"/>
      <c r="C187" s="111"/>
      <c r="D187" s="111"/>
      <c r="E187" s="111">
        <v>2040</v>
      </c>
      <c r="F187" s="111"/>
      <c r="G187" s="111"/>
      <c r="H187" s="111"/>
      <c r="I187" s="111"/>
      <c r="J187" s="111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</row>
    <row r="188" spans="1:22">
      <c r="A188" s="173"/>
      <c r="B188" s="170"/>
      <c r="C188" s="111"/>
      <c r="D188" s="111"/>
      <c r="E188" s="111"/>
      <c r="F188" s="111"/>
      <c r="G188" s="111"/>
      <c r="H188" s="111"/>
      <c r="I188" s="111"/>
      <c r="J188" s="111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</row>
    <row r="189" spans="1:22">
      <c r="A189" s="173"/>
      <c r="B189" s="170"/>
      <c r="C189" s="111"/>
      <c r="D189" s="111" t="s">
        <v>119</v>
      </c>
      <c r="E189" s="111"/>
      <c r="F189" s="238" t="s">
        <v>8</v>
      </c>
      <c r="G189" s="238" t="s">
        <v>9</v>
      </c>
      <c r="H189" s="111"/>
      <c r="I189" s="111"/>
      <c r="J189" s="111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</row>
    <row r="190" spans="1:22">
      <c r="A190" s="173"/>
      <c r="B190" s="170"/>
      <c r="C190" s="111"/>
      <c r="D190" s="111" t="s">
        <v>44</v>
      </c>
      <c r="E190" s="111"/>
      <c r="F190" s="239" t="s">
        <v>167</v>
      </c>
      <c r="G190" s="239" t="s">
        <v>167</v>
      </c>
      <c r="H190" s="111"/>
      <c r="I190" s="111"/>
      <c r="J190" s="111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</row>
    <row r="191" spans="1:22">
      <c r="A191" s="173"/>
      <c r="B191" s="170"/>
      <c r="C191" s="111"/>
      <c r="D191" s="111" t="s">
        <v>45</v>
      </c>
      <c r="E191" s="111"/>
      <c r="F191" s="239" t="s">
        <v>177</v>
      </c>
      <c r="G191" s="239" t="s">
        <v>168</v>
      </c>
      <c r="H191" s="111"/>
      <c r="I191" s="111"/>
      <c r="J191" s="111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</row>
    <row r="192" spans="1:22">
      <c r="A192" s="173"/>
      <c r="B192" s="170"/>
      <c r="C192" s="111"/>
      <c r="D192" s="111" t="s">
        <v>46</v>
      </c>
      <c r="E192" s="111"/>
      <c r="F192" s="239" t="s">
        <v>169</v>
      </c>
      <c r="G192" s="239" t="s">
        <v>169</v>
      </c>
      <c r="H192" s="111"/>
      <c r="I192" s="111"/>
      <c r="J192" s="111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</row>
    <row r="193" spans="1:22">
      <c r="A193" s="173"/>
      <c r="B193" s="170"/>
      <c r="C193" s="111"/>
      <c r="D193" s="111" t="s">
        <v>10</v>
      </c>
      <c r="E193" s="111"/>
      <c r="F193" s="239" t="s">
        <v>170</v>
      </c>
      <c r="G193" s="239" t="s">
        <v>170</v>
      </c>
      <c r="H193" s="111"/>
      <c r="I193" s="111"/>
      <c r="J193" s="111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</row>
    <row r="194" spans="1:22">
      <c r="A194" s="173"/>
      <c r="B194" s="170"/>
      <c r="C194" s="111"/>
      <c r="D194" s="111" t="s">
        <v>47</v>
      </c>
      <c r="E194" s="111"/>
      <c r="F194" s="239" t="s">
        <v>171</v>
      </c>
      <c r="G194" s="239" t="s">
        <v>171</v>
      </c>
      <c r="H194" s="111"/>
      <c r="I194" s="111"/>
      <c r="J194" s="111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</row>
    <row r="195" spans="1:22">
      <c r="A195" s="173"/>
      <c r="B195" s="170"/>
      <c r="C195" s="111"/>
      <c r="D195" s="111" t="s">
        <v>48</v>
      </c>
      <c r="E195" s="111"/>
      <c r="F195" s="239" t="s">
        <v>178</v>
      </c>
      <c r="G195" s="239" t="s">
        <v>172</v>
      </c>
      <c r="H195" s="111"/>
      <c r="I195" s="111"/>
      <c r="J195" s="111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</row>
    <row r="196" spans="1:22">
      <c r="A196" s="173"/>
      <c r="B196" s="170"/>
      <c r="C196" s="111"/>
      <c r="D196" s="111"/>
      <c r="E196" s="111"/>
      <c r="F196" s="239" t="s">
        <v>179</v>
      </c>
      <c r="G196" s="239" t="s">
        <v>172</v>
      </c>
      <c r="H196" s="111"/>
      <c r="I196" s="111"/>
      <c r="J196" s="111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</row>
    <row r="197" spans="1:22">
      <c r="A197" s="173"/>
      <c r="B197" s="170"/>
      <c r="C197" s="111"/>
      <c r="D197" s="111"/>
      <c r="E197" s="111"/>
      <c r="F197" s="239" t="s">
        <v>180</v>
      </c>
      <c r="G197" s="239" t="s">
        <v>172</v>
      </c>
      <c r="H197" s="111"/>
      <c r="I197" s="111"/>
      <c r="J197" s="111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</row>
    <row r="198" spans="1:22">
      <c r="A198" s="173"/>
      <c r="B198" s="170"/>
      <c r="C198" s="111"/>
      <c r="D198" s="111"/>
      <c r="E198" s="111"/>
      <c r="F198" s="239" t="s">
        <v>181</v>
      </c>
      <c r="G198" s="239" t="s">
        <v>172</v>
      </c>
      <c r="H198" s="111"/>
      <c r="I198" s="111"/>
      <c r="J198" s="111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</row>
    <row r="199" spans="1:22">
      <c r="A199" s="173"/>
      <c r="B199" s="170"/>
      <c r="C199" s="111"/>
      <c r="D199" s="111"/>
      <c r="E199" s="111"/>
      <c r="F199" s="239" t="s">
        <v>182</v>
      </c>
      <c r="G199" s="239" t="s">
        <v>172</v>
      </c>
      <c r="H199" s="111"/>
      <c r="I199" s="111"/>
      <c r="J199" s="111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</row>
    <row r="200" spans="1:22">
      <c r="A200" s="173"/>
      <c r="B200" s="170"/>
      <c r="C200" s="111"/>
      <c r="D200" s="111"/>
      <c r="E200" s="111"/>
      <c r="F200" s="239" t="s">
        <v>183</v>
      </c>
      <c r="G200" s="239" t="s">
        <v>172</v>
      </c>
      <c r="H200" s="111"/>
      <c r="I200" s="111"/>
      <c r="J200" s="111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</row>
    <row r="201" spans="1:22">
      <c r="A201" s="173"/>
      <c r="B201" s="170"/>
      <c r="C201" s="111"/>
      <c r="D201" s="111"/>
      <c r="E201" s="111"/>
      <c r="F201" s="239" t="s">
        <v>184</v>
      </c>
      <c r="G201" s="239" t="s">
        <v>173</v>
      </c>
      <c r="H201" s="111"/>
      <c r="I201" s="111"/>
      <c r="J201" s="111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</row>
    <row r="202" spans="1:22">
      <c r="A202" s="173"/>
      <c r="B202" s="170"/>
      <c r="C202" s="111"/>
      <c r="D202" s="111"/>
      <c r="E202" s="111"/>
      <c r="F202" s="239" t="s">
        <v>185</v>
      </c>
      <c r="G202" s="239" t="s">
        <v>173</v>
      </c>
      <c r="H202" s="111"/>
      <c r="I202" s="111"/>
      <c r="J202" s="111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</row>
    <row r="203" spans="1:22">
      <c r="A203" s="173"/>
      <c r="B203" s="170"/>
      <c r="C203" s="111"/>
      <c r="D203" s="111"/>
      <c r="E203" s="111"/>
      <c r="F203" s="239" t="s">
        <v>186</v>
      </c>
      <c r="G203" s="239" t="s">
        <v>173</v>
      </c>
      <c r="H203" s="111"/>
      <c r="I203" s="111"/>
      <c r="J203" s="111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</row>
    <row r="204" spans="1:22">
      <c r="A204" s="173"/>
      <c r="B204" s="170"/>
      <c r="C204" s="111"/>
      <c r="D204" s="111"/>
      <c r="E204" s="111"/>
      <c r="F204" s="239" t="s">
        <v>187</v>
      </c>
      <c r="G204" s="239" t="s">
        <v>174</v>
      </c>
      <c r="H204" s="111"/>
      <c r="I204" s="111"/>
      <c r="J204" s="111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</row>
    <row r="205" spans="1:22">
      <c r="A205" s="173"/>
      <c r="B205" s="170"/>
      <c r="C205" s="111"/>
      <c r="D205" s="111"/>
      <c r="E205" s="111"/>
      <c r="F205" s="239" t="s">
        <v>188</v>
      </c>
      <c r="G205" s="239" t="s">
        <v>174</v>
      </c>
      <c r="H205" s="111"/>
      <c r="I205" s="111"/>
      <c r="J205" s="111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</row>
    <row r="206" spans="1:22">
      <c r="A206" s="173"/>
      <c r="B206" s="170"/>
      <c r="C206" s="111"/>
      <c r="D206" s="111"/>
      <c r="E206" s="111"/>
      <c r="F206" s="239" t="s">
        <v>189</v>
      </c>
      <c r="G206" s="239" t="s">
        <v>175</v>
      </c>
      <c r="H206" s="111"/>
      <c r="I206" s="111"/>
      <c r="J206" s="111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</row>
    <row r="207" spans="1:22">
      <c r="A207" s="173"/>
      <c r="B207" s="170"/>
      <c r="C207" s="111"/>
      <c r="D207" s="111"/>
      <c r="E207" s="111"/>
      <c r="F207" s="239" t="s">
        <v>190</v>
      </c>
      <c r="G207" s="239" t="s">
        <v>175</v>
      </c>
      <c r="H207" s="111"/>
      <c r="I207" s="111"/>
      <c r="J207" s="111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</row>
    <row r="208" spans="1:22">
      <c r="A208" s="173"/>
      <c r="B208" s="170"/>
      <c r="C208" s="111"/>
      <c r="D208" s="111"/>
      <c r="E208" s="111"/>
      <c r="F208" s="239" t="s">
        <v>191</v>
      </c>
      <c r="G208" s="239" t="s">
        <v>175</v>
      </c>
      <c r="H208" s="111"/>
      <c r="I208" s="111"/>
      <c r="J208" s="111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</row>
    <row r="209" spans="1:22">
      <c r="A209" s="173"/>
      <c r="B209" s="170"/>
      <c r="C209" s="111"/>
      <c r="D209" s="111"/>
      <c r="E209" s="111"/>
      <c r="F209" s="239" t="s">
        <v>192</v>
      </c>
      <c r="G209" s="239" t="s">
        <v>176</v>
      </c>
      <c r="H209" s="111"/>
      <c r="I209" s="111"/>
      <c r="J209" s="111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</row>
    <row r="210" spans="1:22">
      <c r="A210" s="173"/>
      <c r="B210" s="170"/>
      <c r="C210" s="111"/>
      <c r="D210" s="111"/>
      <c r="E210" s="111"/>
      <c r="F210" s="239" t="s">
        <v>193</v>
      </c>
      <c r="G210" s="239" t="s">
        <v>176</v>
      </c>
      <c r="H210" s="111"/>
      <c r="I210" s="111"/>
      <c r="J210" s="111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</row>
    <row r="211" spans="1:22">
      <c r="A211" s="173"/>
      <c r="B211" s="170"/>
      <c r="C211" s="111"/>
      <c r="D211" s="161"/>
      <c r="E211" s="111"/>
      <c r="F211" s="239" t="s">
        <v>194</v>
      </c>
      <c r="G211" s="239" t="s">
        <v>176</v>
      </c>
      <c r="H211" s="111"/>
      <c r="I211" s="111"/>
      <c r="J211" s="111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</row>
    <row r="212" spans="1:22">
      <c r="A212" s="173"/>
      <c r="B212" s="170"/>
      <c r="C212" s="111"/>
      <c r="D212" s="161"/>
      <c r="E212" s="111"/>
      <c r="F212" s="239" t="s">
        <v>195</v>
      </c>
      <c r="G212" s="239" t="s">
        <v>176</v>
      </c>
      <c r="H212" s="111"/>
      <c r="I212" s="111"/>
      <c r="J212" s="111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</row>
    <row r="213" spans="1:22">
      <c r="A213" s="173"/>
      <c r="B213" s="170"/>
      <c r="C213" s="111"/>
      <c r="D213" s="161"/>
      <c r="E213" s="111"/>
      <c r="F213" s="239"/>
      <c r="G213" s="239"/>
      <c r="H213" s="111"/>
      <c r="I213" s="111"/>
      <c r="J213" s="111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</row>
    <row r="214" spans="1:22">
      <c r="D214"/>
      <c r="F214" s="44"/>
      <c r="G214" s="44"/>
    </row>
    <row r="215" spans="1:22">
      <c r="D215"/>
      <c r="F215" s="43"/>
      <c r="G215" s="43"/>
    </row>
    <row r="216" spans="1:22">
      <c r="D216"/>
      <c r="F216" s="43"/>
      <c r="G216" s="43"/>
    </row>
    <row r="217" spans="1:22">
      <c r="D217"/>
    </row>
    <row r="218" spans="1:22">
      <c r="D218"/>
    </row>
    <row r="219" spans="1:22">
      <c r="D219"/>
    </row>
    <row r="220" spans="1:22">
      <c r="D220"/>
    </row>
    <row r="221" spans="1:22">
      <c r="D221"/>
    </row>
    <row r="222" spans="1:22">
      <c r="D222"/>
    </row>
    <row r="223" spans="1:22">
      <c r="D223"/>
      <c r="F223" s="43"/>
      <c r="G223" s="43"/>
    </row>
    <row r="224" spans="1:22">
      <c r="D224"/>
      <c r="F224" s="43"/>
      <c r="G224" s="43"/>
    </row>
    <row r="225" spans="4:7">
      <c r="D225"/>
      <c r="F225" s="43"/>
      <c r="G225" s="43"/>
    </row>
    <row r="226" spans="4:7">
      <c r="D226"/>
      <c r="F226" s="43"/>
      <c r="G226" s="43"/>
    </row>
    <row r="227" spans="4:7">
      <c r="D227"/>
      <c r="F227" s="43"/>
      <c r="G227" s="43"/>
    </row>
  </sheetData>
  <sheetProtection algorithmName="SHA-512" hashValue="cUGXhnONU5zDKVN0JD2A2PUFGqszgAwm9sb/I49YoEkZm9hwj2evHmSWambzZa1xyOgdhg9VlSeSixPOOGdYHA==" saltValue="rAJbFWbNGdR9wBEZE6pLtA==" spinCount="100000" sheet="1" objects="1" scenarios="1"/>
  <protectedRanges>
    <protectedRange sqref="D30:G30 H33:H38 H47:I57 S11:W24 M11:M24 O11:O24 Q11:Q24" name="Range1"/>
    <protectedRange sqref="H45:I46" name="Range1_1"/>
    <protectedRange sqref="D11:H24" name="Range1_2"/>
    <protectedRange sqref="D34:D37" name="Range1_3"/>
  </protectedRanges>
  <mergeCells count="14">
    <mergeCell ref="S8:W9"/>
    <mergeCell ref="N9:O9"/>
    <mergeCell ref="P9:Q9"/>
    <mergeCell ref="P28:Q28"/>
    <mergeCell ref="L9:M9"/>
    <mergeCell ref="D9:I9"/>
    <mergeCell ref="D28:G28"/>
    <mergeCell ref="L112:P112"/>
    <mergeCell ref="G130:H130"/>
    <mergeCell ref="D112:H112"/>
    <mergeCell ref="S11:W24"/>
    <mergeCell ref="S10:W10"/>
    <mergeCell ref="D43:G43"/>
    <mergeCell ref="H43:I43"/>
  </mergeCells>
  <conditionalFormatting sqref="M11:M24">
    <cfRule type="expression" dxfId="2" priority="3">
      <formula>F11</formula>
    </cfRule>
  </conditionalFormatting>
  <conditionalFormatting sqref="O11:O24">
    <cfRule type="expression" dxfId="1" priority="2">
      <formula>G11</formula>
    </cfRule>
  </conditionalFormatting>
  <conditionalFormatting sqref="Q11:Q24">
    <cfRule type="expression" dxfId="0" priority="1">
      <formula>H11</formula>
    </cfRule>
  </conditionalFormatting>
  <hyperlinks>
    <hyperlink ref="D162" r:id="rId1" xr:uid="{1FCB7A55-75EB-4B2B-A42C-14D8A33ADA75}"/>
    <hyperlink ref="G164" r:id="rId2" xr:uid="{5CFD8BE6-DDEF-4EAC-8397-A13D18025963}"/>
  </hyperlinks>
  <pageMargins left="0.7" right="0.7" top="0.75" bottom="0.75" header="0.3" footer="0.3"/>
  <pageSetup paperSize="9" orientation="portrait" verticalDpi="0" r:id="rId3"/>
  <headerFooter>
    <oddFooter>&amp;C_x000D_&amp;1#&amp;"Verdana"&amp;7&amp;K000000 Confidential</oddFooter>
  </headerFooter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AA5FA-D4AE-4E7A-9365-0800CA59C5AE}">
  <sheetPr>
    <tabColor theme="8"/>
  </sheetPr>
  <dimension ref="A1:AN213"/>
  <sheetViews>
    <sheetView topLeftCell="A81" zoomScale="90" zoomScaleNormal="90" workbookViewId="0">
      <selection activeCell="I11" sqref="I11"/>
    </sheetView>
  </sheetViews>
  <sheetFormatPr defaultColWidth="9.140625" defaultRowHeight="12.75"/>
  <cols>
    <col min="1" max="1" width="17.140625" style="15" customWidth="1"/>
    <col min="2" max="2" width="5" style="15" customWidth="1"/>
    <col min="3" max="3" width="42.5703125" style="15" customWidth="1"/>
    <col min="4" max="4" width="5.5703125" style="15" customWidth="1"/>
    <col min="5" max="5" width="12.140625" style="15" customWidth="1"/>
    <col min="6" max="6" width="26.85546875" style="15" customWidth="1"/>
    <col min="7" max="7" width="52.7109375" style="15" customWidth="1"/>
    <col min="8" max="8" width="14.140625" style="15" customWidth="1"/>
    <col min="9" max="11" width="9.140625" style="15"/>
    <col min="12" max="12" width="5.42578125" style="15" customWidth="1"/>
    <col min="13" max="16384" width="9.140625" style="15"/>
  </cols>
  <sheetData>
    <row r="1" spans="1:40">
      <c r="A1" s="19"/>
      <c r="B1" s="17"/>
      <c r="C1" s="1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</row>
    <row r="2" spans="1:40">
      <c r="A2" s="19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3" spans="1:40">
      <c r="A3" s="1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</row>
    <row r="4" spans="1:40" ht="20.25">
      <c r="A4" s="19"/>
      <c r="B4" s="14"/>
      <c r="C4" s="51" t="str">
        <f>"INFRASTRUKTUR, byggetrinn "&amp;'Nøkkelinfo og veiledning'!F8</f>
        <v xml:space="preserve">INFRASTRUKTUR, byggetrinn 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</row>
    <row r="5" spans="1:40" ht="18">
      <c r="A5" s="19"/>
      <c r="B5" s="14"/>
      <c r="C5" s="148" t="s">
        <v>421</v>
      </c>
      <c r="D5" s="14"/>
      <c r="E5" s="14"/>
      <c r="F5" s="14"/>
      <c r="G5" s="140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</row>
    <row r="6" spans="1:40" ht="30.6" customHeight="1">
      <c r="A6" s="1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18">
      <c r="A7" s="19"/>
      <c r="B7" s="14"/>
      <c r="C7" s="147" t="s">
        <v>339</v>
      </c>
      <c r="D7" s="14"/>
      <c r="E7" s="14"/>
      <c r="F7" s="14"/>
      <c r="G7" s="20" t="s">
        <v>391</v>
      </c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</row>
    <row r="8" spans="1:40" ht="18" customHeight="1">
      <c r="A8" s="19"/>
      <c r="B8" s="14"/>
      <c r="C8" s="14"/>
      <c r="D8" s="17"/>
      <c r="E8" s="17"/>
      <c r="F8" s="14"/>
      <c r="G8" s="160" t="s">
        <v>341</v>
      </c>
      <c r="H8" s="17"/>
      <c r="I8" s="14"/>
      <c r="J8" s="20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</row>
    <row r="9" spans="1:40" ht="15.75">
      <c r="A9" s="19"/>
      <c r="B9" s="14"/>
      <c r="C9" s="60" t="s">
        <v>352</v>
      </c>
      <c r="D9" s="17"/>
      <c r="E9" s="17"/>
      <c r="F9" s="14"/>
      <c r="G9" s="14"/>
      <c r="H9" s="14"/>
      <c r="I9" s="14"/>
      <c r="J9" s="14"/>
      <c r="K9" s="14"/>
      <c r="L9" s="14"/>
      <c r="M9" s="209" t="s">
        <v>281</v>
      </c>
      <c r="N9" s="209"/>
      <c r="O9" s="209"/>
      <c r="P9" s="209"/>
      <c r="Q9" s="209"/>
      <c r="R9" s="209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</row>
    <row r="10" spans="1:40" ht="14.25">
      <c r="A10" s="19"/>
      <c r="B10" s="14"/>
      <c r="C10" s="17" t="s">
        <v>231</v>
      </c>
      <c r="D10" s="17" t="s">
        <v>251</v>
      </c>
      <c r="E10" s="16"/>
      <c r="F10" s="14"/>
      <c r="G10" s="17"/>
      <c r="H10" s="17"/>
      <c r="I10" s="102" t="s">
        <v>1</v>
      </c>
      <c r="J10" s="102" t="s">
        <v>2</v>
      </c>
      <c r="K10" s="102" t="s">
        <v>260</v>
      </c>
      <c r="L10" s="14"/>
      <c r="M10" s="209"/>
      <c r="N10" s="209"/>
      <c r="O10" s="209"/>
      <c r="P10" s="209"/>
      <c r="Q10" s="209"/>
      <c r="R10" s="209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</row>
    <row r="11" spans="1:40" ht="14.25">
      <c r="A11" s="19"/>
      <c r="B11" s="14"/>
      <c r="C11" s="92" t="s">
        <v>225</v>
      </c>
      <c r="D11" s="17" t="s">
        <v>226</v>
      </c>
      <c r="E11" s="16"/>
      <c r="F11" s="14"/>
      <c r="G11" s="17" t="s">
        <v>262</v>
      </c>
      <c r="H11" s="17" t="s">
        <v>326</v>
      </c>
      <c r="I11" s="189"/>
      <c r="K11" s="128" t="str">
        <f>IFERROR(-(I11-J11)/I11,"")</f>
        <v/>
      </c>
      <c r="L11" s="14"/>
      <c r="M11" s="213"/>
      <c r="N11" s="213"/>
      <c r="O11" s="213"/>
      <c r="P11" s="213"/>
      <c r="Q11" s="213"/>
      <c r="R11" s="2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</row>
    <row r="12" spans="1:40">
      <c r="A12" s="19"/>
      <c r="B12" s="14"/>
      <c r="C12" s="92" t="s">
        <v>232</v>
      </c>
      <c r="D12" s="17"/>
      <c r="E12" s="16"/>
      <c r="F12" s="14"/>
      <c r="G12" s="17"/>
      <c r="H12" s="17"/>
      <c r="I12" s="14"/>
      <c r="J12" s="14"/>
      <c r="K12" s="14"/>
      <c r="L12" s="14"/>
      <c r="M12" s="213"/>
      <c r="N12" s="213"/>
      <c r="O12" s="213"/>
      <c r="P12" s="213"/>
      <c r="Q12" s="213"/>
      <c r="R12" s="2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</row>
    <row r="13" spans="1:40" ht="14.25">
      <c r="A13" s="19"/>
      <c r="B13" s="14"/>
      <c r="C13" s="17" t="s">
        <v>230</v>
      </c>
      <c r="D13" s="17" t="s">
        <v>251</v>
      </c>
      <c r="E13" s="16"/>
      <c r="F13" s="14"/>
      <c r="G13" s="17"/>
      <c r="H13" s="17"/>
      <c r="I13" s="14"/>
      <c r="J13" s="14"/>
      <c r="K13" s="14"/>
      <c r="L13" s="14"/>
      <c r="M13" s="213"/>
      <c r="N13" s="213"/>
      <c r="O13" s="213"/>
      <c r="P13" s="213"/>
      <c r="Q13" s="213"/>
      <c r="R13" s="2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</row>
    <row r="14" spans="1:40">
      <c r="A14" s="19"/>
      <c r="B14" s="14"/>
      <c r="C14" s="92" t="s">
        <v>225</v>
      </c>
      <c r="D14" s="17" t="s">
        <v>226</v>
      </c>
      <c r="E14" s="16"/>
      <c r="F14" s="14"/>
      <c r="G14" s="17"/>
      <c r="H14" s="17"/>
      <c r="I14" s="14"/>
      <c r="J14" s="14"/>
      <c r="K14" s="14"/>
      <c r="L14" s="14"/>
      <c r="M14" s="213"/>
      <c r="N14" s="213"/>
      <c r="O14" s="213"/>
      <c r="P14" s="213"/>
      <c r="Q14" s="213"/>
      <c r="R14" s="2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</row>
    <row r="15" spans="1:40">
      <c r="A15" s="19"/>
      <c r="B15" s="14"/>
      <c r="C15" s="92" t="s">
        <v>232</v>
      </c>
      <c r="D15" s="17"/>
      <c r="E15" s="16"/>
      <c r="F15" s="14"/>
      <c r="G15" s="17"/>
      <c r="H15" s="17"/>
      <c r="I15" s="14"/>
      <c r="J15" s="14"/>
      <c r="K15" s="14"/>
      <c r="L15" s="14"/>
      <c r="M15" s="213"/>
      <c r="N15" s="213"/>
      <c r="O15" s="213"/>
      <c r="P15" s="213"/>
      <c r="Q15" s="213"/>
      <c r="R15" s="2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14.25">
      <c r="A16" s="19"/>
      <c r="B16" s="14"/>
      <c r="C16" s="101" t="s">
        <v>258</v>
      </c>
      <c r="D16" s="17" t="s">
        <v>251</v>
      </c>
      <c r="F16" s="14"/>
      <c r="G16" s="17"/>
      <c r="H16" s="17"/>
      <c r="I16" s="14"/>
      <c r="J16" s="14"/>
      <c r="K16" s="14"/>
      <c r="L16" s="14"/>
      <c r="M16" s="213"/>
      <c r="N16" s="213"/>
      <c r="O16" s="213"/>
      <c r="P16" s="213"/>
      <c r="Q16" s="213"/>
      <c r="R16" s="2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</row>
    <row r="17" spans="1:40">
      <c r="A17" s="19"/>
      <c r="B17" s="14"/>
      <c r="C17" s="101" t="s">
        <v>354</v>
      </c>
      <c r="D17" s="17"/>
      <c r="E17" s="14"/>
      <c r="F17" s="14"/>
      <c r="G17" s="17"/>
      <c r="H17" s="17"/>
      <c r="I17" s="14"/>
      <c r="J17" s="14"/>
      <c r="K17" s="14"/>
      <c r="L17" s="14"/>
      <c r="M17" s="213"/>
      <c r="N17" s="213"/>
      <c r="O17" s="213"/>
      <c r="P17" s="213"/>
      <c r="Q17" s="213"/>
      <c r="R17" s="2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</row>
    <row r="18" spans="1:40">
      <c r="A18" s="19"/>
      <c r="B18" s="14"/>
      <c r="C18" s="92" t="s">
        <v>277</v>
      </c>
      <c r="D18" s="17" t="s">
        <v>228</v>
      </c>
      <c r="F18" s="14"/>
      <c r="G18" s="17"/>
      <c r="H18" s="17"/>
      <c r="I18" s="14"/>
      <c r="J18" s="14"/>
      <c r="K18" s="14"/>
      <c r="L18" s="14"/>
      <c r="M18" s="213"/>
      <c r="N18" s="213"/>
      <c r="O18" s="213"/>
      <c r="P18" s="213"/>
      <c r="Q18" s="213"/>
      <c r="R18" s="2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>
      <c r="A19" s="19"/>
      <c r="B19" s="14"/>
      <c r="C19" s="92" t="s">
        <v>278</v>
      </c>
      <c r="D19" s="17" t="s">
        <v>228</v>
      </c>
      <c r="F19" s="14"/>
      <c r="G19" s="17"/>
      <c r="H19" s="17"/>
      <c r="I19" s="14"/>
      <c r="J19" s="14"/>
      <c r="K19" s="14"/>
      <c r="L19" s="14"/>
      <c r="M19" s="213"/>
      <c r="N19" s="213"/>
      <c r="O19" s="213"/>
      <c r="P19" s="213"/>
      <c r="Q19" s="213"/>
      <c r="R19" s="2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</row>
    <row r="20" spans="1:40">
      <c r="A20" s="19"/>
      <c r="B20" s="14"/>
      <c r="C20" s="92" t="s">
        <v>279</v>
      </c>
      <c r="D20" s="17" t="s">
        <v>228</v>
      </c>
      <c r="F20" s="14"/>
      <c r="G20" s="17"/>
      <c r="H20" s="17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>
      <c r="A21" s="19"/>
      <c r="B21" s="14"/>
      <c r="C21" s="92" t="s">
        <v>353</v>
      </c>
      <c r="D21" s="17" t="s">
        <v>228</v>
      </c>
      <c r="F21" s="14"/>
      <c r="G21" s="17"/>
      <c r="H21" s="17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</row>
    <row r="22" spans="1:40">
      <c r="A22" s="19"/>
      <c r="B22" s="14"/>
      <c r="C22" s="92"/>
      <c r="D22" s="17"/>
      <c r="E22" s="17"/>
      <c r="F22" s="17"/>
      <c r="G22" s="17"/>
      <c r="H22" s="17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</row>
    <row r="23" spans="1:40" ht="15.75">
      <c r="A23" s="19"/>
      <c r="B23" s="14"/>
      <c r="C23" s="60" t="s">
        <v>245</v>
      </c>
      <c r="D23" s="17"/>
      <c r="E23" s="17"/>
      <c r="F23" s="17"/>
      <c r="G23" s="17"/>
      <c r="H23" s="17"/>
      <c r="I23" s="14"/>
      <c r="J23" s="14"/>
      <c r="K23" s="14"/>
      <c r="L23" s="14"/>
      <c r="M23" s="209" t="s">
        <v>281</v>
      </c>
      <c r="N23" s="209"/>
      <c r="O23" s="209"/>
      <c r="P23" s="209"/>
      <c r="Q23" s="209"/>
      <c r="R23" s="209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</row>
    <row r="24" spans="1:40">
      <c r="A24" s="19"/>
      <c r="B24" s="14"/>
      <c r="C24" s="17" t="s">
        <v>247</v>
      </c>
      <c r="D24" s="17" t="s">
        <v>280</v>
      </c>
      <c r="E24" s="16"/>
      <c r="F24" s="14"/>
      <c r="G24" s="17"/>
      <c r="H24" s="17"/>
      <c r="I24" s="102" t="s">
        <v>1</v>
      </c>
      <c r="J24" s="102" t="s">
        <v>2</v>
      </c>
      <c r="K24" s="102" t="s">
        <v>260</v>
      </c>
      <c r="L24" s="14"/>
      <c r="M24" s="209"/>
      <c r="N24" s="209"/>
      <c r="O24" s="209"/>
      <c r="P24" s="209"/>
      <c r="Q24" s="209"/>
      <c r="R24" s="209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</row>
    <row r="25" spans="1:40" ht="14.25">
      <c r="A25" s="19"/>
      <c r="B25" s="14"/>
      <c r="C25" s="17" t="s">
        <v>248</v>
      </c>
      <c r="D25" s="17" t="s">
        <v>280</v>
      </c>
      <c r="E25" s="16"/>
      <c r="F25" s="14"/>
      <c r="G25" s="17" t="s">
        <v>287</v>
      </c>
      <c r="H25" s="17" t="s">
        <v>326</v>
      </c>
      <c r="K25" s="128" t="str">
        <f>IFERROR(-(I25-J25)/I25,"")</f>
        <v/>
      </c>
      <c r="L25" s="14"/>
      <c r="M25" s="213"/>
      <c r="N25" s="213"/>
      <c r="O25" s="213"/>
      <c r="P25" s="213"/>
      <c r="Q25" s="213"/>
      <c r="R25" s="2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</row>
    <row r="26" spans="1:40">
      <c r="A26" s="19"/>
      <c r="B26" s="14"/>
      <c r="C26" s="17" t="s">
        <v>249</v>
      </c>
      <c r="D26" s="17" t="s">
        <v>280</v>
      </c>
      <c r="E26" s="16"/>
      <c r="F26" s="17"/>
      <c r="G26" s="17"/>
      <c r="H26" s="17"/>
      <c r="I26" s="14"/>
      <c r="J26" s="14"/>
      <c r="K26" s="14"/>
      <c r="L26" s="14"/>
      <c r="M26" s="213"/>
      <c r="N26" s="213"/>
      <c r="O26" s="213"/>
      <c r="P26" s="213"/>
      <c r="Q26" s="213"/>
      <c r="R26" s="21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</row>
    <row r="27" spans="1:40">
      <c r="A27" s="19"/>
      <c r="B27" s="14"/>
      <c r="C27" s="17" t="s">
        <v>250</v>
      </c>
      <c r="D27" s="17" t="s">
        <v>280</v>
      </c>
      <c r="E27" s="16"/>
      <c r="F27" s="17"/>
      <c r="G27" s="14"/>
      <c r="H27" s="14"/>
      <c r="I27" s="14"/>
      <c r="J27" s="14"/>
      <c r="K27" s="14"/>
      <c r="L27" s="14"/>
      <c r="M27" s="213"/>
      <c r="N27" s="213"/>
      <c r="O27" s="213"/>
      <c r="P27" s="213"/>
      <c r="Q27" s="213"/>
      <c r="R27" s="21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</row>
    <row r="28" spans="1:40">
      <c r="A28" s="19"/>
      <c r="B28" s="14"/>
      <c r="C28" s="17"/>
      <c r="D28" s="17"/>
      <c r="E28" s="17"/>
      <c r="F28" s="14"/>
      <c r="G28" s="14"/>
      <c r="H28" s="14"/>
      <c r="I28" s="14"/>
      <c r="J28" s="14"/>
      <c r="K28" s="14"/>
      <c r="L28" s="14"/>
      <c r="M28" s="213"/>
      <c r="N28" s="213"/>
      <c r="O28" s="213"/>
      <c r="P28" s="213"/>
      <c r="Q28" s="213"/>
      <c r="R28" s="213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</row>
    <row r="29" spans="1:40">
      <c r="A29" s="19"/>
      <c r="B29" s="14"/>
      <c r="C29" s="17"/>
      <c r="D29" s="17"/>
      <c r="E29" s="17"/>
      <c r="F29" s="14"/>
      <c r="G29" s="14"/>
      <c r="H29" s="14"/>
      <c r="I29" s="14"/>
      <c r="J29" s="14"/>
      <c r="K29" s="14"/>
      <c r="L29" s="14"/>
      <c r="M29" s="213"/>
      <c r="N29" s="213"/>
      <c r="O29" s="213"/>
      <c r="P29" s="213"/>
      <c r="Q29" s="213"/>
      <c r="R29" s="213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</row>
    <row r="30" spans="1:40" ht="15.75">
      <c r="A30" s="19"/>
      <c r="B30" s="14"/>
      <c r="C30" s="60" t="s">
        <v>246</v>
      </c>
      <c r="D30" s="17"/>
      <c r="E30" s="17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</row>
    <row r="31" spans="1:40">
      <c r="A31" s="19"/>
      <c r="B31" s="14"/>
      <c r="C31" s="17" t="s">
        <v>355</v>
      </c>
      <c r="D31" s="17"/>
      <c r="E31" s="17"/>
      <c r="F31" s="14"/>
      <c r="G31" s="14"/>
      <c r="H31" s="14"/>
      <c r="I31" s="14"/>
      <c r="J31" s="14"/>
      <c r="K31" s="14"/>
      <c r="L31" s="14"/>
      <c r="M31" s="209" t="s">
        <v>281</v>
      </c>
      <c r="N31" s="209"/>
      <c r="O31" s="209"/>
      <c r="P31" s="209"/>
      <c r="Q31" s="209"/>
      <c r="R31" s="209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</row>
    <row r="32" spans="1:40">
      <c r="A32" s="19"/>
      <c r="B32" s="14"/>
      <c r="C32" s="208"/>
      <c r="D32" s="208"/>
      <c r="E32" s="208"/>
      <c r="F32" s="14"/>
      <c r="G32" s="17"/>
      <c r="H32" s="17"/>
      <c r="I32" s="102" t="s">
        <v>1</v>
      </c>
      <c r="J32" s="102" t="s">
        <v>2</v>
      </c>
      <c r="K32" s="102" t="s">
        <v>260</v>
      </c>
      <c r="L32" s="14"/>
      <c r="M32" s="209"/>
      <c r="N32" s="209"/>
      <c r="O32" s="209"/>
      <c r="P32" s="209"/>
      <c r="Q32" s="209"/>
      <c r="R32" s="209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</row>
    <row r="33" spans="1:40" ht="14.25">
      <c r="A33" s="19"/>
      <c r="B33" s="14"/>
      <c r="C33" s="208"/>
      <c r="D33" s="208"/>
      <c r="E33" s="208"/>
      <c r="F33" s="14"/>
      <c r="G33" s="17" t="s">
        <v>288</v>
      </c>
      <c r="H33" s="17" t="s">
        <v>326</v>
      </c>
      <c r="K33" s="128" t="str">
        <f>IFERROR(-(I33-J33)/I33,"")</f>
        <v/>
      </c>
      <c r="L33" s="14"/>
      <c r="M33" s="213"/>
      <c r="N33" s="213"/>
      <c r="O33" s="213"/>
      <c r="P33" s="213"/>
      <c r="Q33" s="213"/>
      <c r="R33" s="213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40">
      <c r="A34" s="19"/>
      <c r="B34" s="14"/>
      <c r="C34" s="208"/>
      <c r="D34" s="208"/>
      <c r="E34" s="208"/>
      <c r="F34" s="14"/>
      <c r="G34" s="17"/>
      <c r="H34" s="17"/>
      <c r="I34" s="14"/>
      <c r="J34" s="14"/>
      <c r="K34" s="14"/>
      <c r="L34" s="14"/>
      <c r="M34" s="213"/>
      <c r="N34" s="213"/>
      <c r="O34" s="213"/>
      <c r="P34" s="213"/>
      <c r="Q34" s="213"/>
      <c r="R34" s="213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</row>
    <row r="35" spans="1:40">
      <c r="A35" s="19"/>
      <c r="B35" s="14"/>
      <c r="C35" s="208"/>
      <c r="D35" s="208"/>
      <c r="E35" s="208"/>
      <c r="F35" s="14"/>
      <c r="G35" s="17"/>
      <c r="H35" s="17"/>
      <c r="I35" s="14"/>
      <c r="J35" s="14"/>
      <c r="K35" s="14"/>
      <c r="L35" s="14"/>
      <c r="M35" s="213"/>
      <c r="N35" s="213"/>
      <c r="O35" s="213"/>
      <c r="P35" s="213"/>
      <c r="Q35" s="213"/>
      <c r="R35" s="213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</row>
    <row r="36" spans="1:40">
      <c r="A36" s="19"/>
      <c r="B36" s="14"/>
      <c r="C36" s="208"/>
      <c r="D36" s="208"/>
      <c r="E36" s="208"/>
      <c r="F36" s="14"/>
      <c r="G36" s="14"/>
      <c r="H36" s="14"/>
      <c r="I36" s="14"/>
      <c r="J36" s="14"/>
      <c r="K36" s="14"/>
      <c r="L36" s="14"/>
      <c r="M36" s="213"/>
      <c r="N36" s="213"/>
      <c r="O36" s="213"/>
      <c r="P36" s="213"/>
      <c r="Q36" s="213"/>
      <c r="R36" s="213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0">
      <c r="A37" s="19"/>
      <c r="B37" s="14"/>
      <c r="C37" s="208"/>
      <c r="D37" s="208"/>
      <c r="E37" s="208"/>
      <c r="F37" s="14"/>
      <c r="G37" s="14"/>
      <c r="H37" s="14"/>
      <c r="I37" s="14"/>
      <c r="J37" s="14"/>
      <c r="K37" s="14"/>
      <c r="L37" s="14"/>
      <c r="M37" s="213"/>
      <c r="N37" s="213"/>
      <c r="O37" s="213"/>
      <c r="P37" s="213"/>
      <c r="Q37" s="213"/>
      <c r="R37" s="213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0">
      <c r="A38" s="19"/>
      <c r="B38" s="14"/>
      <c r="C38" s="14"/>
      <c r="D38" s="14"/>
      <c r="E38" s="14"/>
      <c r="F38" s="14"/>
      <c r="G38" s="17"/>
      <c r="H38" s="17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  <row r="39" spans="1:40" ht="15.75">
      <c r="A39" s="19"/>
      <c r="B39" s="14"/>
      <c r="C39" s="60" t="s">
        <v>256</v>
      </c>
      <c r="D39" s="17"/>
      <c r="E39" s="17"/>
      <c r="F39" s="14"/>
      <c r="G39" s="17"/>
      <c r="H39" s="17"/>
      <c r="I39" s="14"/>
      <c r="J39" s="14"/>
      <c r="K39" s="14"/>
      <c r="L39" s="14"/>
      <c r="M39" s="209" t="s">
        <v>281</v>
      </c>
      <c r="N39" s="209"/>
      <c r="O39" s="209"/>
      <c r="P39" s="209"/>
      <c r="Q39" s="209"/>
      <c r="R39" s="209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</row>
    <row r="40" spans="1:40" ht="12.75" customHeight="1">
      <c r="A40" s="19"/>
      <c r="B40" s="14"/>
      <c r="C40" s="17"/>
      <c r="D40" s="17"/>
      <c r="E40" s="17"/>
      <c r="F40" s="14"/>
      <c r="G40" s="17"/>
      <c r="H40" s="17"/>
      <c r="I40" s="102" t="s">
        <v>1</v>
      </c>
      <c r="J40" s="102" t="s">
        <v>2</v>
      </c>
      <c r="K40" s="102" t="s">
        <v>260</v>
      </c>
      <c r="L40" s="14"/>
      <c r="M40" s="209"/>
      <c r="N40" s="209"/>
      <c r="O40" s="209"/>
      <c r="P40" s="209"/>
      <c r="Q40" s="209"/>
      <c r="R40" s="209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</row>
    <row r="41" spans="1:40" ht="14.25">
      <c r="A41" s="19"/>
      <c r="B41" s="14"/>
      <c r="C41" s="17" t="s">
        <v>292</v>
      </c>
      <c r="D41" s="17" t="s">
        <v>280</v>
      </c>
      <c r="E41" s="16"/>
      <c r="F41" s="14"/>
      <c r="G41" s="17" t="s">
        <v>289</v>
      </c>
      <c r="H41" s="17" t="s">
        <v>326</v>
      </c>
      <c r="K41" s="128" t="str">
        <f>IFERROR(-(I41-J41)/I41,"")</f>
        <v/>
      </c>
      <c r="L41" s="14"/>
      <c r="M41" s="213"/>
      <c r="N41" s="213"/>
      <c r="O41" s="213"/>
      <c r="P41" s="213"/>
      <c r="Q41" s="213"/>
      <c r="R41" s="213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</row>
    <row r="42" spans="1:40">
      <c r="A42" s="19"/>
      <c r="B42" s="14"/>
      <c r="C42" s="17" t="s">
        <v>293</v>
      </c>
      <c r="D42" s="17" t="s">
        <v>280</v>
      </c>
      <c r="E42" s="16"/>
      <c r="F42" s="14"/>
      <c r="G42" s="17"/>
      <c r="H42" s="14"/>
      <c r="I42" s="14"/>
      <c r="J42" s="14"/>
      <c r="K42" s="14"/>
      <c r="L42" s="14"/>
      <c r="M42" s="213"/>
      <c r="N42" s="213"/>
      <c r="O42" s="213"/>
      <c r="P42" s="213"/>
      <c r="Q42" s="213"/>
      <c r="R42" s="213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</row>
    <row r="43" spans="1:40">
      <c r="A43" s="19"/>
      <c r="B43" s="14"/>
      <c r="C43" s="17" t="s">
        <v>294</v>
      </c>
      <c r="D43" s="17" t="s">
        <v>280</v>
      </c>
      <c r="E43" s="16"/>
      <c r="F43" s="14"/>
      <c r="G43" s="17"/>
      <c r="H43" s="17"/>
      <c r="I43" s="14"/>
      <c r="J43" s="14"/>
      <c r="K43" s="14"/>
      <c r="L43" s="14"/>
      <c r="M43" s="213"/>
      <c r="N43" s="213"/>
      <c r="O43" s="213"/>
      <c r="P43" s="213"/>
      <c r="Q43" s="213"/>
      <c r="R43" s="213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</row>
    <row r="44" spans="1:40">
      <c r="A44" s="19"/>
      <c r="B44" s="14"/>
      <c r="C44" s="17" t="s">
        <v>295</v>
      </c>
      <c r="D44" s="17" t="s">
        <v>280</v>
      </c>
      <c r="E44" s="16"/>
      <c r="F44" s="14"/>
      <c r="G44" s="17"/>
      <c r="H44" s="17"/>
      <c r="I44" s="17"/>
      <c r="J44" s="17"/>
      <c r="K44" s="17"/>
      <c r="L44" s="14"/>
      <c r="M44" s="213"/>
      <c r="N44" s="213"/>
      <c r="O44" s="213"/>
      <c r="P44" s="213"/>
      <c r="Q44" s="213"/>
      <c r="R44" s="213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</row>
    <row r="45" spans="1:40">
      <c r="A45" s="19"/>
      <c r="B45" s="14"/>
      <c r="C45" s="14"/>
      <c r="D45" s="14"/>
      <c r="E45" s="14"/>
      <c r="F45" s="14"/>
      <c r="G45" s="17"/>
      <c r="H45" s="17"/>
      <c r="I45" s="14"/>
      <c r="J45" s="14"/>
      <c r="K45" s="14"/>
      <c r="L45" s="14"/>
      <c r="M45" s="213"/>
      <c r="N45" s="213"/>
      <c r="O45" s="213"/>
      <c r="P45" s="213"/>
      <c r="Q45" s="213"/>
      <c r="R45" s="213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</row>
    <row r="46" spans="1:40" ht="15.75">
      <c r="A46" s="19"/>
      <c r="B46" s="14"/>
      <c r="C46" s="60" t="s">
        <v>356</v>
      </c>
      <c r="D46" s="17"/>
      <c r="E46" s="17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</row>
    <row r="47" spans="1:40">
      <c r="A47" s="19"/>
      <c r="B47" s="14"/>
      <c r="C47" s="17" t="s">
        <v>357</v>
      </c>
      <c r="D47" s="17"/>
      <c r="E47" s="17"/>
      <c r="F47" s="14"/>
      <c r="G47" s="17"/>
      <c r="H47" s="17"/>
      <c r="I47" s="14"/>
      <c r="J47" s="14"/>
      <c r="K47" s="14"/>
      <c r="L47" s="14"/>
      <c r="M47" s="209" t="s">
        <v>281</v>
      </c>
      <c r="N47" s="209"/>
      <c r="O47" s="209"/>
      <c r="P47" s="209"/>
      <c r="Q47" s="209"/>
      <c r="R47" s="209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</row>
    <row r="48" spans="1:40">
      <c r="A48" s="19"/>
      <c r="B48" s="14"/>
      <c r="C48" s="208"/>
      <c r="D48" s="208"/>
      <c r="E48" s="208"/>
      <c r="F48" s="14"/>
      <c r="G48" s="17"/>
      <c r="H48" s="17"/>
      <c r="I48" s="102" t="s">
        <v>1</v>
      </c>
      <c r="J48" s="102" t="s">
        <v>2</v>
      </c>
      <c r="K48" s="102" t="s">
        <v>260</v>
      </c>
      <c r="L48" s="14"/>
      <c r="M48" s="209"/>
      <c r="N48" s="209"/>
      <c r="O48" s="209"/>
      <c r="P48" s="209"/>
      <c r="Q48" s="209"/>
      <c r="R48" s="209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</row>
    <row r="49" spans="1:40" ht="14.25">
      <c r="A49" s="19"/>
      <c r="B49" s="14"/>
      <c r="C49" s="208"/>
      <c r="D49" s="208"/>
      <c r="E49" s="208"/>
      <c r="F49" s="14"/>
      <c r="G49" s="17" t="s">
        <v>349</v>
      </c>
      <c r="H49" s="17" t="s">
        <v>326</v>
      </c>
      <c r="K49" s="128" t="str">
        <f>IFERROR(-(I49-J49)/I49,"")</f>
        <v/>
      </c>
      <c r="L49" s="14"/>
      <c r="M49" s="213"/>
      <c r="N49" s="213"/>
      <c r="O49" s="213"/>
      <c r="P49" s="213"/>
      <c r="Q49" s="213"/>
      <c r="R49" s="213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</row>
    <row r="50" spans="1:40">
      <c r="A50" s="19"/>
      <c r="B50" s="14"/>
      <c r="C50" s="208"/>
      <c r="D50" s="208"/>
      <c r="E50" s="208"/>
      <c r="F50" s="14"/>
      <c r="G50" s="17"/>
      <c r="H50" s="14"/>
      <c r="I50" s="14"/>
      <c r="J50" s="14"/>
      <c r="K50" s="14"/>
      <c r="L50" s="14"/>
      <c r="M50" s="213"/>
      <c r="N50" s="213"/>
      <c r="O50" s="213"/>
      <c r="P50" s="213"/>
      <c r="Q50" s="213"/>
      <c r="R50" s="213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1:40">
      <c r="A51" s="19"/>
      <c r="B51" s="14"/>
      <c r="C51" s="208"/>
      <c r="D51" s="208"/>
      <c r="E51" s="208"/>
      <c r="F51" s="14"/>
      <c r="G51" s="17"/>
      <c r="H51" s="17"/>
      <c r="I51" s="14"/>
      <c r="J51" s="14"/>
      <c r="K51" s="14"/>
      <c r="L51" s="14"/>
      <c r="M51" s="213"/>
      <c r="N51" s="213"/>
      <c r="O51" s="213"/>
      <c r="P51" s="213"/>
      <c r="Q51" s="213"/>
      <c r="R51" s="213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</row>
    <row r="52" spans="1:40">
      <c r="A52" s="19"/>
      <c r="B52" s="14"/>
      <c r="C52" s="208"/>
      <c r="D52" s="208"/>
      <c r="E52" s="208"/>
      <c r="F52" s="14"/>
      <c r="G52" s="17"/>
      <c r="H52" s="17"/>
      <c r="I52" s="17"/>
      <c r="J52" s="17"/>
      <c r="K52" s="17"/>
      <c r="L52" s="14"/>
      <c r="M52" s="213"/>
      <c r="N52" s="213"/>
      <c r="O52" s="213"/>
      <c r="P52" s="213"/>
      <c r="Q52" s="213"/>
      <c r="R52" s="213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</row>
    <row r="53" spans="1:40">
      <c r="A53" s="19"/>
      <c r="B53" s="14"/>
      <c r="C53" s="208"/>
      <c r="D53" s="208"/>
      <c r="E53" s="208"/>
      <c r="F53" s="14"/>
      <c r="G53" s="17"/>
      <c r="H53" s="17"/>
      <c r="I53" s="14"/>
      <c r="J53" s="14"/>
      <c r="K53" s="14"/>
      <c r="L53" s="14"/>
      <c r="M53" s="213"/>
      <c r="N53" s="213"/>
      <c r="O53" s="213"/>
      <c r="P53" s="213"/>
      <c r="Q53" s="213"/>
      <c r="R53" s="213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</row>
    <row r="54" spans="1:40">
      <c r="A54" s="19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</row>
    <row r="55" spans="1:40" ht="15.75">
      <c r="A55" s="19"/>
      <c r="B55" s="14"/>
      <c r="C55" s="60" t="s">
        <v>358</v>
      </c>
      <c r="D55" s="17"/>
      <c r="E55" s="17"/>
      <c r="F55" s="14"/>
      <c r="G55" s="17"/>
      <c r="H55" s="17"/>
      <c r="I55" s="14"/>
      <c r="J55" s="14"/>
      <c r="K55" s="14"/>
      <c r="L55" s="14"/>
      <c r="M55" s="209" t="s">
        <v>281</v>
      </c>
      <c r="N55" s="209"/>
      <c r="O55" s="209"/>
      <c r="P55" s="209"/>
      <c r="Q55" s="209"/>
      <c r="R55" s="209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</row>
    <row r="56" spans="1:40">
      <c r="A56" s="19"/>
      <c r="B56" s="14"/>
      <c r="C56" s="17" t="s">
        <v>359</v>
      </c>
      <c r="D56" s="17"/>
      <c r="E56" s="17"/>
      <c r="F56" s="14"/>
      <c r="G56" s="17"/>
      <c r="H56" s="17"/>
      <c r="I56" s="102" t="s">
        <v>1</v>
      </c>
      <c r="J56" s="102" t="s">
        <v>2</v>
      </c>
      <c r="K56" s="102" t="s">
        <v>260</v>
      </c>
      <c r="L56" s="14"/>
      <c r="M56" s="209"/>
      <c r="N56" s="209"/>
      <c r="O56" s="209"/>
      <c r="P56" s="209"/>
      <c r="Q56" s="209"/>
      <c r="R56" s="209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</row>
    <row r="57" spans="1:40" ht="14.25">
      <c r="A57" s="19"/>
      <c r="B57" s="14"/>
      <c r="C57" s="208"/>
      <c r="D57" s="208"/>
      <c r="E57" s="208"/>
      <c r="F57" s="14"/>
      <c r="G57" s="17" t="s">
        <v>350</v>
      </c>
      <c r="H57" s="17" t="s">
        <v>326</v>
      </c>
      <c r="K57" s="128" t="str">
        <f>IFERROR(-(I57-J57)/I57,"")</f>
        <v/>
      </c>
      <c r="L57" s="14"/>
      <c r="M57" s="213"/>
      <c r="N57" s="213"/>
      <c r="O57" s="213"/>
      <c r="P57" s="213"/>
      <c r="Q57" s="213"/>
      <c r="R57" s="213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</row>
    <row r="58" spans="1:40">
      <c r="A58" s="19"/>
      <c r="B58" s="14"/>
      <c r="C58" s="208"/>
      <c r="D58" s="208"/>
      <c r="E58" s="208"/>
      <c r="F58" s="14"/>
      <c r="G58" s="17"/>
      <c r="H58" s="14"/>
      <c r="I58" s="14"/>
      <c r="J58" s="14"/>
      <c r="K58" s="14"/>
      <c r="L58" s="14"/>
      <c r="M58" s="213"/>
      <c r="N58" s="213"/>
      <c r="O58" s="213"/>
      <c r="P58" s="213"/>
      <c r="Q58" s="213"/>
      <c r="R58" s="213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</row>
    <row r="59" spans="1:40">
      <c r="A59" s="19"/>
      <c r="B59" s="14"/>
      <c r="C59" s="208"/>
      <c r="D59" s="208"/>
      <c r="E59" s="208"/>
      <c r="F59" s="14"/>
      <c r="G59" s="17"/>
      <c r="H59" s="17"/>
      <c r="I59" s="14"/>
      <c r="J59" s="14"/>
      <c r="K59" s="14"/>
      <c r="L59" s="14"/>
      <c r="M59" s="213"/>
      <c r="N59" s="213"/>
      <c r="O59" s="213"/>
      <c r="P59" s="213"/>
      <c r="Q59" s="213"/>
      <c r="R59" s="213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</row>
    <row r="60" spans="1:40">
      <c r="A60" s="19"/>
      <c r="B60" s="14"/>
      <c r="C60" s="208"/>
      <c r="D60" s="208"/>
      <c r="E60" s="208"/>
      <c r="F60" s="14"/>
      <c r="G60" s="17"/>
      <c r="H60" s="17"/>
      <c r="I60" s="17"/>
      <c r="J60" s="17"/>
      <c r="K60" s="17"/>
      <c r="L60" s="14"/>
      <c r="M60" s="213"/>
      <c r="N60" s="213"/>
      <c r="O60" s="213"/>
      <c r="P60" s="213"/>
      <c r="Q60" s="213"/>
      <c r="R60" s="213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</row>
    <row r="61" spans="1:40">
      <c r="A61" s="19"/>
      <c r="B61" s="14"/>
      <c r="C61" s="208"/>
      <c r="D61" s="208"/>
      <c r="E61" s="208"/>
      <c r="F61" s="14"/>
      <c r="G61" s="17"/>
      <c r="H61" s="17"/>
      <c r="I61" s="14"/>
      <c r="J61" s="14"/>
      <c r="K61" s="14"/>
      <c r="L61" s="14"/>
      <c r="M61" s="213"/>
      <c r="N61" s="213"/>
      <c r="O61" s="213"/>
      <c r="P61" s="213"/>
      <c r="Q61" s="213"/>
      <c r="R61" s="213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</row>
    <row r="62" spans="1:40">
      <c r="A62" s="19"/>
      <c r="B62" s="14"/>
      <c r="C62" s="208"/>
      <c r="D62" s="208"/>
      <c r="E62" s="208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</row>
    <row r="63" spans="1:40">
      <c r="A63" s="19"/>
      <c r="B63" s="14"/>
      <c r="C63" s="14"/>
      <c r="D63" s="14"/>
      <c r="E63" s="14"/>
      <c r="F63" s="14"/>
      <c r="G63" s="17"/>
      <c r="H63" s="17"/>
      <c r="I63" s="14"/>
      <c r="J63" s="14"/>
      <c r="K63" s="14"/>
      <c r="L63" s="14"/>
      <c r="M63" s="209" t="s">
        <v>281</v>
      </c>
      <c r="N63" s="209"/>
      <c r="O63" s="209"/>
      <c r="P63" s="209"/>
      <c r="Q63" s="209"/>
      <c r="R63" s="209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</row>
    <row r="64" spans="1:40">
      <c r="A64" s="19"/>
      <c r="B64" s="14"/>
      <c r="C64" s="14"/>
      <c r="D64" s="14"/>
      <c r="E64" s="14"/>
      <c r="F64" s="14"/>
      <c r="G64" s="17"/>
      <c r="H64" s="17"/>
      <c r="I64" s="102" t="s">
        <v>1</v>
      </c>
      <c r="J64" s="102" t="s">
        <v>2</v>
      </c>
      <c r="K64" s="102" t="s">
        <v>260</v>
      </c>
      <c r="L64" s="14"/>
      <c r="M64" s="209"/>
      <c r="N64" s="209"/>
      <c r="O64" s="209"/>
      <c r="P64" s="209"/>
      <c r="Q64" s="209"/>
      <c r="R64" s="209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</row>
    <row r="65" spans="1:40" ht="14.25">
      <c r="A65" s="19"/>
      <c r="B65" s="14"/>
      <c r="C65" s="14"/>
      <c r="D65" s="14"/>
      <c r="E65" s="14"/>
      <c r="F65" s="14"/>
      <c r="G65" s="17" t="s">
        <v>351</v>
      </c>
      <c r="H65" s="17" t="s">
        <v>326</v>
      </c>
      <c r="K65" s="128" t="str">
        <f>IFERROR(-(I65-J65)/I65,"")</f>
        <v/>
      </c>
      <c r="L65" s="14"/>
      <c r="M65" s="213"/>
      <c r="N65" s="213"/>
      <c r="O65" s="213"/>
      <c r="P65" s="213"/>
      <c r="Q65" s="213"/>
      <c r="R65" s="213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</row>
    <row r="66" spans="1:40">
      <c r="A66" s="19"/>
      <c r="B66" s="14"/>
      <c r="C66" s="14"/>
      <c r="D66" s="14"/>
      <c r="E66" s="14"/>
      <c r="F66" s="14"/>
      <c r="G66" s="17"/>
      <c r="H66" s="14"/>
      <c r="I66" s="14"/>
      <c r="J66" s="14"/>
      <c r="K66" s="14"/>
      <c r="L66" s="14"/>
      <c r="M66" s="213"/>
      <c r="N66" s="213"/>
      <c r="O66" s="213"/>
      <c r="P66" s="213"/>
      <c r="Q66" s="213"/>
      <c r="R66" s="213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</row>
    <row r="67" spans="1:40">
      <c r="A67" s="19"/>
      <c r="B67" s="14"/>
      <c r="C67" s="14"/>
      <c r="D67" s="14"/>
      <c r="E67" s="14"/>
      <c r="F67" s="14"/>
      <c r="G67" s="17"/>
      <c r="H67" s="17"/>
      <c r="I67" s="14"/>
      <c r="J67" s="14"/>
      <c r="K67" s="14"/>
      <c r="L67" s="14"/>
      <c r="M67" s="213"/>
      <c r="N67" s="213"/>
      <c r="O67" s="213"/>
      <c r="P67" s="213"/>
      <c r="Q67" s="213"/>
      <c r="R67" s="213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</row>
    <row r="68" spans="1:40">
      <c r="A68" s="19"/>
      <c r="B68" s="14"/>
      <c r="C68" s="14"/>
      <c r="D68" s="14"/>
      <c r="E68" s="14"/>
      <c r="F68" s="14"/>
      <c r="G68" s="17"/>
      <c r="H68" s="17"/>
      <c r="I68" s="17"/>
      <c r="J68" s="17"/>
      <c r="K68" s="17"/>
      <c r="L68" s="14"/>
      <c r="M68" s="213"/>
      <c r="N68" s="213"/>
      <c r="O68" s="213"/>
      <c r="P68" s="213"/>
      <c r="Q68" s="213"/>
      <c r="R68" s="213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</row>
    <row r="69" spans="1:40">
      <c r="A69" s="19"/>
      <c r="B69" s="14"/>
      <c r="C69" s="14"/>
      <c r="D69" s="14"/>
      <c r="E69" s="14"/>
      <c r="F69" s="14"/>
      <c r="G69" s="17"/>
      <c r="H69" s="17"/>
      <c r="I69" s="17"/>
      <c r="J69" s="17"/>
      <c r="K69" s="17"/>
      <c r="L69" s="14"/>
      <c r="M69" s="213"/>
      <c r="N69" s="213"/>
      <c r="O69" s="213"/>
      <c r="P69" s="213"/>
      <c r="Q69" s="213"/>
      <c r="R69" s="213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</row>
    <row r="70" spans="1:40">
      <c r="A70" s="19"/>
      <c r="B70" s="14"/>
      <c r="C70" s="14"/>
      <c r="D70" s="14"/>
      <c r="E70" s="14"/>
      <c r="F70" s="14"/>
      <c r="G70" s="17"/>
      <c r="H70" s="17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</row>
    <row r="71" spans="1:40">
      <c r="A71" s="19"/>
      <c r="B71" s="14"/>
      <c r="C71" s="14"/>
      <c r="D71" s="14"/>
      <c r="E71" s="14"/>
      <c r="F71" s="14"/>
      <c r="G71" s="17"/>
      <c r="H71" s="17"/>
      <c r="I71" s="102" t="s">
        <v>1</v>
      </c>
      <c r="J71" s="102" t="s">
        <v>2</v>
      </c>
      <c r="K71" s="102" t="s">
        <v>260</v>
      </c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</row>
    <row r="72" spans="1:40" ht="14.25">
      <c r="A72" s="19"/>
      <c r="B72" s="14"/>
      <c r="C72" s="14"/>
      <c r="D72" s="14"/>
      <c r="E72" s="14"/>
      <c r="F72" s="14"/>
      <c r="G72" s="103" t="s">
        <v>290</v>
      </c>
      <c r="H72" s="17" t="s">
        <v>326</v>
      </c>
      <c r="I72" s="63">
        <f>SUM(I11,I25,I33,I41,I49,I57,I65)</f>
        <v>0</v>
      </c>
      <c r="J72" s="63">
        <f>SUM(J11,J25,J33,J41,J49,J57,J65)</f>
        <v>0</v>
      </c>
      <c r="K72" s="104">
        <f>-IFERROR(1-J72/I72,0)</f>
        <v>0</v>
      </c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</row>
    <row r="73" spans="1:40">
      <c r="A73" s="19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</row>
    <row r="74" spans="1:40">
      <c r="A74" s="19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</row>
    <row r="75" spans="1:40">
      <c r="A75" s="19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</row>
    <row r="76" spans="1:40">
      <c r="A76" s="19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</row>
    <row r="77" spans="1:40">
      <c r="A77" s="19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</row>
    <row r="78" spans="1:40">
      <c r="A78" s="19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</row>
    <row r="79" spans="1:40">
      <c r="A79" s="19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</row>
    <row r="80" spans="1:40">
      <c r="A80" s="19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</row>
    <row r="81" spans="1:40">
      <c r="A81" s="19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</row>
    <row r="82" spans="1:40">
      <c r="A82" s="19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</row>
    <row r="83" spans="1:40">
      <c r="A83" s="19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</row>
    <row r="84" spans="1:40">
      <c r="A84" s="19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</row>
    <row r="85" spans="1:40">
      <c r="A85" s="19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</row>
    <row r="86" spans="1:40">
      <c r="A86" s="19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</row>
    <row r="87" spans="1:40">
      <c r="A87" s="19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</row>
    <row r="88" spans="1:40">
      <c r="A88" s="19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</row>
    <row r="89" spans="1:40">
      <c r="A89" s="19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</row>
    <row r="90" spans="1:40">
      <c r="A90" s="19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</row>
    <row r="91" spans="1:40">
      <c r="A91" s="19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</row>
    <row r="92" spans="1:40">
      <c r="A92" s="19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</row>
    <row r="93" spans="1:40">
      <c r="A93" s="19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</row>
    <row r="94" spans="1:40">
      <c r="A94" s="19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 spans="1:40">
      <c r="A95" s="19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 spans="1:40">
      <c r="A96" s="19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spans="1:40">
      <c r="A97" s="19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 spans="1:40">
      <c r="A98" s="19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 spans="1:40">
      <c r="A99" s="19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</row>
    <row r="100" spans="1:40">
      <c r="A100" s="19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 spans="1:40">
      <c r="A101" s="19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  <row r="102" spans="1:40">
      <c r="A102" s="19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</row>
    <row r="103" spans="1:40">
      <c r="A103" s="19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</row>
    <row r="104" spans="1:40">
      <c r="A104" s="19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</row>
    <row r="105" spans="1:40">
      <c r="A105" s="19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</row>
    <row r="106" spans="1:40">
      <c r="A106" s="19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</row>
    <row r="107" spans="1:40">
      <c r="A107" s="19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</row>
    <row r="108" spans="1:40">
      <c r="A108" s="19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</row>
    <row r="109" spans="1:40">
      <c r="A109" s="19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</row>
    <row r="110" spans="1:40">
      <c r="A110" s="19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</row>
    <row r="111" spans="1:40">
      <c r="A111" s="19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</row>
    <row r="112" spans="1:40">
      <c r="A112" s="19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</row>
    <row r="113" spans="1:40">
      <c r="A113" s="19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</row>
    <row r="114" spans="1:40">
      <c r="A114" s="19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</row>
    <row r="115" spans="1:40">
      <c r="A115" s="19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</row>
    <row r="116" spans="1:40">
      <c r="A116" s="19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</row>
    <row r="117" spans="1:40">
      <c r="A117" s="19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</row>
    <row r="118" spans="1:40">
      <c r="A118" s="19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</row>
    <row r="119" spans="1:40">
      <c r="A119" s="19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</row>
    <row r="120" spans="1:40">
      <c r="A120" s="19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</row>
    <row r="121" spans="1:40">
      <c r="A121" s="19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</row>
    <row r="122" spans="1:40">
      <c r="A122" s="19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</row>
    <row r="123" spans="1:40">
      <c r="A123" s="19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</row>
    <row r="124" spans="1:40">
      <c r="A124" s="19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</row>
    <row r="125" spans="1:40">
      <c r="A125" s="19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</row>
    <row r="126" spans="1:40">
      <c r="A126" s="19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</row>
    <row r="127" spans="1:40">
      <c r="A127" s="19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</row>
    <row r="128" spans="1:40">
      <c r="A128" s="19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</row>
    <row r="129" spans="1:40">
      <c r="A129" s="19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</row>
    <row r="130" spans="1:40">
      <c r="A130" s="19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</row>
    <row r="131" spans="1:40">
      <c r="A131" s="19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</row>
    <row r="132" spans="1:40">
      <c r="A132" s="19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</row>
    <row r="133" spans="1:40">
      <c r="A133" s="19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</row>
    <row r="134" spans="1:40">
      <c r="A134" s="19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</row>
    <row r="135" spans="1:40">
      <c r="A135" s="19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</row>
    <row r="136" spans="1:40">
      <c r="A136" s="19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</row>
    <row r="137" spans="1:40">
      <c r="A137" s="19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</row>
    <row r="138" spans="1:40">
      <c r="A138" s="19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</row>
    <row r="139" spans="1:40">
      <c r="A139" s="19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</row>
    <row r="140" spans="1:40">
      <c r="A140" s="19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</row>
    <row r="141" spans="1:40">
      <c r="A141" s="19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</row>
    <row r="142" spans="1:40">
      <c r="A142" s="19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</row>
    <row r="143" spans="1:40">
      <c r="A143" s="19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</row>
    <row r="144" spans="1:40">
      <c r="A144" s="19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</row>
    <row r="145" spans="1:40">
      <c r="A145" s="19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</row>
    <row r="146" spans="1:40">
      <c r="A146" s="19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</row>
    <row r="147" spans="1:40">
      <c r="A147" s="19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</row>
    <row r="148" spans="1:40">
      <c r="A148" s="19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</row>
    <row r="149" spans="1:40">
      <c r="A149" s="19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</row>
    <row r="150" spans="1:40">
      <c r="A150" s="19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</row>
    <row r="151" spans="1:40">
      <c r="A151" s="19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</row>
    <row r="152" spans="1:40">
      <c r="A152" s="19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</row>
    <row r="153" spans="1:40">
      <c r="A153" s="19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</row>
    <row r="154" spans="1:40">
      <c r="A154" s="19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</row>
    <row r="155" spans="1:40">
      <c r="A155" s="19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</row>
    <row r="156" spans="1:40">
      <c r="A156" s="19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</row>
    <row r="157" spans="1:40">
      <c r="A157" s="19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</row>
    <row r="158" spans="1:40">
      <c r="A158" s="19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</row>
    <row r="159" spans="1:40">
      <c r="A159" s="19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</row>
    <row r="160" spans="1:40">
      <c r="A160" s="19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</row>
    <row r="161" spans="1:40">
      <c r="A161" s="19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</row>
    <row r="162" spans="1:40">
      <c r="A162" s="19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</row>
    <row r="163" spans="1:40">
      <c r="A163" s="19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</row>
    <row r="164" spans="1:40">
      <c r="A164" s="19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</row>
    <row r="165" spans="1:40">
      <c r="A165" s="19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</row>
    <row r="166" spans="1:40">
      <c r="A166" s="19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</row>
    <row r="167" spans="1:40">
      <c r="A167" s="19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</row>
    <row r="168" spans="1:40">
      <c r="A168" s="19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</row>
    <row r="169" spans="1:40">
      <c r="A169" s="19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</row>
    <row r="170" spans="1:40">
      <c r="A170" s="19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</row>
    <row r="171" spans="1:40">
      <c r="A171" s="19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</row>
    <row r="172" spans="1:40">
      <c r="A172" s="19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</row>
    <row r="173" spans="1:40">
      <c r="A173" s="19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</row>
    <row r="174" spans="1:40">
      <c r="A174" s="19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</row>
    <row r="175" spans="1:40">
      <c r="A175" s="19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</row>
    <row r="176" spans="1:40">
      <c r="A176" s="19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</row>
    <row r="177" spans="1:40">
      <c r="A177" s="19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</row>
    <row r="178" spans="1:40">
      <c r="A178" s="19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</row>
    <row r="179" spans="1:40">
      <c r="A179" s="19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</row>
    <row r="180" spans="1:40">
      <c r="A180" s="19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</row>
    <row r="181" spans="1:40">
      <c r="A181" s="19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</row>
    <row r="182" spans="1:40">
      <c r="A182" s="19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</row>
    <row r="183" spans="1:40">
      <c r="A183" s="19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</row>
    <row r="184" spans="1:40">
      <c r="A184" s="19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</row>
    <row r="185" spans="1:40">
      <c r="A185" s="19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</row>
    <row r="186" spans="1:40">
      <c r="A186" s="19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</row>
    <row r="187" spans="1:40">
      <c r="A187" s="19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</row>
    <row r="188" spans="1:40">
      <c r="A188" s="19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</row>
    <row r="189" spans="1:40">
      <c r="A189" s="19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</row>
    <row r="190" spans="1:40">
      <c r="A190" s="19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</row>
    <row r="191" spans="1:40">
      <c r="A191" s="19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</row>
    <row r="192" spans="1:40">
      <c r="A192" s="19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</row>
    <row r="193" spans="1:40">
      <c r="A193" s="19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</row>
    <row r="194" spans="1:40">
      <c r="A194" s="19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</row>
    <row r="195" spans="1:40">
      <c r="A195" s="19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</row>
    <row r="196" spans="1:40">
      <c r="A196" s="19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</row>
    <row r="197" spans="1:40">
      <c r="A197" s="19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</row>
    <row r="198" spans="1:40">
      <c r="A198" s="19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</row>
    <row r="199" spans="1:40">
      <c r="A199" s="1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</row>
    <row r="200" spans="1:40">
      <c r="A200" s="1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</row>
    <row r="201" spans="1:40">
      <c r="A201" s="19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</row>
    <row r="204" spans="1:40">
      <c r="C204" s="15" t="s">
        <v>233</v>
      </c>
    </row>
    <row r="205" spans="1:40">
      <c r="C205" s="15" t="s">
        <v>234</v>
      </c>
    </row>
    <row r="206" spans="1:40">
      <c r="C206" s="15" t="s">
        <v>235</v>
      </c>
    </row>
    <row r="207" spans="1:40">
      <c r="C207" s="15" t="s">
        <v>236</v>
      </c>
    </row>
    <row r="208" spans="1:40">
      <c r="C208" s="15" t="s">
        <v>237</v>
      </c>
    </row>
    <row r="210" spans="3:3">
      <c r="C210" s="15" t="s">
        <v>277</v>
      </c>
    </row>
    <row r="211" spans="3:3">
      <c r="C211" s="15" t="s">
        <v>278</v>
      </c>
    </row>
    <row r="212" spans="3:3">
      <c r="C212" s="15" t="s">
        <v>279</v>
      </c>
    </row>
    <row r="213" spans="3:3">
      <c r="C213" s="15" t="s">
        <v>237</v>
      </c>
    </row>
  </sheetData>
  <sheetProtection algorithmName="SHA-512" hashValue="OAUU53OzKvig7689XPcpBXfmIzPRf9PY086XKK6oVmRM44yI/sXUmPICivCDEPH/c1My9zsNtsg4+fJByMX5vg==" saltValue="tHyVtAxdbrZSxKf1/10oQg==" spinCount="100000" sheet="1" objects="1" scenarios="1"/>
  <protectedRanges>
    <protectedRange sqref="M65:R69 M57:R61 M49:R53 M41:R45 M33:R37 I33:J33 I41:J41 I49:J49 I57:J57 I65:J65 C57:E62 C48:E53 E41:E44 C32:E37 M25:R29 I25:J25 M11:R19 I11:J11 E10:E16 E18:E21 E24:E27" name="Range1"/>
  </protectedRanges>
  <mergeCells count="17">
    <mergeCell ref="C48:E53"/>
    <mergeCell ref="C57:E62"/>
    <mergeCell ref="M65:R69"/>
    <mergeCell ref="M47:R48"/>
    <mergeCell ref="M49:R53"/>
    <mergeCell ref="M55:R56"/>
    <mergeCell ref="M57:R61"/>
    <mergeCell ref="M63:R64"/>
    <mergeCell ref="C32:E37"/>
    <mergeCell ref="M33:R37"/>
    <mergeCell ref="M39:R40"/>
    <mergeCell ref="M41:R45"/>
    <mergeCell ref="M9:R10"/>
    <mergeCell ref="M11:R19"/>
    <mergeCell ref="M23:R24"/>
    <mergeCell ref="M31:R32"/>
    <mergeCell ref="M25:R29"/>
  </mergeCells>
  <dataValidations count="2">
    <dataValidation type="list" allowBlank="1" showInputMessage="1" showErrorMessage="1" sqref="E12 E15" xr:uid="{134EB2B4-5F08-4F3A-9987-12DBEFE1F01B}">
      <formula1>$C$204:$C$208</formula1>
    </dataValidation>
    <dataValidation type="decimal" operator="greaterThan" allowBlank="1" showErrorMessage="1" errorTitle="Negativ verdi" error="Utslippsverdi kan ikke være negativ" sqref="I65:J65 I57:J57 I49:J49 I41:J41 I33:J33 I25:J25 I11:J11" xr:uid="{8CE02F88-E485-439F-B33A-F2445408269D}">
      <formula1>0</formula1>
    </dataValidation>
  </dataValidations>
  <pageMargins left="0.7" right="0.7" top="0.75" bottom="0.75" header="0.3" footer="0.3"/>
  <pageSetup paperSize="9" orientation="portrait" verticalDpi="0" r:id="rId1"/>
  <headerFooter>
    <oddFooter>&amp;C_x000D_&amp;1#&amp;"Verdana"&amp;7&amp;K000000 Confidential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0DCA4-D03F-4768-9A25-7600A84241A9}">
  <sheetPr>
    <tabColor theme="8"/>
  </sheetPr>
  <dimension ref="A1:AP216"/>
  <sheetViews>
    <sheetView zoomScale="90" zoomScaleNormal="90" workbookViewId="0">
      <selection activeCell="I12" sqref="I12"/>
    </sheetView>
  </sheetViews>
  <sheetFormatPr defaultColWidth="9.140625" defaultRowHeight="12.75"/>
  <cols>
    <col min="1" max="1" width="17.140625" style="15" customWidth="1"/>
    <col min="2" max="2" width="5" style="15" customWidth="1"/>
    <col min="3" max="3" width="40.28515625" style="15" customWidth="1"/>
    <col min="4" max="4" width="5.5703125" style="15" customWidth="1"/>
    <col min="5" max="5" width="12.140625" style="15" customWidth="1"/>
    <col min="6" max="6" width="41.7109375" style="15" customWidth="1"/>
    <col min="7" max="7" width="54" style="15" customWidth="1"/>
    <col min="8" max="8" width="13.5703125" style="15" customWidth="1"/>
    <col min="9" max="10" width="11.85546875" style="15" customWidth="1"/>
    <col min="11" max="11" width="11.5703125" style="15" customWidth="1"/>
    <col min="12" max="12" width="5.42578125" style="15" customWidth="1"/>
    <col min="13" max="16384" width="9.140625" style="15"/>
  </cols>
  <sheetData>
    <row r="1" spans="1:42">
      <c r="A1" s="19"/>
      <c r="B1" s="17"/>
      <c r="C1" s="17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2">
      <c r="A2" s="19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3" spans="1:42">
      <c r="A3" s="1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2" ht="20.25">
      <c r="A4" s="19"/>
      <c r="B4" s="14"/>
      <c r="C4" s="51" t="str">
        <f>"LANDSKAP, byggetrinn "&amp;'Nøkkelinfo og veiledning'!F8</f>
        <v xml:space="preserve">LANDSKAP, byggetrinn </v>
      </c>
      <c r="D4" s="17"/>
      <c r="E4" s="17"/>
      <c r="F4" s="17"/>
      <c r="G4" s="140"/>
      <c r="H4" s="17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ht="18">
      <c r="A5" s="19"/>
      <c r="B5" s="14"/>
      <c r="C5" s="148" t="s">
        <v>325</v>
      </c>
      <c r="D5" s="17"/>
      <c r="E5" s="17"/>
      <c r="F5" s="17"/>
      <c r="G5" s="140"/>
      <c r="H5" s="17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pans="1:42" ht="18">
      <c r="A6" s="19"/>
      <c r="B6" s="14"/>
      <c r="C6" s="148"/>
      <c r="D6" s="17"/>
      <c r="E6" s="17"/>
      <c r="F6" s="17"/>
      <c r="G6" s="140"/>
      <c r="H6" s="17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1:42" ht="18">
      <c r="A7" s="19"/>
      <c r="B7" s="14"/>
      <c r="C7" s="147" t="s">
        <v>340</v>
      </c>
      <c r="D7" s="14"/>
      <c r="E7" s="14"/>
      <c r="F7" s="14"/>
      <c r="G7" s="20" t="s">
        <v>390</v>
      </c>
      <c r="H7" s="17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1:42" ht="14.25">
      <c r="A8" s="19"/>
      <c r="B8" s="14"/>
      <c r="C8" s="17"/>
      <c r="D8" s="17"/>
      <c r="E8" s="17"/>
      <c r="F8" s="17"/>
      <c r="G8" s="160" t="s">
        <v>341</v>
      </c>
      <c r="H8" s="1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pans="1:42" ht="18">
      <c r="A9" s="19"/>
      <c r="B9" s="14"/>
      <c r="C9" s="149"/>
      <c r="D9" s="149"/>
      <c r="E9" s="149"/>
      <c r="F9" s="149"/>
      <c r="G9" s="20"/>
      <c r="H9" s="17"/>
      <c r="I9" s="14"/>
      <c r="J9" s="20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spans="1:42" ht="14.25">
      <c r="A10" s="19"/>
      <c r="B10" s="14"/>
      <c r="C10" s="150" t="s">
        <v>286</v>
      </c>
      <c r="D10" s="150" t="s">
        <v>252</v>
      </c>
      <c r="E10" s="16"/>
      <c r="F10" s="150"/>
      <c r="G10" s="14"/>
      <c r="H10" s="14"/>
      <c r="I10" s="14"/>
      <c r="J10" s="14"/>
      <c r="K10" s="14"/>
      <c r="L10" s="14"/>
      <c r="M10" s="209" t="s">
        <v>281</v>
      </c>
      <c r="N10" s="209"/>
      <c r="O10" s="209"/>
      <c r="P10" s="209"/>
      <c r="Q10" s="209"/>
      <c r="R10" s="209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2">
      <c r="A11" s="19"/>
      <c r="B11" s="14"/>
      <c r="C11" s="17"/>
      <c r="D11" s="17"/>
      <c r="E11" s="17"/>
      <c r="F11" s="17"/>
      <c r="G11" s="17"/>
      <c r="H11" s="17"/>
      <c r="I11" s="102" t="s">
        <v>1</v>
      </c>
      <c r="J11" s="102" t="s">
        <v>2</v>
      </c>
      <c r="K11" s="102" t="s">
        <v>260</v>
      </c>
      <c r="L11" s="14"/>
      <c r="M11" s="209"/>
      <c r="N11" s="209"/>
      <c r="O11" s="209"/>
      <c r="P11" s="209"/>
      <c r="Q11" s="209"/>
      <c r="R11" s="209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2" ht="18">
      <c r="A12" s="19"/>
      <c r="B12" s="14"/>
      <c r="C12" s="20" t="s">
        <v>224</v>
      </c>
      <c r="D12" s="17"/>
      <c r="E12" s="17"/>
      <c r="F12" s="17"/>
      <c r="G12" s="17" t="s">
        <v>262</v>
      </c>
      <c r="H12" s="17" t="s">
        <v>326</v>
      </c>
      <c r="K12" s="128" t="str">
        <f>IFERROR(-(I12-J12)/I12,"")</f>
        <v/>
      </c>
      <c r="L12" s="14"/>
      <c r="M12" s="214"/>
      <c r="N12" s="214"/>
      <c r="O12" s="214"/>
      <c r="P12" s="214"/>
      <c r="Q12" s="214"/>
      <c r="R12" s="2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2">
      <c r="A13" s="19"/>
      <c r="B13" s="14"/>
      <c r="C13" s="17"/>
      <c r="D13" s="17"/>
      <c r="E13" s="17"/>
      <c r="F13" s="17"/>
      <c r="G13" s="17"/>
      <c r="H13" s="17"/>
      <c r="I13" s="14"/>
      <c r="J13" s="14"/>
      <c r="K13" s="14"/>
      <c r="L13" s="14"/>
      <c r="M13" s="214"/>
      <c r="N13" s="214"/>
      <c r="O13" s="214"/>
      <c r="P13" s="214"/>
      <c r="Q13" s="214"/>
      <c r="R13" s="2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2" ht="14.25">
      <c r="A14" s="19"/>
      <c r="B14" s="14"/>
      <c r="C14" s="17" t="s">
        <v>231</v>
      </c>
      <c r="D14" s="17" t="s">
        <v>251</v>
      </c>
      <c r="E14" s="16"/>
      <c r="F14" s="17"/>
      <c r="G14" s="17"/>
      <c r="H14" s="17"/>
      <c r="I14" s="14"/>
      <c r="J14" s="14"/>
      <c r="K14" s="14"/>
      <c r="L14" s="14"/>
      <c r="M14" s="214"/>
      <c r="N14" s="214"/>
      <c r="O14" s="214"/>
      <c r="P14" s="214"/>
      <c r="Q14" s="214"/>
      <c r="R14" s="2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2">
      <c r="A15" s="19"/>
      <c r="B15" s="14"/>
      <c r="C15" s="92" t="s">
        <v>225</v>
      </c>
      <c r="D15" s="17" t="s">
        <v>226</v>
      </c>
      <c r="E15" s="16"/>
      <c r="F15" s="17"/>
      <c r="G15" s="17"/>
      <c r="H15" s="17"/>
      <c r="I15" s="14"/>
      <c r="J15" s="14"/>
      <c r="K15" s="14"/>
      <c r="L15" s="14"/>
      <c r="M15" s="214"/>
      <c r="N15" s="214"/>
      <c r="O15" s="214"/>
      <c r="P15" s="214"/>
      <c r="Q15" s="214"/>
      <c r="R15" s="2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2">
      <c r="A16" s="19"/>
      <c r="B16" s="14"/>
      <c r="C16" s="92" t="s">
        <v>232</v>
      </c>
      <c r="D16" s="17"/>
      <c r="E16" s="16"/>
      <c r="F16" s="17"/>
      <c r="G16" s="17"/>
      <c r="H16" s="17"/>
      <c r="I16" s="14"/>
      <c r="J16" s="14"/>
      <c r="K16" s="14"/>
      <c r="L16" s="14"/>
      <c r="M16" s="214"/>
      <c r="N16" s="214"/>
      <c r="O16" s="214"/>
      <c r="P16" s="214"/>
      <c r="Q16" s="214"/>
      <c r="R16" s="2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1:42" ht="14.25">
      <c r="A17" s="19"/>
      <c r="B17" s="14"/>
      <c r="C17" s="17" t="s">
        <v>230</v>
      </c>
      <c r="D17" s="17" t="s">
        <v>251</v>
      </c>
      <c r="E17" s="16"/>
      <c r="F17" s="17"/>
      <c r="G17" s="17"/>
      <c r="H17" s="17"/>
      <c r="I17" s="14"/>
      <c r="J17" s="14"/>
      <c r="K17" s="14"/>
      <c r="L17" s="14"/>
      <c r="M17" s="214"/>
      <c r="N17" s="214"/>
      <c r="O17" s="214"/>
      <c r="P17" s="214"/>
      <c r="Q17" s="214"/>
      <c r="R17" s="2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>
      <c r="A18" s="19"/>
      <c r="B18" s="14"/>
      <c r="C18" s="92" t="s">
        <v>225</v>
      </c>
      <c r="D18" s="17" t="s">
        <v>226</v>
      </c>
      <c r="E18" s="16"/>
      <c r="F18" s="17"/>
      <c r="G18" s="17"/>
      <c r="H18" s="17"/>
      <c r="I18" s="14"/>
      <c r="J18" s="14"/>
      <c r="K18" s="14"/>
      <c r="L18" s="14"/>
      <c r="M18" s="214"/>
      <c r="N18" s="214"/>
      <c r="O18" s="214"/>
      <c r="P18" s="214"/>
      <c r="Q18" s="214"/>
      <c r="R18" s="2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1:42">
      <c r="A19" s="19"/>
      <c r="B19" s="14"/>
      <c r="C19" s="92" t="s">
        <v>232</v>
      </c>
      <c r="D19" s="17"/>
      <c r="E19" s="16"/>
      <c r="F19" s="17"/>
      <c r="G19" s="17"/>
      <c r="H19" s="17"/>
      <c r="I19" s="14"/>
      <c r="J19" s="14"/>
      <c r="K19" s="14"/>
      <c r="L19" s="14"/>
      <c r="M19" s="214"/>
      <c r="N19" s="214"/>
      <c r="O19" s="214"/>
      <c r="P19" s="214"/>
      <c r="Q19" s="214"/>
      <c r="R19" s="2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1:42" ht="14.25">
      <c r="A20" s="19"/>
      <c r="B20" s="14"/>
      <c r="C20" s="101" t="s">
        <v>258</v>
      </c>
      <c r="D20" s="17" t="s">
        <v>251</v>
      </c>
      <c r="E20" s="16"/>
      <c r="F20" s="17"/>
      <c r="G20" s="17"/>
      <c r="H20" s="17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>
      <c r="A21" s="19"/>
      <c r="B21" s="14"/>
      <c r="C21" s="92" t="s">
        <v>276</v>
      </c>
      <c r="D21" s="17"/>
      <c r="E21" s="16"/>
      <c r="F21" s="17"/>
      <c r="G21" s="17"/>
      <c r="H21" s="17"/>
      <c r="I21" s="102" t="s">
        <v>1</v>
      </c>
      <c r="J21" s="102" t="s">
        <v>2</v>
      </c>
      <c r="K21" s="102" t="s">
        <v>260</v>
      </c>
      <c r="L21" s="14"/>
      <c r="M21" s="209" t="s">
        <v>281</v>
      </c>
      <c r="N21" s="209"/>
      <c r="O21" s="209"/>
      <c r="P21" s="209"/>
      <c r="Q21" s="209"/>
      <c r="R21" s="209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ht="14.25">
      <c r="A22" s="19"/>
      <c r="B22" s="14"/>
      <c r="C22" s="17"/>
      <c r="D22" s="17"/>
      <c r="E22" s="17"/>
      <c r="F22" s="17"/>
      <c r="G22" s="17" t="s">
        <v>263</v>
      </c>
      <c r="H22" s="17" t="s">
        <v>326</v>
      </c>
      <c r="K22" s="128" t="str">
        <f>IFERROR(-(I22-J22)/I22,"")</f>
        <v/>
      </c>
      <c r="L22" s="14"/>
      <c r="M22" s="209"/>
      <c r="N22" s="209"/>
      <c r="O22" s="209"/>
      <c r="P22" s="209"/>
      <c r="Q22" s="209"/>
      <c r="R22" s="209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pans="1:42" ht="18">
      <c r="A23" s="19"/>
      <c r="B23" s="14"/>
      <c r="C23" s="20" t="s">
        <v>229</v>
      </c>
      <c r="D23" s="17"/>
      <c r="E23" s="17"/>
      <c r="F23" s="17"/>
      <c r="G23" s="17"/>
      <c r="H23" s="17"/>
      <c r="I23" s="14"/>
      <c r="J23" s="14"/>
      <c r="K23" s="14"/>
      <c r="L23" s="14"/>
      <c r="M23" s="214"/>
      <c r="N23" s="214"/>
      <c r="O23" s="214"/>
      <c r="P23" s="214"/>
      <c r="Q23" s="214"/>
      <c r="R23" s="2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1:42">
      <c r="A24" s="19"/>
      <c r="B24" s="14"/>
      <c r="C24" s="17"/>
      <c r="D24" s="17"/>
      <c r="E24" s="17"/>
      <c r="F24" s="17"/>
      <c r="G24" s="17"/>
      <c r="H24" s="17"/>
      <c r="I24" s="102" t="s">
        <v>1</v>
      </c>
      <c r="J24" s="102" t="s">
        <v>2</v>
      </c>
      <c r="K24" s="102" t="s">
        <v>260</v>
      </c>
      <c r="L24" s="14"/>
      <c r="M24" s="214"/>
      <c r="N24" s="214"/>
      <c r="O24" s="214"/>
      <c r="P24" s="214"/>
      <c r="Q24" s="214"/>
      <c r="R24" s="2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42" ht="15">
      <c r="A25" s="19"/>
      <c r="B25" s="14"/>
      <c r="C25" s="17" t="s">
        <v>223</v>
      </c>
      <c r="D25" s="17" t="s">
        <v>252</v>
      </c>
      <c r="E25" s="16"/>
      <c r="F25" s="17"/>
      <c r="G25" s="17" t="s">
        <v>264</v>
      </c>
      <c r="H25" s="17" t="s">
        <v>326</v>
      </c>
      <c r="K25" s="128" t="str">
        <f>IFERROR(-(I25-J25)/I25,"")</f>
        <v/>
      </c>
      <c r="L25" s="14"/>
      <c r="M25" s="214"/>
      <c r="N25" s="214"/>
      <c r="O25" s="214"/>
      <c r="P25" s="214"/>
      <c r="Q25" s="214"/>
      <c r="R25" s="2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2" ht="14.25">
      <c r="A26" s="19"/>
      <c r="B26" s="14"/>
      <c r="C26" s="17" t="s">
        <v>238</v>
      </c>
      <c r="D26" s="17" t="s">
        <v>252</v>
      </c>
      <c r="E26" s="16"/>
      <c r="F26" s="17"/>
      <c r="G26" s="17"/>
      <c r="H26" s="17"/>
      <c r="I26" s="14"/>
      <c r="J26" s="14"/>
      <c r="K26" s="14"/>
      <c r="L26" s="14"/>
      <c r="M26" s="214"/>
      <c r="N26" s="214"/>
      <c r="O26" s="214"/>
      <c r="P26" s="214"/>
      <c r="Q26" s="214"/>
      <c r="R26" s="2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>
      <c r="A27" s="19"/>
      <c r="B27" s="14"/>
      <c r="C27" s="17"/>
      <c r="D27" s="17"/>
      <c r="E27" s="17"/>
      <c r="F27" s="17"/>
      <c r="G27" s="17"/>
      <c r="H27" s="17"/>
      <c r="I27" s="14"/>
      <c r="J27" s="14"/>
      <c r="K27" s="14"/>
      <c r="L27" s="14"/>
      <c r="M27" s="214"/>
      <c r="N27" s="214"/>
      <c r="O27" s="214"/>
      <c r="P27" s="214"/>
      <c r="Q27" s="214"/>
      <c r="R27" s="2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>
      <c r="A28" s="19"/>
      <c r="B28" s="14"/>
      <c r="C28" s="17" t="s">
        <v>253</v>
      </c>
      <c r="D28" s="17"/>
      <c r="E28" s="17"/>
      <c r="F28" s="17"/>
      <c r="G28" s="17"/>
      <c r="H28" s="17"/>
      <c r="I28" s="14"/>
      <c r="J28" s="14"/>
      <c r="K28" s="14"/>
      <c r="L28" s="14"/>
      <c r="M28" s="214"/>
      <c r="N28" s="214"/>
      <c r="O28" s="214"/>
      <c r="P28" s="214"/>
      <c r="Q28" s="214"/>
      <c r="R28" s="2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>
      <c r="A29" s="19"/>
      <c r="B29" s="14"/>
      <c r="C29" s="215"/>
      <c r="D29" s="215"/>
      <c r="E29" s="215"/>
      <c r="F29" s="17"/>
      <c r="G29" s="17"/>
      <c r="H29" s="17"/>
      <c r="I29" s="14"/>
      <c r="J29" s="14"/>
      <c r="K29" s="14"/>
      <c r="L29" s="14"/>
      <c r="M29" s="214"/>
      <c r="N29" s="214"/>
      <c r="O29" s="214"/>
      <c r="P29" s="214"/>
      <c r="Q29" s="214"/>
      <c r="R29" s="2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42">
      <c r="A30" s="19"/>
      <c r="B30" s="14"/>
      <c r="C30" s="215"/>
      <c r="D30" s="215"/>
      <c r="E30" s="215"/>
      <c r="F30" s="17"/>
      <c r="G30" s="17"/>
      <c r="H30" s="17"/>
      <c r="I30" s="14"/>
      <c r="J30" s="14"/>
      <c r="K30" s="14"/>
      <c r="L30" s="14"/>
      <c r="M30" s="214"/>
      <c r="N30" s="214"/>
      <c r="O30" s="214"/>
      <c r="P30" s="214"/>
      <c r="Q30" s="214"/>
      <c r="R30" s="2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pans="1:42">
      <c r="A31" s="19"/>
      <c r="B31" s="14"/>
      <c r="C31" s="215"/>
      <c r="D31" s="215"/>
      <c r="E31" s="215"/>
      <c r="F31" s="17"/>
      <c r="G31" s="17"/>
      <c r="H31" s="17"/>
      <c r="I31" s="14"/>
      <c r="J31" s="14"/>
      <c r="K31" s="14"/>
      <c r="L31" s="14"/>
      <c r="M31" s="214"/>
      <c r="N31" s="214"/>
      <c r="O31" s="214"/>
      <c r="P31" s="214"/>
      <c r="Q31" s="214"/>
      <c r="R31" s="2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42">
      <c r="A32" s="19"/>
      <c r="B32" s="14"/>
      <c r="C32" s="215"/>
      <c r="D32" s="215"/>
      <c r="E32" s="215"/>
      <c r="F32" s="17"/>
      <c r="G32" s="17"/>
      <c r="H32" s="17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pans="1:42">
      <c r="A33" s="19"/>
      <c r="B33" s="14"/>
      <c r="C33" s="17"/>
      <c r="D33" s="17"/>
      <c r="E33" s="17"/>
      <c r="F33" s="17"/>
      <c r="G33" s="17"/>
      <c r="H33" s="17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2">
      <c r="A34" s="19"/>
      <c r="B34" s="14"/>
      <c r="C34" s="17" t="s">
        <v>227</v>
      </c>
      <c r="D34" s="17" t="s">
        <v>228</v>
      </c>
      <c r="E34" s="16"/>
      <c r="F34" s="105" t="s">
        <v>283</v>
      </c>
      <c r="G34" s="17"/>
      <c r="H34" s="17"/>
      <c r="I34" s="102" t="s">
        <v>284</v>
      </c>
      <c r="J34" s="102" t="s">
        <v>2</v>
      </c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2" ht="14.25">
      <c r="A35" s="19"/>
      <c r="B35" s="14"/>
      <c r="C35" s="17"/>
      <c r="D35" s="17"/>
      <c r="E35" s="17"/>
      <c r="F35" s="17"/>
      <c r="G35" s="17" t="s">
        <v>265</v>
      </c>
      <c r="H35" s="17" t="s">
        <v>326</v>
      </c>
      <c r="I35" s="14">
        <v>0</v>
      </c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1:42" ht="18">
      <c r="A36" s="19"/>
      <c r="B36" s="14"/>
      <c r="C36" s="20" t="s">
        <v>239</v>
      </c>
      <c r="D36" s="17"/>
      <c r="E36" s="17"/>
      <c r="F36" s="17"/>
      <c r="G36" s="17" t="s">
        <v>267</v>
      </c>
      <c r="H36" s="17" t="s">
        <v>326</v>
      </c>
      <c r="I36" s="14">
        <v>0</v>
      </c>
      <c r="K36" s="106" t="s">
        <v>261</v>
      </c>
      <c r="L36" s="106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42">
      <c r="A37" s="19"/>
      <c r="B37" s="14"/>
      <c r="C37" s="17"/>
      <c r="D37" s="17"/>
      <c r="E37" s="17"/>
      <c r="F37" s="17"/>
      <c r="G37" s="17"/>
      <c r="H37" s="17"/>
      <c r="I37" s="23" t="s">
        <v>285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1:42" ht="14.25">
      <c r="A38" s="19"/>
      <c r="B38" s="14"/>
      <c r="C38" s="17" t="s">
        <v>241</v>
      </c>
      <c r="D38" s="17" t="s">
        <v>252</v>
      </c>
      <c r="E38" s="16"/>
      <c r="F38" s="17"/>
      <c r="G38" s="17"/>
      <c r="H38" s="17"/>
      <c r="I38" s="17"/>
      <c r="J38" s="17"/>
      <c r="K38" s="17"/>
      <c r="L38" s="17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</row>
    <row r="39" spans="1:42" ht="14.25">
      <c r="A39" s="19"/>
      <c r="B39" s="14"/>
      <c r="C39" s="17" t="s">
        <v>240</v>
      </c>
      <c r="D39" s="17" t="s">
        <v>252</v>
      </c>
      <c r="E39" s="16"/>
      <c r="F39" s="17"/>
      <c r="G39" s="17"/>
      <c r="H39" s="17"/>
      <c r="I39" s="102" t="s">
        <v>1</v>
      </c>
      <c r="J39" s="102" t="s">
        <v>2</v>
      </c>
      <c r="K39" s="102" t="s">
        <v>260</v>
      </c>
      <c r="L39" s="102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ht="14.25">
      <c r="A40" s="19"/>
      <c r="B40" s="14"/>
      <c r="C40" s="14"/>
      <c r="D40" s="14"/>
      <c r="E40" s="14"/>
      <c r="F40" s="14"/>
      <c r="G40" s="103" t="s">
        <v>259</v>
      </c>
      <c r="H40" s="17" t="s">
        <v>326</v>
      </c>
      <c r="I40" s="63">
        <f>SUM(I12,I22,I25,I35:I36)</f>
        <v>0</v>
      </c>
      <c r="J40" s="63">
        <f>SUM(J12,J22,J25,J35:J36)</f>
        <v>0</v>
      </c>
      <c r="K40" s="104">
        <f>-IFERROR(1-J40/I40,0)</f>
        <v>0</v>
      </c>
      <c r="L40" s="107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</row>
    <row r="41" spans="1:42" ht="15">
      <c r="A41" s="19"/>
      <c r="B41" s="14"/>
      <c r="C41" s="14"/>
      <c r="D41" s="14"/>
      <c r="E41" s="14"/>
      <c r="F41" s="14"/>
      <c r="G41" s="17" t="s">
        <v>266</v>
      </c>
      <c r="H41" s="17" t="s">
        <v>362</v>
      </c>
      <c r="I41" s="61">
        <f>IFERROR(I40/$E$10*1000,0)</f>
        <v>0</v>
      </c>
      <c r="J41" s="61">
        <f>IFERROR(J40/$E$10*1000,0)</f>
        <v>0</v>
      </c>
      <c r="K41" s="104">
        <f>-IFERROR(1-J41/I41,0)</f>
        <v>0</v>
      </c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pans="1:42">
      <c r="A42" s="19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 spans="1:42">
      <c r="A43" s="19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>
      <c r="A44" s="19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>
      <c r="A45" s="19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>
      <c r="A46" s="19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>
      <c r="A47" s="19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>
      <c r="A48" s="19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pans="1:42">
      <c r="A49" s="19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 spans="1:42">
      <c r="A50" s="19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1:42">
      <c r="A51" s="19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1:42">
      <c r="A52" s="19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1:42">
      <c r="A53" s="19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1:42">
      <c r="A54" s="19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5" spans="1:42">
      <c r="A55" s="19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1:42">
      <c r="A56" s="19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1:42">
      <c r="A57" s="19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 spans="1:42">
      <c r="A58" s="19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 spans="1:42">
      <c r="A59" s="1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>
      <c r="A60" s="1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1:42">
      <c r="A61" s="1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>
      <c r="A62" s="19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1:42">
      <c r="A63" s="19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1:42">
      <c r="A64" s="19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1:42">
      <c r="A65" s="19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1:42">
      <c r="A66" s="19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67" spans="1:42">
      <c r="A67" s="19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pans="1:42">
      <c r="A68" s="19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</row>
    <row r="69" spans="1:42">
      <c r="A69" s="19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</row>
    <row r="70" spans="1:42">
      <c r="A70" s="19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</row>
    <row r="71" spans="1:42">
      <c r="A71" s="19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  <row r="72" spans="1:42">
      <c r="A72" s="19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</row>
    <row r="73" spans="1:42">
      <c r="A73" s="19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</row>
    <row r="74" spans="1:42">
      <c r="A74" s="19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</row>
    <row r="75" spans="1:42">
      <c r="A75" s="19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</row>
    <row r="76" spans="1:42">
      <c r="A76" s="19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1:42">
      <c r="A77" s="19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</row>
    <row r="78" spans="1:42">
      <c r="A78" s="19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</row>
    <row r="79" spans="1:42">
      <c r="A79" s="19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</row>
    <row r="80" spans="1:42">
      <c r="A80" s="19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 spans="1:42">
      <c r="A81" s="19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</row>
    <row r="82" spans="1:42">
      <c r="A82" s="19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 spans="1:42">
      <c r="A83" s="19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</row>
    <row r="84" spans="1:42">
      <c r="A84" s="19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</row>
    <row r="85" spans="1:42">
      <c r="A85" s="19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</row>
    <row r="86" spans="1:42">
      <c r="A86" s="19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</row>
    <row r="87" spans="1:42">
      <c r="A87" s="19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</row>
    <row r="88" spans="1:42">
      <c r="A88" s="19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</row>
    <row r="89" spans="1:42">
      <c r="A89" s="19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</row>
    <row r="90" spans="1:42">
      <c r="A90" s="19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</row>
    <row r="91" spans="1:42">
      <c r="A91" s="19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</row>
    <row r="92" spans="1:42">
      <c r="A92" s="19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</row>
    <row r="93" spans="1:42">
      <c r="A93" s="19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</row>
    <row r="94" spans="1:42">
      <c r="A94" s="19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</row>
    <row r="95" spans="1:42">
      <c r="A95" s="19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</row>
    <row r="96" spans="1:42">
      <c r="A96" s="19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</row>
    <row r="97" spans="1:42">
      <c r="A97" s="19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</row>
    <row r="98" spans="1:42">
      <c r="A98" s="19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 spans="1:42">
      <c r="A99" s="19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</row>
    <row r="100" spans="1:42">
      <c r="A100" s="19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</row>
    <row r="101" spans="1:42">
      <c r="A101" s="19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</row>
    <row r="102" spans="1:42">
      <c r="A102" s="19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</row>
    <row r="103" spans="1:42">
      <c r="A103" s="19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</row>
    <row r="104" spans="1:42">
      <c r="A104" s="19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</row>
    <row r="105" spans="1:42">
      <c r="A105" s="19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</row>
    <row r="106" spans="1:42">
      <c r="A106" s="19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</row>
    <row r="107" spans="1:42">
      <c r="A107" s="19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</row>
    <row r="108" spans="1:42">
      <c r="A108" s="19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</row>
    <row r="109" spans="1:42">
      <c r="A109" s="19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</row>
    <row r="110" spans="1:42">
      <c r="A110" s="19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</row>
    <row r="111" spans="1:42">
      <c r="A111" s="19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</row>
    <row r="112" spans="1:42">
      <c r="A112" s="19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</row>
    <row r="113" spans="1:42">
      <c r="A113" s="19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</row>
    <row r="114" spans="1:42">
      <c r="A114" s="19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</row>
    <row r="115" spans="1:42">
      <c r="A115" s="19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</row>
    <row r="116" spans="1:42">
      <c r="A116" s="19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</row>
    <row r="117" spans="1:42">
      <c r="A117" s="19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</row>
    <row r="118" spans="1:42">
      <c r="A118" s="19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</row>
    <row r="119" spans="1:42">
      <c r="A119" s="19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</row>
    <row r="120" spans="1:42">
      <c r="A120" s="19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</row>
    <row r="121" spans="1:42">
      <c r="A121" s="19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</row>
    <row r="122" spans="1:42">
      <c r="A122" s="19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</row>
    <row r="123" spans="1:42">
      <c r="A123" s="19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</row>
    <row r="124" spans="1:42">
      <c r="A124" s="19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</row>
    <row r="125" spans="1:42">
      <c r="A125" s="19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</row>
    <row r="126" spans="1:42">
      <c r="A126" s="19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</row>
    <row r="127" spans="1:42">
      <c r="A127" s="19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</row>
    <row r="128" spans="1:42">
      <c r="A128" s="19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</row>
    <row r="129" spans="1:42">
      <c r="A129" s="19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</row>
    <row r="130" spans="1:42">
      <c r="A130" s="19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</row>
    <row r="131" spans="1:42">
      <c r="A131" s="19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</row>
    <row r="132" spans="1:42">
      <c r="A132" s="19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</row>
    <row r="133" spans="1:42">
      <c r="A133" s="19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</row>
    <row r="134" spans="1:42">
      <c r="A134" s="19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</row>
    <row r="135" spans="1:42">
      <c r="A135" s="19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</row>
    <row r="136" spans="1:42">
      <c r="A136" s="19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</row>
    <row r="137" spans="1:42">
      <c r="A137" s="19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</row>
    <row r="138" spans="1:42">
      <c r="A138" s="19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</row>
    <row r="139" spans="1:42">
      <c r="A139" s="19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</row>
    <row r="140" spans="1:42">
      <c r="A140" s="19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</row>
    <row r="141" spans="1:42">
      <c r="A141" s="19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</row>
    <row r="142" spans="1:42">
      <c r="A142" s="19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</row>
    <row r="143" spans="1:42">
      <c r="A143" s="19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</row>
    <row r="144" spans="1:42">
      <c r="A144" s="19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</row>
    <row r="145" spans="1:42">
      <c r="A145" s="19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</row>
    <row r="146" spans="1:42">
      <c r="A146" s="19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</row>
    <row r="147" spans="1:42">
      <c r="A147" s="19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</row>
    <row r="148" spans="1:42">
      <c r="A148" s="19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</row>
    <row r="149" spans="1:42">
      <c r="A149" s="19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</row>
    <row r="150" spans="1:42">
      <c r="A150" s="19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</row>
    <row r="151" spans="1:42">
      <c r="A151" s="19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</row>
    <row r="152" spans="1:42">
      <c r="A152" s="19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</row>
    <row r="153" spans="1:42">
      <c r="A153" s="19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</row>
    <row r="154" spans="1:42">
      <c r="A154" s="19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</row>
    <row r="155" spans="1:42">
      <c r="A155" s="19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</row>
    <row r="156" spans="1:42">
      <c r="A156" s="19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</row>
    <row r="157" spans="1:42">
      <c r="A157" s="19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</row>
    <row r="158" spans="1:42">
      <c r="A158" s="19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</row>
    <row r="159" spans="1:42">
      <c r="A159" s="19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</row>
    <row r="160" spans="1:42">
      <c r="A160" s="19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</row>
    <row r="161" spans="1:42">
      <c r="A161" s="19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</row>
    <row r="162" spans="1:42">
      <c r="A162" s="19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</row>
    <row r="163" spans="1:42">
      <c r="A163" s="19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</row>
    <row r="164" spans="1:42">
      <c r="A164" s="19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</row>
    <row r="165" spans="1:42">
      <c r="A165" s="19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</row>
    <row r="166" spans="1:42">
      <c r="A166" s="19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</row>
    <row r="167" spans="1:42">
      <c r="A167" s="19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</row>
    <row r="168" spans="1:42">
      <c r="A168" s="19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</row>
    <row r="169" spans="1:42">
      <c r="A169" s="19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</row>
    <row r="170" spans="1:42">
      <c r="A170" s="19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</row>
    <row r="171" spans="1:42">
      <c r="A171" s="19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</row>
    <row r="172" spans="1:42">
      <c r="A172" s="19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</row>
    <row r="173" spans="1:42">
      <c r="A173" s="19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</row>
    <row r="174" spans="1:42">
      <c r="A174" s="19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</row>
    <row r="175" spans="1:42">
      <c r="A175" s="19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</row>
    <row r="176" spans="1:42">
      <c r="A176" s="19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</row>
    <row r="177" spans="1:42">
      <c r="A177" s="19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</row>
    <row r="178" spans="1:42">
      <c r="A178" s="19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</row>
    <row r="179" spans="1:42">
      <c r="A179" s="19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</row>
    <row r="180" spans="1:42">
      <c r="A180" s="19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</row>
    <row r="181" spans="1:42">
      <c r="A181" s="19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</row>
    <row r="182" spans="1:42">
      <c r="A182" s="19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</row>
    <row r="183" spans="1:42">
      <c r="A183" s="19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</row>
    <row r="184" spans="1:42">
      <c r="A184" s="19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</row>
    <row r="185" spans="1:42">
      <c r="A185" s="19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</row>
    <row r="186" spans="1:42">
      <c r="A186" s="19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</row>
    <row r="187" spans="1:42">
      <c r="A187" s="19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</row>
    <row r="188" spans="1:42">
      <c r="A188" s="19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</row>
    <row r="189" spans="1:42">
      <c r="A189" s="19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</row>
    <row r="190" spans="1:42">
      <c r="A190" s="19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</row>
    <row r="191" spans="1:42">
      <c r="A191" s="19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</row>
    <row r="192" spans="1:42">
      <c r="A192" s="19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</row>
    <row r="193" spans="1:42">
      <c r="A193" s="19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</row>
    <row r="194" spans="1:42">
      <c r="A194" s="19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</row>
    <row r="195" spans="1:42">
      <c r="A195" s="19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</row>
    <row r="196" spans="1:42">
      <c r="A196" s="19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</row>
    <row r="197" spans="1:42">
      <c r="A197" s="19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</row>
    <row r="198" spans="1:42">
      <c r="A198" s="19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</row>
    <row r="199" spans="1:42">
      <c r="A199" s="1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</row>
    <row r="200" spans="1:42">
      <c r="A200" s="1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</row>
    <row r="201" spans="1:42">
      <c r="A201" s="19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</row>
    <row r="202" spans="1:42">
      <c r="A202" s="19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</row>
    <row r="203" spans="1:42">
      <c r="A203" s="19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</row>
    <row r="204" spans="1:42">
      <c r="A204" s="19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</row>
    <row r="207" spans="1:42">
      <c r="C207" s="15" t="s">
        <v>233</v>
      </c>
    </row>
    <row r="208" spans="1:42">
      <c r="C208" s="15" t="s">
        <v>234</v>
      </c>
    </row>
    <row r="209" spans="3:3">
      <c r="C209" s="15" t="s">
        <v>235</v>
      </c>
    </row>
    <row r="210" spans="3:3">
      <c r="C210" s="15" t="s">
        <v>236</v>
      </c>
    </row>
    <row r="211" spans="3:3">
      <c r="C211" s="15" t="s">
        <v>237</v>
      </c>
    </row>
    <row r="213" spans="3:3">
      <c r="C213" s="15" t="s">
        <v>277</v>
      </c>
    </row>
    <row r="214" spans="3:3">
      <c r="C214" s="15" t="s">
        <v>278</v>
      </c>
    </row>
    <row r="215" spans="3:3">
      <c r="C215" s="15" t="s">
        <v>279</v>
      </c>
    </row>
    <row r="216" spans="3:3">
      <c r="C216" s="15" t="s">
        <v>237</v>
      </c>
    </row>
  </sheetData>
  <sheetProtection algorithmName="SHA-512" hashValue="WPDCRfE0xCHuRCBAsPSPaiwCktlfkQBDsEoYGdnbJHGnJFqohIlfCn38bHaZ56GX2u5NhBEngNyUgpm7KEbfxA==" saltValue="kxXEiFN6+Z60IpGN6soTlg==" spinCount="100000" sheet="1" objects="1" scenarios="1"/>
  <protectedRanges>
    <protectedRange sqref="E10 E14:E21 E25:E26 I12:J12 M12:R19 M23:R31 I22:J22 I25:J25 J35:J36 E38:E39 E34 C29:E32" name="Range1"/>
  </protectedRanges>
  <mergeCells count="5">
    <mergeCell ref="M10:R11"/>
    <mergeCell ref="M21:R22"/>
    <mergeCell ref="M23:R31"/>
    <mergeCell ref="C29:E32"/>
    <mergeCell ref="M12:R19"/>
  </mergeCells>
  <dataValidations count="3">
    <dataValidation type="list" allowBlank="1" showInputMessage="1" showErrorMessage="1" sqref="E16 E19:E20" xr:uid="{4229BB3B-C570-4606-A7B6-48D02B415959}">
      <formula1>$C$207:$C$211</formula1>
    </dataValidation>
    <dataValidation type="list" allowBlank="1" showInputMessage="1" showErrorMessage="1" sqref="E21" xr:uid="{AB36DDB4-AC23-4F06-914D-FD8CD2A782A2}">
      <formula1>$C$213:$C$216</formula1>
    </dataValidation>
    <dataValidation type="decimal" operator="greaterThan" allowBlank="1" showErrorMessage="1" errorTitle="Negativ verdi" error="Utslippsverdi kan ikke være negativ" sqref="I12 I22 I25 J35" xr:uid="{15E60C6D-3600-4E35-9040-28DECDBB9B8F}">
      <formula1>0</formula1>
    </dataValidation>
  </dataValidations>
  <pageMargins left="0.7" right="0.7" top="0.75" bottom="0.75" header="0.3" footer="0.3"/>
  <pageSetup paperSize="9" orientation="portrait" verticalDpi="0" r:id="rId1"/>
  <headerFooter>
    <oddFooter>&amp;C_x000D_&amp;1#&amp;"Verdana"&amp;7&amp;K000000 Confidential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CB60B-3C47-450B-BB08-A5B7FE4611B0}">
  <sheetPr>
    <tabColor theme="0" tint="-0.14999847407452621"/>
  </sheetPr>
  <dimension ref="A1:OE153"/>
  <sheetViews>
    <sheetView showGridLines="0" zoomScale="85" zoomScaleNormal="85" workbookViewId="0">
      <selection activeCell="O28" sqref="O28"/>
    </sheetView>
  </sheetViews>
  <sheetFormatPr defaultColWidth="9.140625" defaultRowHeight="12.75"/>
  <cols>
    <col min="1" max="1" width="17.140625" style="16" customWidth="1"/>
    <col min="2" max="2" width="9.140625" style="16" customWidth="1"/>
    <col min="3" max="3" width="15.28515625" style="16" customWidth="1"/>
    <col min="4" max="4" width="16" style="16" bestFit="1" customWidth="1"/>
    <col min="5" max="9" width="16.7109375" style="16" customWidth="1"/>
    <col min="10" max="10" width="9.140625" style="16"/>
    <col min="11" max="11" width="15.28515625" style="16" customWidth="1"/>
    <col min="12" max="12" width="16" style="16" bestFit="1" customWidth="1"/>
    <col min="13" max="17" width="16.7109375" style="16" customWidth="1"/>
    <col min="18" max="18" width="9.140625" style="16"/>
    <col min="19" max="19" width="15.28515625" style="16" customWidth="1"/>
    <col min="20" max="20" width="16" style="16" bestFit="1" customWidth="1"/>
    <col min="21" max="25" width="16.7109375" style="16" customWidth="1"/>
    <col min="26" max="26" width="9.140625" style="16"/>
    <col min="27" max="27" width="15.28515625" style="16" customWidth="1"/>
    <col min="28" max="28" width="16" style="16" bestFit="1" customWidth="1"/>
    <col min="29" max="33" width="16.7109375" style="16" customWidth="1"/>
    <col min="34" max="34" width="9.140625" style="16"/>
    <col min="35" max="35" width="15.28515625" style="16" customWidth="1"/>
    <col min="36" max="36" width="16" style="16" bestFit="1" customWidth="1"/>
    <col min="37" max="41" width="16.7109375" style="16" customWidth="1"/>
    <col min="42" max="42" width="9.140625" style="16"/>
    <col min="43" max="43" width="15.28515625" style="16" customWidth="1"/>
    <col min="44" max="44" width="16" style="16" bestFit="1" customWidth="1"/>
    <col min="45" max="49" width="16.7109375" style="16" customWidth="1"/>
    <col min="50" max="16384" width="9.140625" style="16"/>
  </cols>
  <sheetData>
    <row r="1" spans="1:395">
      <c r="A1" s="19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  <c r="IU1" s="150"/>
      <c r="IV1" s="150"/>
      <c r="IW1" s="150"/>
      <c r="IX1" s="150"/>
      <c r="IY1" s="150"/>
      <c r="IZ1" s="150"/>
      <c r="JA1" s="150"/>
      <c r="JB1" s="150"/>
      <c r="JC1" s="150"/>
      <c r="JD1" s="150"/>
      <c r="JE1" s="150"/>
      <c r="JF1" s="150"/>
      <c r="JG1" s="150"/>
      <c r="JH1" s="150"/>
      <c r="JI1" s="150"/>
      <c r="JJ1" s="150"/>
      <c r="JK1" s="150"/>
      <c r="JL1" s="150"/>
      <c r="JM1" s="150"/>
      <c r="JN1" s="150"/>
      <c r="JO1" s="150"/>
      <c r="JP1" s="150"/>
      <c r="JQ1" s="150"/>
      <c r="JR1" s="150"/>
      <c r="JS1" s="150"/>
      <c r="JT1" s="150"/>
      <c r="JU1" s="150"/>
      <c r="JV1" s="150"/>
      <c r="JW1" s="150"/>
      <c r="JX1" s="150"/>
      <c r="JY1" s="150"/>
      <c r="JZ1" s="150"/>
      <c r="KA1" s="150"/>
      <c r="KB1" s="150"/>
      <c r="KC1" s="150"/>
      <c r="KD1" s="150"/>
      <c r="KE1" s="150"/>
      <c r="KF1" s="150"/>
      <c r="KG1" s="150"/>
      <c r="KH1" s="150"/>
      <c r="KI1" s="150"/>
      <c r="KJ1" s="150"/>
      <c r="KK1" s="150"/>
      <c r="KL1" s="150"/>
      <c r="KM1" s="150"/>
      <c r="KN1" s="150"/>
      <c r="KO1" s="150"/>
      <c r="KP1" s="150"/>
      <c r="KQ1" s="150"/>
      <c r="KR1" s="150"/>
      <c r="KS1" s="150"/>
      <c r="KT1" s="150"/>
      <c r="KU1" s="150"/>
      <c r="KV1" s="150"/>
      <c r="KW1" s="150"/>
      <c r="KX1" s="150"/>
      <c r="KY1" s="150"/>
      <c r="KZ1" s="150"/>
      <c r="LA1" s="150"/>
      <c r="LB1" s="150"/>
      <c r="LC1" s="150"/>
      <c r="LD1" s="150"/>
      <c r="LE1" s="150"/>
      <c r="LF1" s="150"/>
      <c r="LG1" s="150"/>
      <c r="LH1" s="150"/>
      <c r="LI1" s="150"/>
      <c r="LJ1" s="150"/>
      <c r="LK1" s="150"/>
      <c r="LL1" s="150"/>
      <c r="LM1" s="150"/>
      <c r="LN1" s="150"/>
      <c r="LO1" s="150"/>
      <c r="LP1" s="150"/>
      <c r="LQ1" s="150"/>
      <c r="LR1" s="150"/>
      <c r="LS1" s="150"/>
      <c r="LT1" s="150"/>
      <c r="LU1" s="150"/>
      <c r="LV1" s="150"/>
      <c r="LW1" s="150"/>
      <c r="LX1" s="150"/>
      <c r="LY1" s="150"/>
      <c r="LZ1" s="150"/>
      <c r="MA1" s="150"/>
      <c r="MB1" s="150"/>
      <c r="MC1" s="150"/>
      <c r="MD1" s="150"/>
      <c r="ME1" s="150"/>
      <c r="MF1" s="150"/>
      <c r="MG1" s="150"/>
      <c r="MH1" s="150"/>
      <c r="MI1" s="150"/>
      <c r="MJ1" s="150"/>
      <c r="MK1" s="150"/>
      <c r="ML1" s="150"/>
      <c r="MM1" s="150"/>
      <c r="MN1" s="150"/>
      <c r="MO1" s="150"/>
      <c r="MP1" s="150"/>
      <c r="MQ1" s="150"/>
      <c r="MR1" s="150"/>
      <c r="MS1" s="150"/>
      <c r="MT1" s="150"/>
      <c r="MU1" s="150"/>
      <c r="MV1" s="150"/>
      <c r="MW1" s="150"/>
      <c r="MX1" s="150"/>
      <c r="MY1" s="150"/>
      <c r="MZ1" s="150"/>
      <c r="NA1" s="150"/>
      <c r="NB1" s="150"/>
      <c r="NC1" s="150"/>
      <c r="ND1" s="150"/>
      <c r="NE1" s="150"/>
      <c r="NF1" s="150"/>
      <c r="NG1" s="150"/>
      <c r="NH1" s="150"/>
      <c r="NI1" s="150"/>
      <c r="NJ1" s="150"/>
      <c r="NK1" s="150"/>
      <c r="NL1" s="150"/>
      <c r="NM1" s="150"/>
      <c r="NN1" s="150"/>
      <c r="NO1" s="150"/>
      <c r="NP1" s="150"/>
      <c r="NQ1" s="150"/>
      <c r="NR1" s="150"/>
      <c r="NS1" s="150"/>
      <c r="NT1" s="150"/>
      <c r="NU1" s="150"/>
      <c r="NV1" s="150"/>
      <c r="NW1" s="150"/>
      <c r="NX1" s="150"/>
      <c r="NY1" s="150"/>
      <c r="NZ1" s="150"/>
      <c r="OA1" s="150"/>
      <c r="OB1" s="150"/>
      <c r="OC1" s="150"/>
      <c r="OD1" s="150"/>
      <c r="OE1" s="150"/>
    </row>
    <row r="2" spans="1:395" ht="20.25">
      <c r="A2" s="19"/>
      <c r="B2" s="17"/>
      <c r="C2" s="151" t="s">
        <v>389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  <c r="IU2" s="150"/>
      <c r="IV2" s="150"/>
      <c r="IW2" s="150"/>
      <c r="IX2" s="150"/>
      <c r="IY2" s="150"/>
      <c r="IZ2" s="150"/>
      <c r="JA2" s="150"/>
      <c r="JB2" s="150"/>
      <c r="JC2" s="150"/>
      <c r="JD2" s="150"/>
      <c r="JE2" s="150"/>
      <c r="JF2" s="150"/>
      <c r="JG2" s="150"/>
      <c r="JH2" s="150"/>
      <c r="JI2" s="150"/>
      <c r="JJ2" s="150"/>
      <c r="JK2" s="150"/>
      <c r="JL2" s="150"/>
      <c r="JM2" s="150"/>
      <c r="JN2" s="150"/>
      <c r="JO2" s="150"/>
      <c r="JP2" s="150"/>
      <c r="JQ2" s="150"/>
      <c r="JR2" s="150"/>
      <c r="JS2" s="150"/>
      <c r="JT2" s="150"/>
      <c r="JU2" s="150"/>
      <c r="JV2" s="150"/>
      <c r="JW2" s="150"/>
      <c r="JX2" s="150"/>
      <c r="JY2" s="150"/>
      <c r="JZ2" s="150"/>
      <c r="KA2" s="150"/>
      <c r="KB2" s="150"/>
      <c r="KC2" s="150"/>
      <c r="KD2" s="150"/>
      <c r="KE2" s="150"/>
      <c r="KF2" s="150"/>
      <c r="KG2" s="150"/>
      <c r="KH2" s="150"/>
      <c r="KI2" s="150"/>
      <c r="KJ2" s="150"/>
      <c r="KK2" s="150"/>
      <c r="KL2" s="150"/>
      <c r="KM2" s="150"/>
      <c r="KN2" s="150"/>
      <c r="KO2" s="150"/>
      <c r="KP2" s="150"/>
      <c r="KQ2" s="150"/>
      <c r="KR2" s="150"/>
      <c r="KS2" s="150"/>
      <c r="KT2" s="150"/>
      <c r="KU2" s="150"/>
      <c r="KV2" s="150"/>
      <c r="KW2" s="150"/>
      <c r="KX2" s="150"/>
      <c r="KY2" s="150"/>
      <c r="KZ2" s="150"/>
      <c r="LA2" s="150"/>
      <c r="LB2" s="150"/>
      <c r="LC2" s="150"/>
      <c r="LD2" s="150"/>
      <c r="LE2" s="150"/>
      <c r="LF2" s="150"/>
      <c r="LG2" s="150"/>
      <c r="LH2" s="150"/>
      <c r="LI2" s="150"/>
      <c r="LJ2" s="150"/>
      <c r="LK2" s="150"/>
      <c r="LL2" s="150"/>
      <c r="LM2" s="150"/>
      <c r="LN2" s="150"/>
      <c r="LO2" s="150"/>
      <c r="LP2" s="150"/>
      <c r="LQ2" s="150"/>
      <c r="LR2" s="150"/>
      <c r="LS2" s="150"/>
      <c r="LT2" s="150"/>
      <c r="LU2" s="150"/>
      <c r="LV2" s="150"/>
      <c r="LW2" s="150"/>
      <c r="LX2" s="150"/>
      <c r="LY2" s="150"/>
      <c r="LZ2" s="150"/>
      <c r="MA2" s="150"/>
      <c r="MB2" s="150"/>
      <c r="MC2" s="150"/>
      <c r="MD2" s="150"/>
      <c r="ME2" s="150"/>
      <c r="MF2" s="150"/>
      <c r="MG2" s="150"/>
      <c r="MH2" s="150"/>
      <c r="MI2" s="150"/>
      <c r="MJ2" s="150"/>
      <c r="MK2" s="150"/>
      <c r="ML2" s="150"/>
      <c r="MM2" s="150"/>
      <c r="MN2" s="150"/>
      <c r="MO2" s="150"/>
      <c r="MP2" s="150"/>
      <c r="MQ2" s="150"/>
      <c r="MR2" s="150"/>
      <c r="MS2" s="150"/>
      <c r="MT2" s="150"/>
      <c r="MU2" s="150"/>
      <c r="MV2" s="150"/>
      <c r="MW2" s="150"/>
      <c r="MX2" s="150"/>
      <c r="MY2" s="150"/>
      <c r="MZ2" s="150"/>
      <c r="NA2" s="150"/>
      <c r="NB2" s="150"/>
      <c r="NC2" s="150"/>
      <c r="ND2" s="150"/>
      <c r="NE2" s="150"/>
      <c r="NF2" s="150"/>
      <c r="NG2" s="150"/>
      <c r="NH2" s="150"/>
      <c r="NI2" s="150"/>
      <c r="NJ2" s="150"/>
      <c r="NK2" s="150"/>
      <c r="NL2" s="150"/>
      <c r="NM2" s="150"/>
      <c r="NN2" s="150"/>
      <c r="NO2" s="150"/>
      <c r="NP2" s="150"/>
      <c r="NQ2" s="150"/>
      <c r="NR2" s="150"/>
      <c r="NS2" s="150"/>
      <c r="NT2" s="150"/>
      <c r="NU2" s="150"/>
      <c r="NV2" s="150"/>
      <c r="NW2" s="150"/>
      <c r="NX2" s="150"/>
      <c r="NY2" s="150"/>
      <c r="NZ2" s="150"/>
      <c r="OA2" s="150"/>
      <c r="OB2" s="150"/>
      <c r="OC2" s="150"/>
      <c r="OD2" s="150"/>
      <c r="OE2" s="150"/>
    </row>
    <row r="3" spans="1:395">
      <c r="A3" s="1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  <c r="IU3" s="150"/>
      <c r="IV3" s="150"/>
      <c r="IW3" s="150"/>
      <c r="IX3" s="150"/>
      <c r="IY3" s="150"/>
      <c r="IZ3" s="150"/>
      <c r="JA3" s="150"/>
      <c r="JB3" s="150"/>
      <c r="JC3" s="150"/>
      <c r="JD3" s="150"/>
      <c r="JE3" s="150"/>
      <c r="JF3" s="150"/>
      <c r="JG3" s="150"/>
      <c r="JH3" s="150"/>
      <c r="JI3" s="150"/>
      <c r="JJ3" s="150"/>
      <c r="JK3" s="150"/>
      <c r="JL3" s="150"/>
      <c r="JM3" s="150"/>
      <c r="JN3" s="150"/>
      <c r="JO3" s="150"/>
      <c r="JP3" s="150"/>
      <c r="JQ3" s="150"/>
      <c r="JR3" s="150"/>
      <c r="JS3" s="150"/>
      <c r="JT3" s="150"/>
      <c r="JU3" s="150"/>
      <c r="JV3" s="150"/>
      <c r="JW3" s="150"/>
      <c r="JX3" s="150"/>
      <c r="JY3" s="150"/>
      <c r="JZ3" s="150"/>
      <c r="KA3" s="150"/>
      <c r="KB3" s="150"/>
      <c r="KC3" s="150"/>
      <c r="KD3" s="150"/>
      <c r="KE3" s="150"/>
      <c r="KF3" s="150"/>
      <c r="KG3" s="150"/>
      <c r="KH3" s="150"/>
      <c r="KI3" s="150"/>
      <c r="KJ3" s="150"/>
      <c r="KK3" s="150"/>
      <c r="KL3" s="150"/>
      <c r="KM3" s="150"/>
      <c r="KN3" s="150"/>
      <c r="KO3" s="150"/>
      <c r="KP3" s="150"/>
      <c r="KQ3" s="150"/>
      <c r="KR3" s="150"/>
      <c r="KS3" s="150"/>
      <c r="KT3" s="150"/>
      <c r="KU3" s="150"/>
      <c r="KV3" s="150"/>
      <c r="KW3" s="150"/>
      <c r="KX3" s="150"/>
      <c r="KY3" s="150"/>
      <c r="KZ3" s="150"/>
      <c r="LA3" s="150"/>
      <c r="LB3" s="150"/>
      <c r="LC3" s="150"/>
      <c r="LD3" s="150"/>
      <c r="LE3" s="150"/>
      <c r="LF3" s="150"/>
      <c r="LG3" s="150"/>
      <c r="LH3" s="150"/>
      <c r="LI3" s="150"/>
      <c r="LJ3" s="150"/>
      <c r="LK3" s="150"/>
      <c r="LL3" s="150"/>
      <c r="LM3" s="150"/>
      <c r="LN3" s="150"/>
      <c r="LO3" s="150"/>
      <c r="LP3" s="150"/>
      <c r="LQ3" s="150"/>
      <c r="LR3" s="150"/>
      <c r="LS3" s="150"/>
      <c r="LT3" s="150"/>
      <c r="LU3" s="150"/>
      <c r="LV3" s="150"/>
      <c r="LW3" s="150"/>
      <c r="LX3" s="150"/>
      <c r="LY3" s="150"/>
      <c r="LZ3" s="150"/>
      <c r="MA3" s="150"/>
      <c r="MB3" s="150"/>
      <c r="MC3" s="150"/>
      <c r="MD3" s="150"/>
      <c r="ME3" s="150"/>
      <c r="MF3" s="150"/>
      <c r="MG3" s="150"/>
      <c r="MH3" s="150"/>
      <c r="MI3" s="150"/>
      <c r="MJ3" s="150"/>
      <c r="MK3" s="150"/>
      <c r="ML3" s="150"/>
      <c r="MM3" s="150"/>
      <c r="MN3" s="150"/>
      <c r="MO3" s="150"/>
      <c r="MP3" s="150"/>
      <c r="MQ3" s="150"/>
      <c r="MR3" s="150"/>
      <c r="MS3" s="150"/>
      <c r="MT3" s="150"/>
      <c r="MU3" s="150"/>
      <c r="MV3" s="150"/>
      <c r="MW3" s="150"/>
      <c r="MX3" s="150"/>
      <c r="MY3" s="150"/>
      <c r="MZ3" s="150"/>
      <c r="NA3" s="150"/>
      <c r="NB3" s="150"/>
      <c r="NC3" s="150"/>
      <c r="ND3" s="150"/>
      <c r="NE3" s="150"/>
      <c r="NF3" s="150"/>
      <c r="NG3" s="150"/>
      <c r="NH3" s="150"/>
      <c r="NI3" s="150"/>
      <c r="NJ3" s="150"/>
      <c r="NK3" s="150"/>
      <c r="NL3" s="150"/>
      <c r="NM3" s="150"/>
      <c r="NN3" s="150"/>
      <c r="NO3" s="150"/>
      <c r="NP3" s="150"/>
      <c r="NQ3" s="150"/>
      <c r="NR3" s="150"/>
      <c r="NS3" s="150"/>
      <c r="NT3" s="150"/>
      <c r="NU3" s="150"/>
      <c r="NV3" s="150"/>
      <c r="NW3" s="150"/>
      <c r="NX3" s="150"/>
      <c r="NY3" s="150"/>
      <c r="NZ3" s="150"/>
      <c r="OA3" s="150"/>
      <c r="OB3" s="150"/>
      <c r="OC3" s="150"/>
      <c r="OD3" s="150"/>
      <c r="OE3" s="150"/>
    </row>
    <row r="4" spans="1:395" ht="20.100000000000001" customHeight="1">
      <c r="A4" s="19"/>
      <c r="B4" s="17"/>
      <c r="C4" s="218" t="s">
        <v>395</v>
      </c>
      <c r="D4" s="217" t="s">
        <v>411</v>
      </c>
      <c r="E4" s="217"/>
      <c r="F4" s="217"/>
      <c r="G4" s="217"/>
      <c r="H4" s="217"/>
      <c r="I4" s="217"/>
      <c r="J4" s="17"/>
      <c r="K4" s="218" t="s">
        <v>12</v>
      </c>
      <c r="L4" s="217" t="s">
        <v>411</v>
      </c>
      <c r="M4" s="217"/>
      <c r="N4" s="217"/>
      <c r="O4" s="217"/>
      <c r="P4" s="217"/>
      <c r="Q4" s="217"/>
      <c r="R4" s="17"/>
      <c r="S4" s="218" t="s">
        <v>13</v>
      </c>
      <c r="T4" s="217" t="s">
        <v>411</v>
      </c>
      <c r="U4" s="217"/>
      <c r="V4" s="217"/>
      <c r="W4" s="217"/>
      <c r="X4" s="217"/>
      <c r="Y4" s="217"/>
      <c r="Z4" s="17"/>
      <c r="AA4" s="218" t="s">
        <v>24</v>
      </c>
      <c r="AB4" s="217" t="s">
        <v>411</v>
      </c>
      <c r="AC4" s="217"/>
      <c r="AD4" s="217"/>
      <c r="AE4" s="217"/>
      <c r="AF4" s="217"/>
      <c r="AG4" s="217"/>
      <c r="AH4" s="150"/>
      <c r="AI4" s="218" t="s">
        <v>15</v>
      </c>
      <c r="AJ4" s="217" t="s">
        <v>411</v>
      </c>
      <c r="AK4" s="217"/>
      <c r="AL4" s="217"/>
      <c r="AM4" s="217"/>
      <c r="AN4" s="217"/>
      <c r="AO4" s="217"/>
      <c r="AP4" s="150"/>
      <c r="AQ4" s="218" t="s">
        <v>406</v>
      </c>
      <c r="AR4" s="217" t="s">
        <v>363</v>
      </c>
      <c r="AS4" s="217"/>
      <c r="AT4" s="217"/>
      <c r="AU4" s="217"/>
      <c r="AV4" s="217"/>
      <c r="AW4" s="217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  <c r="IR4" s="150"/>
      <c r="IS4" s="150"/>
      <c r="IT4" s="150"/>
      <c r="IU4" s="150"/>
      <c r="IV4" s="150"/>
      <c r="IW4" s="150"/>
      <c r="IX4" s="150"/>
      <c r="IY4" s="150"/>
      <c r="IZ4" s="150"/>
      <c r="JA4" s="150"/>
      <c r="JB4" s="150"/>
      <c r="JC4" s="150"/>
      <c r="JD4" s="150"/>
      <c r="JE4" s="150"/>
      <c r="JF4" s="150"/>
      <c r="JG4" s="150"/>
      <c r="JH4" s="150"/>
      <c r="JI4" s="150"/>
      <c r="JJ4" s="150"/>
      <c r="JK4" s="150"/>
      <c r="JL4" s="150"/>
      <c r="JM4" s="150"/>
      <c r="JN4" s="150"/>
      <c r="JO4" s="150"/>
      <c r="JP4" s="150"/>
      <c r="JQ4" s="150"/>
      <c r="JR4" s="150"/>
      <c r="JS4" s="150"/>
      <c r="JT4" s="150"/>
      <c r="JU4" s="150"/>
      <c r="JV4" s="150"/>
      <c r="JW4" s="150"/>
      <c r="JX4" s="150"/>
      <c r="JY4" s="150"/>
      <c r="JZ4" s="150"/>
      <c r="KA4" s="150"/>
      <c r="KB4" s="150"/>
      <c r="KC4" s="150"/>
      <c r="KD4" s="150"/>
      <c r="KE4" s="150"/>
      <c r="KF4" s="150"/>
      <c r="KG4" s="150"/>
      <c r="KH4" s="150"/>
      <c r="KI4" s="150"/>
      <c r="KJ4" s="150"/>
      <c r="KK4" s="150"/>
      <c r="KL4" s="150"/>
      <c r="KM4" s="150"/>
      <c r="KN4" s="150"/>
      <c r="KO4" s="150"/>
      <c r="KP4" s="150"/>
      <c r="KQ4" s="150"/>
      <c r="KR4" s="150"/>
      <c r="KS4" s="150"/>
      <c r="KT4" s="150"/>
      <c r="KU4" s="150"/>
      <c r="KV4" s="150"/>
      <c r="KW4" s="150"/>
      <c r="KX4" s="150"/>
      <c r="KY4" s="150"/>
      <c r="KZ4" s="150"/>
      <c r="LA4" s="150"/>
      <c r="LB4" s="150"/>
      <c r="LC4" s="150"/>
      <c r="LD4" s="150"/>
      <c r="LE4" s="150"/>
      <c r="LF4" s="150"/>
      <c r="LG4" s="150"/>
      <c r="LH4" s="150"/>
      <c r="LI4" s="150"/>
      <c r="LJ4" s="150"/>
      <c r="LK4" s="150"/>
      <c r="LL4" s="150"/>
      <c r="LM4" s="150"/>
      <c r="LN4" s="150"/>
      <c r="LO4" s="150"/>
      <c r="LP4" s="150"/>
      <c r="LQ4" s="150"/>
      <c r="LR4" s="150"/>
      <c r="LS4" s="150"/>
      <c r="LT4" s="150"/>
      <c r="LU4" s="150"/>
      <c r="LV4" s="150"/>
      <c r="LW4" s="150"/>
      <c r="LX4" s="150"/>
      <c r="LY4" s="150"/>
      <c r="LZ4" s="150"/>
      <c r="MA4" s="150"/>
      <c r="MB4" s="150"/>
      <c r="MC4" s="150"/>
      <c r="MD4" s="150"/>
      <c r="ME4" s="150"/>
      <c r="MF4" s="150"/>
      <c r="MG4" s="150"/>
      <c r="MH4" s="150"/>
      <c r="MI4" s="150"/>
      <c r="MJ4" s="150"/>
      <c r="MK4" s="150"/>
      <c r="ML4" s="150"/>
      <c r="MM4" s="150"/>
      <c r="MN4" s="150"/>
      <c r="MO4" s="150"/>
      <c r="MP4" s="150"/>
      <c r="MQ4" s="150"/>
      <c r="MR4" s="150"/>
      <c r="MS4" s="150"/>
      <c r="MT4" s="150"/>
      <c r="MU4" s="150"/>
      <c r="MV4" s="150"/>
      <c r="MW4" s="150"/>
      <c r="MX4" s="150"/>
      <c r="MY4" s="150"/>
      <c r="MZ4" s="150"/>
      <c r="NA4" s="150"/>
      <c r="NB4" s="150"/>
      <c r="NC4" s="150"/>
      <c r="ND4" s="150"/>
      <c r="NE4" s="150"/>
      <c r="NF4" s="150"/>
      <c r="NG4" s="150"/>
      <c r="NH4" s="150"/>
      <c r="NI4" s="150"/>
      <c r="NJ4" s="150"/>
      <c r="NK4" s="150"/>
      <c r="NL4" s="150"/>
      <c r="NM4" s="150"/>
      <c r="NN4" s="150"/>
      <c r="NO4" s="150"/>
      <c r="NP4" s="150"/>
      <c r="NQ4" s="150"/>
      <c r="NR4" s="150"/>
      <c r="NS4" s="150"/>
      <c r="NT4" s="150"/>
      <c r="NU4" s="150"/>
      <c r="NV4" s="150"/>
      <c r="NW4" s="150"/>
      <c r="NX4" s="150"/>
      <c r="NY4" s="150"/>
      <c r="NZ4" s="150"/>
      <c r="OA4" s="150"/>
      <c r="OB4" s="150"/>
      <c r="OC4" s="150"/>
      <c r="OD4" s="150"/>
      <c r="OE4" s="150"/>
    </row>
    <row r="5" spans="1:395" ht="38.25">
      <c r="A5" s="19"/>
      <c r="B5" s="17"/>
      <c r="C5" s="219"/>
      <c r="D5" s="36" t="s">
        <v>31</v>
      </c>
      <c r="E5" s="36" t="s">
        <v>26</v>
      </c>
      <c r="F5" s="36" t="s">
        <v>27</v>
      </c>
      <c r="G5" s="36" t="s">
        <v>28</v>
      </c>
      <c r="H5" s="36" t="s">
        <v>199</v>
      </c>
      <c r="I5" s="36" t="s">
        <v>200</v>
      </c>
      <c r="J5" s="17"/>
      <c r="K5" s="219"/>
      <c r="L5" s="36" t="s">
        <v>31</v>
      </c>
      <c r="M5" s="36" t="s">
        <v>26</v>
      </c>
      <c r="N5" s="36" t="s">
        <v>27</v>
      </c>
      <c r="O5" s="36" t="s">
        <v>28</v>
      </c>
      <c r="P5" s="36" t="s">
        <v>199</v>
      </c>
      <c r="Q5" s="36" t="s">
        <v>200</v>
      </c>
      <c r="R5" s="17"/>
      <c r="S5" s="219"/>
      <c r="T5" s="36" t="s">
        <v>31</v>
      </c>
      <c r="U5" s="36" t="s">
        <v>26</v>
      </c>
      <c r="V5" s="36" t="s">
        <v>27</v>
      </c>
      <c r="W5" s="36" t="s">
        <v>28</v>
      </c>
      <c r="X5" s="36" t="s">
        <v>199</v>
      </c>
      <c r="Y5" s="36" t="s">
        <v>200</v>
      </c>
      <c r="Z5" s="17"/>
      <c r="AA5" s="219"/>
      <c r="AB5" s="36" t="s">
        <v>31</v>
      </c>
      <c r="AC5" s="36" t="s">
        <v>26</v>
      </c>
      <c r="AD5" s="36" t="s">
        <v>27</v>
      </c>
      <c r="AE5" s="36" t="s">
        <v>28</v>
      </c>
      <c r="AF5" s="36" t="s">
        <v>199</v>
      </c>
      <c r="AG5" s="36" t="s">
        <v>200</v>
      </c>
      <c r="AH5" s="150"/>
      <c r="AI5" s="219"/>
      <c r="AJ5" s="36" t="s">
        <v>31</v>
      </c>
      <c r="AK5" s="36" t="s">
        <v>26</v>
      </c>
      <c r="AL5" s="36" t="s">
        <v>27</v>
      </c>
      <c r="AM5" s="36" t="s">
        <v>28</v>
      </c>
      <c r="AN5" s="36" t="s">
        <v>199</v>
      </c>
      <c r="AO5" s="36" t="s">
        <v>200</v>
      </c>
      <c r="AP5" s="150"/>
      <c r="AQ5" s="219"/>
      <c r="AR5" s="36" t="s">
        <v>31</v>
      </c>
      <c r="AS5" s="36" t="s">
        <v>26</v>
      </c>
      <c r="AT5" s="36" t="s">
        <v>27</v>
      </c>
      <c r="AU5" s="36" t="s">
        <v>28</v>
      </c>
      <c r="AV5" s="36" t="s">
        <v>199</v>
      </c>
      <c r="AW5" s="36" t="s">
        <v>200</v>
      </c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  <c r="IR5" s="150"/>
      <c r="IS5" s="150"/>
      <c r="IT5" s="150"/>
      <c r="IU5" s="150"/>
      <c r="IV5" s="150"/>
      <c r="IW5" s="150"/>
      <c r="IX5" s="150"/>
      <c r="IY5" s="150"/>
      <c r="IZ5" s="150"/>
      <c r="JA5" s="150"/>
      <c r="JB5" s="150"/>
      <c r="JC5" s="150"/>
      <c r="JD5" s="150"/>
      <c r="JE5" s="150"/>
      <c r="JF5" s="150"/>
      <c r="JG5" s="150"/>
      <c r="JH5" s="150"/>
      <c r="JI5" s="150"/>
      <c r="JJ5" s="150"/>
      <c r="JK5" s="150"/>
      <c r="JL5" s="150"/>
      <c r="JM5" s="150"/>
      <c r="JN5" s="150"/>
      <c r="JO5" s="150"/>
      <c r="JP5" s="150"/>
      <c r="JQ5" s="150"/>
      <c r="JR5" s="150"/>
      <c r="JS5" s="150"/>
      <c r="JT5" s="150"/>
      <c r="JU5" s="150"/>
      <c r="JV5" s="150"/>
      <c r="JW5" s="150"/>
      <c r="JX5" s="150"/>
      <c r="JY5" s="150"/>
      <c r="JZ5" s="150"/>
      <c r="KA5" s="150"/>
      <c r="KB5" s="150"/>
      <c r="KC5" s="150"/>
      <c r="KD5" s="150"/>
      <c r="KE5" s="150"/>
      <c r="KF5" s="150"/>
      <c r="KG5" s="150"/>
      <c r="KH5" s="150"/>
      <c r="KI5" s="150"/>
      <c r="KJ5" s="150"/>
      <c r="KK5" s="150"/>
      <c r="KL5" s="150"/>
      <c r="KM5" s="150"/>
      <c r="KN5" s="150"/>
      <c r="KO5" s="150"/>
      <c r="KP5" s="150"/>
      <c r="KQ5" s="150"/>
      <c r="KR5" s="150"/>
      <c r="KS5" s="150"/>
      <c r="KT5" s="150"/>
      <c r="KU5" s="150"/>
      <c r="KV5" s="150"/>
      <c r="KW5" s="150"/>
      <c r="KX5" s="150"/>
      <c r="KY5" s="150"/>
      <c r="KZ5" s="150"/>
      <c r="LA5" s="150"/>
      <c r="LB5" s="150"/>
      <c r="LC5" s="150"/>
      <c r="LD5" s="150"/>
      <c r="LE5" s="150"/>
      <c r="LF5" s="150"/>
      <c r="LG5" s="150"/>
      <c r="LH5" s="150"/>
      <c r="LI5" s="150"/>
      <c r="LJ5" s="150"/>
      <c r="LK5" s="150"/>
      <c r="LL5" s="150"/>
      <c r="LM5" s="150"/>
      <c r="LN5" s="150"/>
      <c r="LO5" s="150"/>
      <c r="LP5" s="150"/>
      <c r="LQ5" s="150"/>
      <c r="LR5" s="150"/>
      <c r="LS5" s="150"/>
      <c r="LT5" s="150"/>
      <c r="LU5" s="150"/>
      <c r="LV5" s="150"/>
      <c r="LW5" s="150"/>
      <c r="LX5" s="150"/>
      <c r="LY5" s="150"/>
      <c r="LZ5" s="150"/>
      <c r="MA5" s="150"/>
      <c r="MB5" s="150"/>
      <c r="MC5" s="150"/>
      <c r="MD5" s="150"/>
      <c r="ME5" s="150"/>
      <c r="MF5" s="150"/>
      <c r="MG5" s="150"/>
      <c r="MH5" s="150"/>
      <c r="MI5" s="150"/>
      <c r="MJ5" s="150"/>
      <c r="MK5" s="150"/>
      <c r="ML5" s="150"/>
      <c r="MM5" s="150"/>
      <c r="MN5" s="150"/>
      <c r="MO5" s="150"/>
      <c r="MP5" s="150"/>
      <c r="MQ5" s="150"/>
      <c r="MR5" s="150"/>
      <c r="MS5" s="150"/>
      <c r="MT5" s="150"/>
      <c r="MU5" s="150"/>
      <c r="MV5" s="150"/>
      <c r="MW5" s="150"/>
      <c r="MX5" s="150"/>
      <c r="MY5" s="150"/>
      <c r="MZ5" s="150"/>
      <c r="NA5" s="150"/>
      <c r="NB5" s="150"/>
      <c r="NC5" s="150"/>
      <c r="ND5" s="150"/>
      <c r="NE5" s="150"/>
      <c r="NF5" s="150"/>
      <c r="NG5" s="150"/>
      <c r="NH5" s="150"/>
      <c r="NI5" s="150"/>
      <c r="NJ5" s="150"/>
      <c r="NK5" s="150"/>
      <c r="NL5" s="150"/>
      <c r="NM5" s="150"/>
      <c r="NN5" s="150"/>
      <c r="NO5" s="150"/>
      <c r="NP5" s="150"/>
      <c r="NQ5" s="150"/>
      <c r="NR5" s="150"/>
      <c r="NS5" s="150"/>
      <c r="NT5" s="150"/>
      <c r="NU5" s="150"/>
      <c r="NV5" s="150"/>
      <c r="NW5" s="150"/>
      <c r="NX5" s="150"/>
      <c r="NY5" s="150"/>
      <c r="NZ5" s="150"/>
      <c r="OA5" s="150"/>
      <c r="OB5" s="150"/>
      <c r="OC5" s="150"/>
      <c r="OD5" s="150"/>
      <c r="OE5" s="150"/>
    </row>
    <row r="6" spans="1:395" ht="89.25">
      <c r="A6" s="19"/>
      <c r="B6" s="17"/>
      <c r="C6" s="46" t="s">
        <v>198</v>
      </c>
      <c r="D6" s="47" t="s">
        <v>410</v>
      </c>
      <c r="E6" s="47" t="s">
        <v>347</v>
      </c>
      <c r="F6" s="47" t="s">
        <v>343</v>
      </c>
      <c r="G6" s="47" t="s">
        <v>344</v>
      </c>
      <c r="H6" s="47" t="s">
        <v>345</v>
      </c>
      <c r="I6" s="47" t="s">
        <v>346</v>
      </c>
      <c r="J6" s="17"/>
      <c r="K6" s="46" t="s">
        <v>198</v>
      </c>
      <c r="L6" s="47" t="s">
        <v>410</v>
      </c>
      <c r="M6" s="47" t="s">
        <v>347</v>
      </c>
      <c r="N6" s="47" t="s">
        <v>343</v>
      </c>
      <c r="O6" s="47" t="s">
        <v>344</v>
      </c>
      <c r="P6" s="47" t="s">
        <v>345</v>
      </c>
      <c r="Q6" s="47" t="s">
        <v>346</v>
      </c>
      <c r="R6" s="17"/>
      <c r="S6" s="46" t="s">
        <v>198</v>
      </c>
      <c r="T6" s="47" t="s">
        <v>410</v>
      </c>
      <c r="U6" s="47" t="s">
        <v>347</v>
      </c>
      <c r="V6" s="47" t="s">
        <v>343</v>
      </c>
      <c r="W6" s="47" t="s">
        <v>344</v>
      </c>
      <c r="X6" s="47" t="s">
        <v>345</v>
      </c>
      <c r="Y6" s="47" t="s">
        <v>346</v>
      </c>
      <c r="Z6" s="17"/>
      <c r="AA6" s="46" t="s">
        <v>198</v>
      </c>
      <c r="AB6" s="47" t="s">
        <v>410</v>
      </c>
      <c r="AC6" s="47" t="s">
        <v>347</v>
      </c>
      <c r="AD6" s="47" t="s">
        <v>343</v>
      </c>
      <c r="AE6" s="47" t="s">
        <v>344</v>
      </c>
      <c r="AF6" s="47" t="s">
        <v>345</v>
      </c>
      <c r="AG6" s="47" t="s">
        <v>346</v>
      </c>
      <c r="AH6" s="150"/>
      <c r="AI6" s="46" t="s">
        <v>198</v>
      </c>
      <c r="AJ6" s="47" t="s">
        <v>410</v>
      </c>
      <c r="AK6" s="47" t="s">
        <v>347</v>
      </c>
      <c r="AL6" s="47" t="s">
        <v>343</v>
      </c>
      <c r="AM6" s="47" t="s">
        <v>344</v>
      </c>
      <c r="AN6" s="47" t="s">
        <v>345</v>
      </c>
      <c r="AO6" s="47" t="s">
        <v>346</v>
      </c>
      <c r="AP6" s="150"/>
      <c r="AQ6" s="46" t="s">
        <v>198</v>
      </c>
      <c r="AR6" s="47" t="s">
        <v>410</v>
      </c>
      <c r="AS6" s="47" t="s">
        <v>347</v>
      </c>
      <c r="AT6" s="47" t="s">
        <v>343</v>
      </c>
      <c r="AU6" s="47" t="s">
        <v>344</v>
      </c>
      <c r="AV6" s="47" t="s">
        <v>345</v>
      </c>
      <c r="AW6" s="47" t="s">
        <v>346</v>
      </c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150"/>
      <c r="KV6" s="150"/>
      <c r="KW6" s="150"/>
      <c r="KX6" s="150"/>
      <c r="KY6" s="150"/>
      <c r="KZ6" s="150"/>
      <c r="LA6" s="150"/>
      <c r="LB6" s="150"/>
      <c r="LC6" s="150"/>
      <c r="LD6" s="150"/>
      <c r="LE6" s="150"/>
      <c r="LF6" s="150"/>
      <c r="LG6" s="150"/>
      <c r="LH6" s="150"/>
      <c r="LI6" s="150"/>
      <c r="LJ6" s="150"/>
      <c r="LK6" s="150"/>
      <c r="LL6" s="150"/>
      <c r="LM6" s="150"/>
      <c r="LN6" s="150"/>
      <c r="LO6" s="150"/>
      <c r="LP6" s="150"/>
      <c r="LQ6" s="150"/>
      <c r="LR6" s="150"/>
      <c r="LS6" s="150"/>
      <c r="LT6" s="150"/>
      <c r="LU6" s="150"/>
      <c r="LV6" s="150"/>
      <c r="LW6" s="150"/>
      <c r="LX6" s="150"/>
      <c r="LY6" s="150"/>
      <c r="LZ6" s="150"/>
      <c r="MA6" s="150"/>
      <c r="MB6" s="150"/>
      <c r="MC6" s="150"/>
      <c r="MD6" s="150"/>
      <c r="ME6" s="150"/>
      <c r="MF6" s="150"/>
      <c r="MG6" s="150"/>
      <c r="MH6" s="150"/>
      <c r="MI6" s="150"/>
      <c r="MJ6" s="150"/>
      <c r="MK6" s="150"/>
      <c r="ML6" s="150"/>
      <c r="MM6" s="150"/>
      <c r="MN6" s="150"/>
      <c r="MO6" s="150"/>
      <c r="MP6" s="150"/>
      <c r="MQ6" s="150"/>
      <c r="MR6" s="150"/>
      <c r="MS6" s="150"/>
      <c r="MT6" s="150"/>
      <c r="MU6" s="150"/>
      <c r="MV6" s="150"/>
      <c r="MW6" s="150"/>
      <c r="MX6" s="150"/>
      <c r="MY6" s="150"/>
      <c r="MZ6" s="150"/>
      <c r="NA6" s="150"/>
      <c r="NB6" s="150"/>
      <c r="NC6" s="150"/>
      <c r="ND6" s="150"/>
      <c r="NE6" s="150"/>
      <c r="NF6" s="150"/>
      <c r="NG6" s="150"/>
      <c r="NH6" s="150"/>
      <c r="NI6" s="150"/>
      <c r="NJ6" s="150"/>
      <c r="NK6" s="150"/>
      <c r="NL6" s="150"/>
      <c r="NM6" s="150"/>
      <c r="NN6" s="150"/>
      <c r="NO6" s="150"/>
      <c r="NP6" s="150"/>
      <c r="NQ6" s="150"/>
      <c r="NR6" s="150"/>
      <c r="NS6" s="150"/>
      <c r="NT6" s="150"/>
      <c r="NU6" s="150"/>
      <c r="NV6" s="150"/>
      <c r="NW6" s="150"/>
      <c r="NX6" s="150"/>
      <c r="NY6" s="150"/>
      <c r="NZ6" s="150"/>
      <c r="OA6" s="150"/>
      <c r="OB6" s="150"/>
      <c r="OC6" s="150"/>
      <c r="OD6" s="150"/>
      <c r="OE6" s="150"/>
    </row>
    <row r="7" spans="1:395">
      <c r="A7" s="19"/>
      <c r="B7" s="17"/>
      <c r="C7" s="48">
        <v>2022</v>
      </c>
      <c r="D7" s="114">
        <v>0</v>
      </c>
      <c r="E7" s="114">
        <v>6.2497288660792103</v>
      </c>
      <c r="F7" s="114">
        <f>1/3*D113+E113</f>
        <v>274.66666666666669</v>
      </c>
      <c r="G7" s="114">
        <f>1/6*D113+E113</f>
        <v>251.33333333333334</v>
      </c>
      <c r="H7" s="114">
        <f>F113</f>
        <v>334</v>
      </c>
      <c r="I7" s="114">
        <f>H7*2</f>
        <v>668</v>
      </c>
      <c r="J7" s="17"/>
      <c r="K7" s="48">
        <v>2022</v>
      </c>
      <c r="L7" s="114">
        <v>0</v>
      </c>
      <c r="M7" s="114">
        <v>6.2497288660792103</v>
      </c>
      <c r="N7" s="114">
        <f>1/3*G113+H113</f>
        <v>336</v>
      </c>
      <c r="O7" s="114">
        <f>1/6*G113+H113</f>
        <v>282</v>
      </c>
      <c r="P7" s="114">
        <f>I113</f>
        <v>502</v>
      </c>
      <c r="Q7" s="114">
        <f>P7*2</f>
        <v>1004</v>
      </c>
      <c r="R7" s="17"/>
      <c r="S7" s="48">
        <v>2022</v>
      </c>
      <c r="T7" s="114">
        <v>0</v>
      </c>
      <c r="U7" s="114">
        <v>6.2497288660792103</v>
      </c>
      <c r="V7" s="114">
        <f>1/3*J113+K113</f>
        <v>268.66666666666663</v>
      </c>
      <c r="W7" s="114">
        <f>1/6*J113+K113</f>
        <v>233.83333333333331</v>
      </c>
      <c r="X7" s="114">
        <f>L113</f>
        <v>371</v>
      </c>
      <c r="Y7" s="114">
        <f>X7*2</f>
        <v>742</v>
      </c>
      <c r="Z7" s="17"/>
      <c r="AA7" s="48">
        <v>2022</v>
      </c>
      <c r="AB7" s="114">
        <v>0</v>
      </c>
      <c r="AC7" s="114">
        <v>6.2497288660792103</v>
      </c>
      <c r="AD7" s="114">
        <f>1/3*P113+Q113</f>
        <v>302.33333333333331</v>
      </c>
      <c r="AE7" s="114">
        <f>1/6*Q113+R113</f>
        <v>447</v>
      </c>
      <c r="AF7" s="114">
        <f>R113</f>
        <v>409</v>
      </c>
      <c r="AG7" s="114">
        <f>AF7*2</f>
        <v>818</v>
      </c>
      <c r="AH7" s="150"/>
      <c r="AI7" s="48">
        <v>2022</v>
      </c>
      <c r="AJ7" s="114">
        <v>0</v>
      </c>
      <c r="AK7" s="114">
        <v>6.2497288660792103</v>
      </c>
      <c r="AL7" s="114">
        <f>1/3*M113+N113</f>
        <v>267.33333333333331</v>
      </c>
      <c r="AM7" s="114">
        <f>1/6*M113+N113</f>
        <v>233.16666666666666</v>
      </c>
      <c r="AN7" s="114">
        <f>O113</f>
        <v>368</v>
      </c>
      <c r="AO7" s="114">
        <f>AN7*2</f>
        <v>736</v>
      </c>
      <c r="AP7" s="150"/>
      <c r="AQ7" s="48">
        <v>2022</v>
      </c>
      <c r="AR7" s="114">
        <v>0</v>
      </c>
      <c r="AS7" s="114">
        <v>6.2497288660792103</v>
      </c>
      <c r="AT7" s="114">
        <f>1/3*S113+T113</f>
        <v>302.33333333333331</v>
      </c>
      <c r="AU7" s="114">
        <f>1/6*S113+T113</f>
        <v>265.16666666666669</v>
      </c>
      <c r="AV7" s="114">
        <f>U113</f>
        <v>410</v>
      </c>
      <c r="AW7" s="114">
        <f>AV7*2</f>
        <v>820</v>
      </c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/>
      <c r="IM7" s="150"/>
      <c r="IN7" s="150"/>
      <c r="IO7" s="150"/>
      <c r="IP7" s="150"/>
      <c r="IQ7" s="150"/>
      <c r="IR7" s="150"/>
      <c r="IS7" s="150"/>
      <c r="IT7" s="150"/>
      <c r="IU7" s="150"/>
      <c r="IV7" s="150"/>
      <c r="IW7" s="150"/>
      <c r="IX7" s="150"/>
      <c r="IY7" s="150"/>
      <c r="IZ7" s="150"/>
      <c r="JA7" s="150"/>
      <c r="JB7" s="150"/>
      <c r="JC7" s="150"/>
      <c r="JD7" s="150"/>
      <c r="JE7" s="150"/>
      <c r="JF7" s="150"/>
      <c r="JG7" s="150"/>
      <c r="JH7" s="150"/>
      <c r="JI7" s="150"/>
      <c r="JJ7" s="150"/>
      <c r="JK7" s="150"/>
      <c r="JL7" s="150"/>
      <c r="JM7" s="150"/>
      <c r="JN7" s="150"/>
      <c r="JO7" s="150"/>
      <c r="JP7" s="150"/>
      <c r="JQ7" s="150"/>
      <c r="JR7" s="150"/>
      <c r="JS7" s="150"/>
      <c r="JT7" s="150"/>
      <c r="JU7" s="150"/>
      <c r="JV7" s="150"/>
      <c r="JW7" s="150"/>
      <c r="JX7" s="150"/>
      <c r="JY7" s="150"/>
      <c r="JZ7" s="150"/>
      <c r="KA7" s="150"/>
      <c r="KB7" s="150"/>
      <c r="KC7" s="150"/>
      <c r="KD7" s="150"/>
      <c r="KE7" s="150"/>
      <c r="KF7" s="150"/>
      <c r="KG7" s="150"/>
      <c r="KH7" s="150"/>
      <c r="KI7" s="150"/>
      <c r="KJ7" s="150"/>
      <c r="KK7" s="150"/>
      <c r="KL7" s="150"/>
      <c r="KM7" s="150"/>
      <c r="KN7" s="150"/>
      <c r="KO7" s="150"/>
      <c r="KP7" s="150"/>
      <c r="KQ7" s="150"/>
      <c r="KR7" s="150"/>
      <c r="KS7" s="150"/>
      <c r="KT7" s="150"/>
      <c r="KU7" s="150"/>
      <c r="KV7" s="150"/>
      <c r="KW7" s="150"/>
      <c r="KX7" s="150"/>
      <c r="KY7" s="150"/>
      <c r="KZ7" s="150"/>
      <c r="LA7" s="150"/>
      <c r="LB7" s="150"/>
      <c r="LC7" s="150"/>
      <c r="LD7" s="150"/>
      <c r="LE7" s="150"/>
      <c r="LF7" s="150"/>
      <c r="LG7" s="150"/>
      <c r="LH7" s="150"/>
      <c r="LI7" s="150"/>
      <c r="LJ7" s="150"/>
      <c r="LK7" s="150"/>
      <c r="LL7" s="150"/>
      <c r="LM7" s="150"/>
      <c r="LN7" s="150"/>
      <c r="LO7" s="150"/>
      <c r="LP7" s="150"/>
      <c r="LQ7" s="150"/>
      <c r="LR7" s="150"/>
      <c r="LS7" s="150"/>
      <c r="LT7" s="150"/>
      <c r="LU7" s="150"/>
      <c r="LV7" s="150"/>
      <c r="LW7" s="150"/>
      <c r="LX7" s="150"/>
      <c r="LY7" s="150"/>
      <c r="LZ7" s="150"/>
      <c r="MA7" s="150"/>
      <c r="MB7" s="150"/>
      <c r="MC7" s="150"/>
      <c r="MD7" s="150"/>
      <c r="ME7" s="150"/>
      <c r="MF7" s="150"/>
      <c r="MG7" s="150"/>
      <c r="MH7" s="150"/>
      <c r="MI7" s="150"/>
      <c r="MJ7" s="150"/>
      <c r="MK7" s="150"/>
      <c r="ML7" s="150"/>
      <c r="MM7" s="150"/>
      <c r="MN7" s="150"/>
      <c r="MO7" s="150"/>
      <c r="MP7" s="150"/>
      <c r="MQ7" s="150"/>
      <c r="MR7" s="150"/>
      <c r="MS7" s="150"/>
      <c r="MT7" s="150"/>
      <c r="MU7" s="150"/>
      <c r="MV7" s="150"/>
      <c r="MW7" s="150"/>
      <c r="MX7" s="150"/>
      <c r="MY7" s="150"/>
      <c r="MZ7" s="150"/>
      <c r="NA7" s="150"/>
      <c r="NB7" s="150"/>
      <c r="NC7" s="150"/>
      <c r="ND7" s="150"/>
      <c r="NE7" s="150"/>
      <c r="NF7" s="150"/>
      <c r="NG7" s="150"/>
      <c r="NH7" s="150"/>
      <c r="NI7" s="150"/>
      <c r="NJ7" s="150"/>
      <c r="NK7" s="150"/>
      <c r="NL7" s="150"/>
      <c r="NM7" s="150"/>
      <c r="NN7" s="150"/>
      <c r="NO7" s="150"/>
      <c r="NP7" s="150"/>
      <c r="NQ7" s="150"/>
      <c r="NR7" s="150"/>
      <c r="NS7" s="150"/>
      <c r="NT7" s="150"/>
      <c r="NU7" s="150"/>
      <c r="NV7" s="150"/>
      <c r="NW7" s="150"/>
      <c r="NX7" s="150"/>
      <c r="NY7" s="150"/>
      <c r="NZ7" s="150"/>
      <c r="OA7" s="150"/>
      <c r="OB7" s="150"/>
      <c r="OC7" s="150"/>
      <c r="OD7" s="150"/>
      <c r="OE7" s="150"/>
    </row>
    <row r="8" spans="1:395">
      <c r="A8" s="19"/>
      <c r="B8" s="17"/>
      <c r="C8" s="48">
        <v>2023</v>
      </c>
      <c r="D8" s="114">
        <v>0</v>
      </c>
      <c r="E8" s="114">
        <v>5.8912656144088329</v>
      </c>
      <c r="F8" s="114">
        <f t="shared" ref="F8:F35" si="0">1/3*D114+E114</f>
        <v>259</v>
      </c>
      <c r="G8" s="114">
        <f t="shared" ref="G8:G35" si="1">1/6*D114+E114</f>
        <v>237</v>
      </c>
      <c r="H8" s="114">
        <f t="shared" ref="H8:H35" si="2">F114</f>
        <v>316</v>
      </c>
      <c r="I8" s="114">
        <f t="shared" ref="I8:I35" si="3">H8*2</f>
        <v>632</v>
      </c>
      <c r="J8" s="17"/>
      <c r="K8" s="48">
        <v>2023</v>
      </c>
      <c r="L8" s="114">
        <v>0</v>
      </c>
      <c r="M8" s="114">
        <v>5.8912656144088329</v>
      </c>
      <c r="N8" s="114">
        <f t="shared" ref="N8:N35" si="4">1/3*G114+H114</f>
        <v>317</v>
      </c>
      <c r="O8" s="114">
        <f t="shared" ref="O8:O35" si="5">1/6*G114+H114</f>
        <v>266</v>
      </c>
      <c r="P8" s="114">
        <f t="shared" ref="P8:P35" si="6">I114</f>
        <v>474</v>
      </c>
      <c r="Q8" s="114">
        <f t="shared" ref="Q8:Q35" si="7">P8*2</f>
        <v>948</v>
      </c>
      <c r="R8" s="17"/>
      <c r="S8" s="48">
        <v>2023</v>
      </c>
      <c r="T8" s="114">
        <v>0</v>
      </c>
      <c r="U8" s="114">
        <v>5.8912656144088329</v>
      </c>
      <c r="V8" s="114">
        <f t="shared" ref="V8:V35" si="8">1/3*J114+K114</f>
        <v>253.66666666666666</v>
      </c>
      <c r="W8" s="114">
        <f t="shared" ref="W8:W35" si="9">1/6*J114+K114</f>
        <v>220.83333333333331</v>
      </c>
      <c r="X8" s="114">
        <f t="shared" ref="X8:X35" si="10">L114</f>
        <v>350</v>
      </c>
      <c r="Y8" s="114">
        <f t="shared" ref="Y8:Y35" si="11">X8*2</f>
        <v>700</v>
      </c>
      <c r="Z8" s="17"/>
      <c r="AA8" s="48">
        <v>2023</v>
      </c>
      <c r="AB8" s="114">
        <v>0</v>
      </c>
      <c r="AC8" s="114">
        <v>5.8912656144088329</v>
      </c>
      <c r="AD8" s="114">
        <f t="shared" ref="AD8:AD35" si="12">1/3*P114+Q114</f>
        <v>285</v>
      </c>
      <c r="AE8" s="114">
        <f t="shared" ref="AE8:AE35" si="13">1/6*Q114+R114</f>
        <v>422.83333333333331</v>
      </c>
      <c r="AF8" s="114">
        <f t="shared" ref="AF8:AF35" si="14">R114</f>
        <v>387</v>
      </c>
      <c r="AG8" s="114">
        <f t="shared" ref="AG8:AG35" si="15">AF8*2</f>
        <v>774</v>
      </c>
      <c r="AH8" s="150"/>
      <c r="AI8" s="48">
        <v>2023</v>
      </c>
      <c r="AJ8" s="114">
        <v>0</v>
      </c>
      <c r="AK8" s="114">
        <v>5.8912656144088329</v>
      </c>
      <c r="AL8" s="114">
        <f t="shared" ref="AL8:AL35" si="16">1/3*M114+N114</f>
        <v>252.66666666666666</v>
      </c>
      <c r="AM8" s="114">
        <f t="shared" ref="AM8:AM35" si="17">1/6*M114+N114</f>
        <v>220.33333333333331</v>
      </c>
      <c r="AN8" s="114">
        <f t="shared" ref="AN8:AN35" si="18">O114</f>
        <v>347</v>
      </c>
      <c r="AO8" s="114">
        <f t="shared" ref="AO8:AO35" si="19">AN8*2</f>
        <v>694</v>
      </c>
      <c r="AP8" s="150"/>
      <c r="AQ8" s="48">
        <v>2023</v>
      </c>
      <c r="AR8" s="114">
        <v>0</v>
      </c>
      <c r="AS8" s="114">
        <v>5.8912656144088329</v>
      </c>
      <c r="AT8" s="114">
        <f t="shared" ref="AT8:AT35" si="20">1/3*S114+T114</f>
        <v>285.33333333333331</v>
      </c>
      <c r="AU8" s="114">
        <f t="shared" ref="AU8:AU35" si="21">1/6*S114+T114</f>
        <v>250.16666666666666</v>
      </c>
      <c r="AV8" s="114">
        <f t="shared" ref="AV8:AV35" si="22">U114</f>
        <v>387</v>
      </c>
      <c r="AW8" s="114">
        <f t="shared" ref="AW8:AW35" si="23">AV8*2</f>
        <v>774</v>
      </c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  <c r="IU8" s="150"/>
      <c r="IV8" s="150"/>
      <c r="IW8" s="150"/>
      <c r="IX8" s="150"/>
      <c r="IY8" s="150"/>
      <c r="IZ8" s="150"/>
      <c r="JA8" s="150"/>
      <c r="JB8" s="150"/>
      <c r="JC8" s="150"/>
      <c r="JD8" s="150"/>
      <c r="JE8" s="150"/>
      <c r="JF8" s="150"/>
      <c r="JG8" s="150"/>
      <c r="JH8" s="150"/>
      <c r="JI8" s="150"/>
      <c r="JJ8" s="150"/>
      <c r="JK8" s="150"/>
      <c r="JL8" s="150"/>
      <c r="JM8" s="150"/>
      <c r="JN8" s="150"/>
      <c r="JO8" s="150"/>
      <c r="JP8" s="150"/>
      <c r="JQ8" s="150"/>
      <c r="JR8" s="150"/>
      <c r="JS8" s="150"/>
      <c r="JT8" s="150"/>
      <c r="JU8" s="150"/>
      <c r="JV8" s="150"/>
      <c r="JW8" s="150"/>
      <c r="JX8" s="150"/>
      <c r="JY8" s="150"/>
      <c r="JZ8" s="150"/>
      <c r="KA8" s="150"/>
      <c r="KB8" s="150"/>
      <c r="KC8" s="150"/>
      <c r="KD8" s="150"/>
      <c r="KE8" s="150"/>
      <c r="KF8" s="150"/>
      <c r="KG8" s="150"/>
      <c r="KH8" s="150"/>
      <c r="KI8" s="150"/>
      <c r="KJ8" s="150"/>
      <c r="KK8" s="150"/>
      <c r="KL8" s="150"/>
      <c r="KM8" s="150"/>
      <c r="KN8" s="150"/>
      <c r="KO8" s="150"/>
      <c r="KP8" s="150"/>
      <c r="KQ8" s="150"/>
      <c r="KR8" s="150"/>
      <c r="KS8" s="150"/>
      <c r="KT8" s="150"/>
      <c r="KU8" s="150"/>
      <c r="KV8" s="150"/>
      <c r="KW8" s="150"/>
      <c r="KX8" s="150"/>
      <c r="KY8" s="150"/>
      <c r="KZ8" s="150"/>
      <c r="LA8" s="150"/>
      <c r="LB8" s="150"/>
      <c r="LC8" s="150"/>
      <c r="LD8" s="150"/>
      <c r="LE8" s="150"/>
      <c r="LF8" s="150"/>
      <c r="LG8" s="150"/>
      <c r="LH8" s="150"/>
      <c r="LI8" s="150"/>
      <c r="LJ8" s="150"/>
      <c r="LK8" s="150"/>
      <c r="LL8" s="150"/>
      <c r="LM8" s="150"/>
      <c r="LN8" s="150"/>
      <c r="LO8" s="150"/>
      <c r="LP8" s="150"/>
      <c r="LQ8" s="150"/>
      <c r="LR8" s="150"/>
      <c r="LS8" s="150"/>
      <c r="LT8" s="150"/>
      <c r="LU8" s="150"/>
      <c r="LV8" s="150"/>
      <c r="LW8" s="150"/>
      <c r="LX8" s="150"/>
      <c r="LY8" s="150"/>
      <c r="LZ8" s="150"/>
      <c r="MA8" s="150"/>
      <c r="MB8" s="150"/>
      <c r="MC8" s="150"/>
      <c r="MD8" s="150"/>
      <c r="ME8" s="150"/>
      <c r="MF8" s="150"/>
      <c r="MG8" s="150"/>
      <c r="MH8" s="150"/>
      <c r="MI8" s="150"/>
      <c r="MJ8" s="150"/>
      <c r="MK8" s="150"/>
      <c r="ML8" s="150"/>
      <c r="MM8" s="150"/>
      <c r="MN8" s="150"/>
      <c r="MO8" s="150"/>
      <c r="MP8" s="150"/>
      <c r="MQ8" s="150"/>
      <c r="MR8" s="150"/>
      <c r="MS8" s="150"/>
      <c r="MT8" s="150"/>
      <c r="MU8" s="150"/>
      <c r="MV8" s="150"/>
      <c r="MW8" s="150"/>
      <c r="MX8" s="150"/>
      <c r="MY8" s="150"/>
      <c r="MZ8" s="150"/>
      <c r="NA8" s="150"/>
      <c r="NB8" s="150"/>
      <c r="NC8" s="150"/>
      <c r="ND8" s="150"/>
      <c r="NE8" s="150"/>
      <c r="NF8" s="150"/>
      <c r="NG8" s="150"/>
      <c r="NH8" s="150"/>
      <c r="NI8" s="150"/>
      <c r="NJ8" s="150"/>
      <c r="NK8" s="150"/>
      <c r="NL8" s="150"/>
      <c r="NM8" s="150"/>
      <c r="NN8" s="150"/>
      <c r="NO8" s="150"/>
      <c r="NP8" s="150"/>
      <c r="NQ8" s="150"/>
      <c r="NR8" s="150"/>
      <c r="NS8" s="150"/>
      <c r="NT8" s="150"/>
      <c r="NU8" s="150"/>
      <c r="NV8" s="150"/>
      <c r="NW8" s="150"/>
      <c r="NX8" s="150"/>
      <c r="NY8" s="150"/>
      <c r="NZ8" s="150"/>
      <c r="OA8" s="150"/>
      <c r="OB8" s="150"/>
      <c r="OC8" s="150"/>
      <c r="OD8" s="150"/>
      <c r="OE8" s="150"/>
    </row>
    <row r="9" spans="1:395">
      <c r="A9" s="19"/>
      <c r="B9" s="17"/>
      <c r="C9" s="48">
        <v>2024</v>
      </c>
      <c r="D9" s="114">
        <v>0</v>
      </c>
      <c r="E9" s="114">
        <v>5.5172170039701758</v>
      </c>
      <c r="F9" s="114">
        <f t="shared" si="0"/>
        <v>243.33333333333331</v>
      </c>
      <c r="G9" s="114">
        <f t="shared" si="1"/>
        <v>222.66666666666666</v>
      </c>
      <c r="H9" s="114">
        <f t="shared" si="2"/>
        <v>297</v>
      </c>
      <c r="I9" s="114">
        <f t="shared" si="3"/>
        <v>594</v>
      </c>
      <c r="J9" s="17"/>
      <c r="K9" s="48">
        <v>2024</v>
      </c>
      <c r="L9" s="114">
        <v>0</v>
      </c>
      <c r="M9" s="114">
        <v>5.5172170039701758</v>
      </c>
      <c r="N9" s="114">
        <f t="shared" si="4"/>
        <v>298</v>
      </c>
      <c r="O9" s="114">
        <f t="shared" si="5"/>
        <v>250</v>
      </c>
      <c r="P9" s="114">
        <f t="shared" si="6"/>
        <v>446</v>
      </c>
      <c r="Q9" s="114">
        <f t="shared" si="7"/>
        <v>892</v>
      </c>
      <c r="R9" s="110"/>
      <c r="S9" s="48">
        <v>2024</v>
      </c>
      <c r="T9" s="114">
        <v>0</v>
      </c>
      <c r="U9" s="114">
        <v>5.5172170039701758</v>
      </c>
      <c r="V9" s="114">
        <f t="shared" si="8"/>
        <v>238.66666666666666</v>
      </c>
      <c r="W9" s="114">
        <f t="shared" si="9"/>
        <v>207.83333333333334</v>
      </c>
      <c r="X9" s="114">
        <f t="shared" si="10"/>
        <v>330</v>
      </c>
      <c r="Y9" s="114">
        <f t="shared" si="11"/>
        <v>660</v>
      </c>
      <c r="Z9" s="17"/>
      <c r="AA9" s="48">
        <v>2024</v>
      </c>
      <c r="AB9" s="114">
        <v>0</v>
      </c>
      <c r="AC9" s="114">
        <v>5.5172170039701758</v>
      </c>
      <c r="AD9" s="114">
        <f t="shared" si="12"/>
        <v>268</v>
      </c>
      <c r="AE9" s="114">
        <f t="shared" si="13"/>
        <v>397.66666666666669</v>
      </c>
      <c r="AF9" s="114">
        <f t="shared" si="14"/>
        <v>364</v>
      </c>
      <c r="AG9" s="114">
        <f t="shared" si="15"/>
        <v>728</v>
      </c>
      <c r="AH9" s="150"/>
      <c r="AI9" s="48">
        <v>2024</v>
      </c>
      <c r="AJ9" s="114">
        <v>0</v>
      </c>
      <c r="AK9" s="114">
        <v>5.5172170039701758</v>
      </c>
      <c r="AL9" s="114">
        <f t="shared" si="16"/>
        <v>237.66666666666666</v>
      </c>
      <c r="AM9" s="114">
        <f t="shared" si="17"/>
        <v>207.33333333333334</v>
      </c>
      <c r="AN9" s="114">
        <f t="shared" si="18"/>
        <v>327</v>
      </c>
      <c r="AO9" s="114">
        <f t="shared" si="19"/>
        <v>654</v>
      </c>
      <c r="AP9" s="150"/>
      <c r="AQ9" s="48">
        <v>2024</v>
      </c>
      <c r="AR9" s="114">
        <v>0</v>
      </c>
      <c r="AS9" s="114">
        <v>5.5172170039701758</v>
      </c>
      <c r="AT9" s="114">
        <f t="shared" si="20"/>
        <v>268</v>
      </c>
      <c r="AU9" s="114">
        <f t="shared" si="21"/>
        <v>235</v>
      </c>
      <c r="AV9" s="114">
        <f t="shared" si="22"/>
        <v>364</v>
      </c>
      <c r="AW9" s="114">
        <f t="shared" si="23"/>
        <v>728</v>
      </c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  <c r="IU9" s="150"/>
      <c r="IV9" s="150"/>
      <c r="IW9" s="150"/>
      <c r="IX9" s="150"/>
      <c r="IY9" s="150"/>
      <c r="IZ9" s="150"/>
      <c r="JA9" s="150"/>
      <c r="JB9" s="150"/>
      <c r="JC9" s="150"/>
      <c r="JD9" s="150"/>
      <c r="JE9" s="150"/>
      <c r="JF9" s="150"/>
      <c r="JG9" s="150"/>
      <c r="JH9" s="150"/>
      <c r="JI9" s="150"/>
      <c r="JJ9" s="150"/>
      <c r="JK9" s="150"/>
      <c r="JL9" s="150"/>
      <c r="JM9" s="150"/>
      <c r="JN9" s="150"/>
      <c r="JO9" s="150"/>
      <c r="JP9" s="150"/>
      <c r="JQ9" s="150"/>
      <c r="JR9" s="150"/>
      <c r="JS9" s="150"/>
      <c r="JT9" s="150"/>
      <c r="JU9" s="150"/>
      <c r="JV9" s="150"/>
      <c r="JW9" s="150"/>
      <c r="JX9" s="150"/>
      <c r="JY9" s="150"/>
      <c r="JZ9" s="150"/>
      <c r="KA9" s="150"/>
      <c r="KB9" s="150"/>
      <c r="KC9" s="150"/>
      <c r="KD9" s="150"/>
      <c r="KE9" s="150"/>
      <c r="KF9" s="150"/>
      <c r="KG9" s="150"/>
      <c r="KH9" s="150"/>
      <c r="KI9" s="150"/>
      <c r="KJ9" s="150"/>
      <c r="KK9" s="150"/>
      <c r="KL9" s="150"/>
      <c r="KM9" s="150"/>
      <c r="KN9" s="150"/>
      <c r="KO9" s="150"/>
      <c r="KP9" s="150"/>
      <c r="KQ9" s="150"/>
      <c r="KR9" s="150"/>
      <c r="KS9" s="150"/>
      <c r="KT9" s="150"/>
      <c r="KU9" s="150"/>
      <c r="KV9" s="150"/>
      <c r="KW9" s="150"/>
      <c r="KX9" s="150"/>
      <c r="KY9" s="150"/>
      <c r="KZ9" s="150"/>
      <c r="LA9" s="150"/>
      <c r="LB9" s="150"/>
      <c r="LC9" s="150"/>
      <c r="LD9" s="150"/>
      <c r="LE9" s="150"/>
      <c r="LF9" s="150"/>
      <c r="LG9" s="150"/>
      <c r="LH9" s="150"/>
      <c r="LI9" s="150"/>
      <c r="LJ9" s="150"/>
      <c r="LK9" s="150"/>
      <c r="LL9" s="150"/>
      <c r="LM9" s="150"/>
      <c r="LN9" s="150"/>
      <c r="LO9" s="150"/>
      <c r="LP9" s="150"/>
      <c r="LQ9" s="150"/>
      <c r="LR9" s="150"/>
      <c r="LS9" s="150"/>
      <c r="LT9" s="150"/>
      <c r="LU9" s="150"/>
      <c r="LV9" s="150"/>
      <c r="LW9" s="150"/>
      <c r="LX9" s="150"/>
      <c r="LY9" s="150"/>
      <c r="LZ9" s="150"/>
      <c r="MA9" s="150"/>
      <c r="MB9" s="150"/>
      <c r="MC9" s="150"/>
      <c r="MD9" s="150"/>
      <c r="ME9" s="150"/>
      <c r="MF9" s="150"/>
      <c r="MG9" s="150"/>
      <c r="MH9" s="150"/>
      <c r="MI9" s="150"/>
      <c r="MJ9" s="150"/>
      <c r="MK9" s="150"/>
      <c r="ML9" s="150"/>
      <c r="MM9" s="150"/>
      <c r="MN9" s="150"/>
      <c r="MO9" s="150"/>
      <c r="MP9" s="150"/>
      <c r="MQ9" s="150"/>
      <c r="MR9" s="150"/>
      <c r="MS9" s="150"/>
      <c r="MT9" s="150"/>
      <c r="MU9" s="150"/>
      <c r="MV9" s="150"/>
      <c r="MW9" s="150"/>
      <c r="MX9" s="150"/>
      <c r="MY9" s="150"/>
      <c r="MZ9" s="150"/>
      <c r="NA9" s="150"/>
      <c r="NB9" s="150"/>
      <c r="NC9" s="150"/>
      <c r="ND9" s="150"/>
      <c r="NE9" s="150"/>
      <c r="NF9" s="150"/>
      <c r="NG9" s="150"/>
      <c r="NH9" s="150"/>
      <c r="NI9" s="150"/>
      <c r="NJ9" s="150"/>
      <c r="NK9" s="150"/>
      <c r="NL9" s="150"/>
      <c r="NM9" s="150"/>
      <c r="NN9" s="150"/>
      <c r="NO9" s="150"/>
      <c r="NP9" s="150"/>
      <c r="NQ9" s="150"/>
      <c r="NR9" s="150"/>
      <c r="NS9" s="150"/>
      <c r="NT9" s="150"/>
      <c r="NU9" s="150"/>
      <c r="NV9" s="150"/>
      <c r="NW9" s="150"/>
      <c r="NX9" s="150"/>
      <c r="NY9" s="150"/>
      <c r="NZ9" s="150"/>
      <c r="OA9" s="150"/>
      <c r="OB9" s="150"/>
      <c r="OC9" s="150"/>
      <c r="OD9" s="150"/>
      <c r="OE9" s="150"/>
    </row>
    <row r="10" spans="1:395">
      <c r="A10" s="19"/>
      <c r="B10" s="17"/>
      <c r="C10" s="48">
        <v>2025</v>
      </c>
      <c r="D10" s="114">
        <v>0</v>
      </c>
      <c r="E10" s="114">
        <v>5.1587537522997966</v>
      </c>
      <c r="F10" s="114">
        <f t="shared" si="0"/>
        <v>228.66666666666666</v>
      </c>
      <c r="G10" s="114">
        <f t="shared" si="1"/>
        <v>209.33333333333334</v>
      </c>
      <c r="H10" s="114">
        <f t="shared" si="2"/>
        <v>278</v>
      </c>
      <c r="I10" s="114">
        <f t="shared" si="3"/>
        <v>556</v>
      </c>
      <c r="J10" s="17"/>
      <c r="K10" s="48">
        <v>2025</v>
      </c>
      <c r="L10" s="114">
        <v>0</v>
      </c>
      <c r="M10" s="114">
        <v>5.1587537522997966</v>
      </c>
      <c r="N10" s="114">
        <f t="shared" si="4"/>
        <v>280</v>
      </c>
      <c r="O10" s="114">
        <f t="shared" si="5"/>
        <v>235</v>
      </c>
      <c r="P10" s="114">
        <f t="shared" si="6"/>
        <v>418</v>
      </c>
      <c r="Q10" s="114">
        <f t="shared" si="7"/>
        <v>836</v>
      </c>
      <c r="R10" s="17"/>
      <c r="S10" s="48">
        <v>2025</v>
      </c>
      <c r="T10" s="114">
        <v>0</v>
      </c>
      <c r="U10" s="114">
        <v>5.1587537522997966</v>
      </c>
      <c r="V10" s="114">
        <f t="shared" si="8"/>
        <v>224</v>
      </c>
      <c r="W10" s="114">
        <f t="shared" si="9"/>
        <v>195</v>
      </c>
      <c r="X10" s="114">
        <f t="shared" si="10"/>
        <v>309</v>
      </c>
      <c r="Y10" s="114">
        <f t="shared" si="11"/>
        <v>618</v>
      </c>
      <c r="Z10" s="17"/>
      <c r="AA10" s="48">
        <v>2025</v>
      </c>
      <c r="AB10" s="114">
        <v>0</v>
      </c>
      <c r="AC10" s="114">
        <v>5.1587537522997966</v>
      </c>
      <c r="AD10" s="114">
        <f t="shared" si="12"/>
        <v>252</v>
      </c>
      <c r="AE10" s="114">
        <f t="shared" si="13"/>
        <v>372.66666666666669</v>
      </c>
      <c r="AF10" s="114">
        <f t="shared" si="14"/>
        <v>341</v>
      </c>
      <c r="AG10" s="114">
        <f t="shared" si="15"/>
        <v>682</v>
      </c>
      <c r="AH10" s="150"/>
      <c r="AI10" s="48">
        <v>2025</v>
      </c>
      <c r="AJ10" s="114">
        <v>0</v>
      </c>
      <c r="AK10" s="114">
        <v>5.1587537522997966</v>
      </c>
      <c r="AL10" s="114">
        <f t="shared" si="16"/>
        <v>223</v>
      </c>
      <c r="AM10" s="114">
        <f t="shared" si="17"/>
        <v>194.5</v>
      </c>
      <c r="AN10" s="114">
        <f t="shared" si="18"/>
        <v>306</v>
      </c>
      <c r="AO10" s="114">
        <f t="shared" si="19"/>
        <v>612</v>
      </c>
      <c r="AP10" s="150"/>
      <c r="AQ10" s="48">
        <v>2025</v>
      </c>
      <c r="AR10" s="114">
        <v>0</v>
      </c>
      <c r="AS10" s="114">
        <v>5.1587537522997966</v>
      </c>
      <c r="AT10" s="114">
        <f t="shared" si="20"/>
        <v>252</v>
      </c>
      <c r="AU10" s="114">
        <f t="shared" si="21"/>
        <v>221</v>
      </c>
      <c r="AV10" s="114">
        <f t="shared" si="22"/>
        <v>342</v>
      </c>
      <c r="AW10" s="114">
        <f t="shared" si="23"/>
        <v>684</v>
      </c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  <c r="IU10" s="150"/>
      <c r="IV10" s="150"/>
      <c r="IW10" s="150"/>
      <c r="IX10" s="150"/>
      <c r="IY10" s="150"/>
      <c r="IZ10" s="150"/>
      <c r="JA10" s="150"/>
      <c r="JB10" s="150"/>
      <c r="JC10" s="150"/>
      <c r="JD10" s="150"/>
      <c r="JE10" s="150"/>
      <c r="JF10" s="150"/>
      <c r="JG10" s="150"/>
      <c r="JH10" s="150"/>
      <c r="JI10" s="150"/>
      <c r="JJ10" s="150"/>
      <c r="JK10" s="150"/>
      <c r="JL10" s="150"/>
      <c r="JM10" s="150"/>
      <c r="JN10" s="150"/>
      <c r="JO10" s="150"/>
      <c r="JP10" s="150"/>
      <c r="JQ10" s="150"/>
      <c r="JR10" s="150"/>
      <c r="JS10" s="150"/>
      <c r="JT10" s="150"/>
      <c r="JU10" s="150"/>
      <c r="JV10" s="150"/>
      <c r="JW10" s="150"/>
      <c r="JX10" s="150"/>
      <c r="JY10" s="150"/>
      <c r="JZ10" s="150"/>
      <c r="KA10" s="150"/>
      <c r="KB10" s="150"/>
      <c r="KC10" s="150"/>
      <c r="KD10" s="150"/>
      <c r="KE10" s="150"/>
      <c r="KF10" s="150"/>
      <c r="KG10" s="150"/>
      <c r="KH10" s="150"/>
      <c r="KI10" s="150"/>
      <c r="KJ10" s="150"/>
      <c r="KK10" s="150"/>
      <c r="KL10" s="150"/>
      <c r="KM10" s="150"/>
      <c r="KN10" s="150"/>
      <c r="KO10" s="150"/>
      <c r="KP10" s="150"/>
      <c r="KQ10" s="150"/>
      <c r="KR10" s="150"/>
      <c r="KS10" s="150"/>
      <c r="KT10" s="150"/>
      <c r="KU10" s="150"/>
      <c r="KV10" s="150"/>
      <c r="KW10" s="150"/>
      <c r="KX10" s="150"/>
      <c r="KY10" s="150"/>
      <c r="KZ10" s="150"/>
      <c r="LA10" s="150"/>
      <c r="LB10" s="150"/>
      <c r="LC10" s="150"/>
      <c r="LD10" s="150"/>
      <c r="LE10" s="150"/>
      <c r="LF10" s="150"/>
      <c r="LG10" s="150"/>
      <c r="LH10" s="150"/>
      <c r="LI10" s="150"/>
      <c r="LJ10" s="150"/>
      <c r="LK10" s="150"/>
      <c r="LL10" s="150"/>
      <c r="LM10" s="150"/>
      <c r="LN10" s="150"/>
      <c r="LO10" s="150"/>
      <c r="LP10" s="150"/>
      <c r="LQ10" s="150"/>
      <c r="LR10" s="150"/>
      <c r="LS10" s="150"/>
      <c r="LT10" s="150"/>
      <c r="LU10" s="150"/>
      <c r="LV10" s="150"/>
      <c r="LW10" s="150"/>
      <c r="LX10" s="150"/>
      <c r="LY10" s="150"/>
      <c r="LZ10" s="150"/>
      <c r="MA10" s="150"/>
      <c r="MB10" s="150"/>
      <c r="MC10" s="150"/>
      <c r="MD10" s="150"/>
      <c r="ME10" s="150"/>
      <c r="MF10" s="150"/>
      <c r="MG10" s="150"/>
      <c r="MH10" s="150"/>
      <c r="MI10" s="150"/>
      <c r="MJ10" s="150"/>
      <c r="MK10" s="150"/>
      <c r="ML10" s="150"/>
      <c r="MM10" s="150"/>
      <c r="MN10" s="150"/>
      <c r="MO10" s="150"/>
      <c r="MP10" s="150"/>
      <c r="MQ10" s="150"/>
      <c r="MR10" s="150"/>
      <c r="MS10" s="150"/>
      <c r="MT10" s="150"/>
      <c r="MU10" s="150"/>
      <c r="MV10" s="150"/>
      <c r="MW10" s="150"/>
      <c r="MX10" s="150"/>
      <c r="MY10" s="150"/>
      <c r="MZ10" s="150"/>
      <c r="NA10" s="150"/>
      <c r="NB10" s="150"/>
      <c r="NC10" s="150"/>
      <c r="ND10" s="150"/>
      <c r="NE10" s="150"/>
      <c r="NF10" s="150"/>
      <c r="NG10" s="150"/>
      <c r="NH10" s="150"/>
      <c r="NI10" s="150"/>
      <c r="NJ10" s="150"/>
      <c r="NK10" s="150"/>
      <c r="NL10" s="150"/>
      <c r="NM10" s="150"/>
      <c r="NN10" s="150"/>
      <c r="NO10" s="150"/>
      <c r="NP10" s="150"/>
      <c r="NQ10" s="150"/>
      <c r="NR10" s="150"/>
      <c r="NS10" s="150"/>
      <c r="NT10" s="150"/>
      <c r="NU10" s="150"/>
      <c r="NV10" s="150"/>
      <c r="NW10" s="150"/>
      <c r="NX10" s="150"/>
      <c r="NY10" s="150"/>
      <c r="NZ10" s="150"/>
      <c r="OA10" s="150"/>
      <c r="OB10" s="150"/>
      <c r="OC10" s="150"/>
      <c r="OD10" s="150"/>
      <c r="OE10" s="150"/>
    </row>
    <row r="11" spans="1:395">
      <c r="A11" s="19"/>
      <c r="B11" s="17"/>
      <c r="C11" s="48">
        <v>2026</v>
      </c>
      <c r="D11" s="114">
        <v>0</v>
      </c>
      <c r="E11" s="114">
        <v>4.7847051418611413</v>
      </c>
      <c r="F11" s="114">
        <f t="shared" si="0"/>
        <v>213.33333333333331</v>
      </c>
      <c r="G11" s="114">
        <f t="shared" si="1"/>
        <v>195.16666666666666</v>
      </c>
      <c r="H11" s="114">
        <f t="shared" si="2"/>
        <v>260</v>
      </c>
      <c r="I11" s="114">
        <f t="shared" si="3"/>
        <v>520</v>
      </c>
      <c r="J11" s="17"/>
      <c r="K11" s="48">
        <v>2026</v>
      </c>
      <c r="L11" s="114">
        <v>0</v>
      </c>
      <c r="M11" s="114">
        <v>4.7847051418611413</v>
      </c>
      <c r="N11" s="114">
        <f t="shared" si="4"/>
        <v>261</v>
      </c>
      <c r="O11" s="114">
        <f t="shared" si="5"/>
        <v>219</v>
      </c>
      <c r="P11" s="114">
        <f t="shared" si="6"/>
        <v>390</v>
      </c>
      <c r="Q11" s="114">
        <f t="shared" si="7"/>
        <v>780</v>
      </c>
      <c r="R11" s="17"/>
      <c r="S11" s="48">
        <v>2026</v>
      </c>
      <c r="T11" s="114">
        <v>0</v>
      </c>
      <c r="U11" s="114">
        <v>4.7847051418611413</v>
      </c>
      <c r="V11" s="114">
        <f t="shared" si="8"/>
        <v>209</v>
      </c>
      <c r="W11" s="114">
        <f t="shared" si="9"/>
        <v>182</v>
      </c>
      <c r="X11" s="114">
        <f t="shared" si="10"/>
        <v>288</v>
      </c>
      <c r="Y11" s="114">
        <f t="shared" si="11"/>
        <v>576</v>
      </c>
      <c r="Z11" s="17"/>
      <c r="AA11" s="48">
        <v>2026</v>
      </c>
      <c r="AB11" s="114">
        <v>0</v>
      </c>
      <c r="AC11" s="114">
        <v>4.7847051418611413</v>
      </c>
      <c r="AD11" s="114">
        <f t="shared" si="12"/>
        <v>234.66666666666666</v>
      </c>
      <c r="AE11" s="114">
        <f t="shared" si="13"/>
        <v>347.5</v>
      </c>
      <c r="AF11" s="114">
        <f t="shared" si="14"/>
        <v>318</v>
      </c>
      <c r="AG11" s="114">
        <f t="shared" si="15"/>
        <v>636</v>
      </c>
      <c r="AH11" s="150"/>
      <c r="AI11" s="48">
        <v>2026</v>
      </c>
      <c r="AJ11" s="114">
        <v>0</v>
      </c>
      <c r="AK11" s="114">
        <v>4.7847051418611413</v>
      </c>
      <c r="AL11" s="114">
        <f t="shared" si="16"/>
        <v>208.33333333333331</v>
      </c>
      <c r="AM11" s="114">
        <f t="shared" si="17"/>
        <v>181.66666666666666</v>
      </c>
      <c r="AN11" s="114">
        <f t="shared" si="18"/>
        <v>286</v>
      </c>
      <c r="AO11" s="114">
        <f t="shared" si="19"/>
        <v>572</v>
      </c>
      <c r="AP11" s="150"/>
      <c r="AQ11" s="48">
        <v>2026</v>
      </c>
      <c r="AR11" s="114">
        <v>0</v>
      </c>
      <c r="AS11" s="114">
        <v>4.7847051418611413</v>
      </c>
      <c r="AT11" s="114">
        <f t="shared" si="20"/>
        <v>235</v>
      </c>
      <c r="AU11" s="114">
        <f t="shared" si="21"/>
        <v>206</v>
      </c>
      <c r="AV11" s="114">
        <f t="shared" si="22"/>
        <v>319</v>
      </c>
      <c r="AW11" s="114">
        <f t="shared" si="23"/>
        <v>638</v>
      </c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  <c r="IU11" s="150"/>
      <c r="IV11" s="150"/>
      <c r="IW11" s="150"/>
      <c r="IX11" s="150"/>
      <c r="IY11" s="150"/>
      <c r="IZ11" s="150"/>
      <c r="JA11" s="150"/>
      <c r="JB11" s="150"/>
      <c r="JC11" s="150"/>
      <c r="JD11" s="150"/>
      <c r="JE11" s="150"/>
      <c r="JF11" s="150"/>
      <c r="JG11" s="150"/>
      <c r="JH11" s="150"/>
      <c r="JI11" s="150"/>
      <c r="JJ11" s="150"/>
      <c r="JK11" s="150"/>
      <c r="JL11" s="150"/>
      <c r="JM11" s="150"/>
      <c r="JN11" s="150"/>
      <c r="JO11" s="150"/>
      <c r="JP11" s="150"/>
      <c r="JQ11" s="150"/>
      <c r="JR11" s="150"/>
      <c r="JS11" s="150"/>
      <c r="JT11" s="150"/>
      <c r="JU11" s="150"/>
      <c r="JV11" s="150"/>
      <c r="JW11" s="150"/>
      <c r="JX11" s="150"/>
      <c r="JY11" s="150"/>
      <c r="JZ11" s="150"/>
      <c r="KA11" s="150"/>
      <c r="KB11" s="150"/>
      <c r="KC11" s="150"/>
      <c r="KD11" s="150"/>
      <c r="KE11" s="150"/>
      <c r="KF11" s="150"/>
      <c r="KG11" s="150"/>
      <c r="KH11" s="150"/>
      <c r="KI11" s="150"/>
      <c r="KJ11" s="150"/>
      <c r="KK11" s="150"/>
      <c r="KL11" s="150"/>
      <c r="KM11" s="150"/>
      <c r="KN11" s="150"/>
      <c r="KO11" s="150"/>
      <c r="KP11" s="150"/>
      <c r="KQ11" s="150"/>
      <c r="KR11" s="150"/>
      <c r="KS11" s="150"/>
      <c r="KT11" s="150"/>
      <c r="KU11" s="150"/>
      <c r="KV11" s="150"/>
      <c r="KW11" s="150"/>
      <c r="KX11" s="150"/>
      <c r="KY11" s="150"/>
      <c r="KZ11" s="150"/>
      <c r="LA11" s="150"/>
      <c r="LB11" s="150"/>
      <c r="LC11" s="150"/>
      <c r="LD11" s="150"/>
      <c r="LE11" s="150"/>
      <c r="LF11" s="150"/>
      <c r="LG11" s="150"/>
      <c r="LH11" s="150"/>
      <c r="LI11" s="150"/>
      <c r="LJ11" s="150"/>
      <c r="LK11" s="150"/>
      <c r="LL11" s="150"/>
      <c r="LM11" s="150"/>
      <c r="LN11" s="150"/>
      <c r="LO11" s="150"/>
      <c r="LP11" s="150"/>
      <c r="LQ11" s="150"/>
      <c r="LR11" s="150"/>
      <c r="LS11" s="150"/>
      <c r="LT11" s="150"/>
      <c r="LU11" s="150"/>
      <c r="LV11" s="150"/>
      <c r="LW11" s="150"/>
      <c r="LX11" s="150"/>
      <c r="LY11" s="150"/>
      <c r="LZ11" s="150"/>
      <c r="MA11" s="150"/>
      <c r="MB11" s="150"/>
      <c r="MC11" s="150"/>
      <c r="MD11" s="150"/>
      <c r="ME11" s="150"/>
      <c r="MF11" s="150"/>
      <c r="MG11" s="150"/>
      <c r="MH11" s="150"/>
      <c r="MI11" s="150"/>
      <c r="MJ11" s="150"/>
      <c r="MK11" s="150"/>
      <c r="ML11" s="150"/>
      <c r="MM11" s="150"/>
      <c r="MN11" s="150"/>
      <c r="MO11" s="150"/>
      <c r="MP11" s="150"/>
      <c r="MQ11" s="150"/>
      <c r="MR11" s="150"/>
      <c r="MS11" s="150"/>
      <c r="MT11" s="150"/>
      <c r="MU11" s="150"/>
      <c r="MV11" s="150"/>
      <c r="MW11" s="150"/>
      <c r="MX11" s="150"/>
      <c r="MY11" s="150"/>
      <c r="MZ11" s="150"/>
      <c r="NA11" s="150"/>
      <c r="NB11" s="150"/>
      <c r="NC11" s="150"/>
      <c r="ND11" s="150"/>
      <c r="NE11" s="150"/>
      <c r="NF11" s="150"/>
      <c r="NG11" s="150"/>
      <c r="NH11" s="150"/>
      <c r="NI11" s="150"/>
      <c r="NJ11" s="150"/>
      <c r="NK11" s="150"/>
      <c r="NL11" s="150"/>
      <c r="NM11" s="150"/>
      <c r="NN11" s="150"/>
      <c r="NO11" s="150"/>
      <c r="NP11" s="150"/>
      <c r="NQ11" s="150"/>
      <c r="NR11" s="150"/>
      <c r="NS11" s="150"/>
      <c r="NT11" s="150"/>
      <c r="NU11" s="150"/>
      <c r="NV11" s="150"/>
      <c r="NW11" s="150"/>
      <c r="NX11" s="150"/>
      <c r="NY11" s="150"/>
      <c r="NZ11" s="150"/>
      <c r="OA11" s="150"/>
      <c r="OB11" s="150"/>
      <c r="OC11" s="150"/>
      <c r="OD11" s="150"/>
      <c r="OE11" s="150"/>
    </row>
    <row r="12" spans="1:395">
      <c r="A12" s="19"/>
      <c r="B12" s="17"/>
      <c r="C12" s="48">
        <v>2027</v>
      </c>
      <c r="D12" s="114">
        <v>0</v>
      </c>
      <c r="E12" s="114">
        <v>4.4262418901907621</v>
      </c>
      <c r="F12" s="114">
        <f t="shared" si="0"/>
        <v>197.66666666666666</v>
      </c>
      <c r="G12" s="114">
        <f t="shared" si="1"/>
        <v>180.83333333333334</v>
      </c>
      <c r="H12" s="114">
        <f t="shared" si="2"/>
        <v>241</v>
      </c>
      <c r="I12" s="114">
        <f t="shared" si="3"/>
        <v>482</v>
      </c>
      <c r="J12" s="17"/>
      <c r="K12" s="48">
        <v>2027</v>
      </c>
      <c r="L12" s="114">
        <v>0</v>
      </c>
      <c r="M12" s="114">
        <v>4.4262418901907621</v>
      </c>
      <c r="N12" s="114">
        <f t="shared" si="4"/>
        <v>242</v>
      </c>
      <c r="O12" s="114">
        <f t="shared" si="5"/>
        <v>203</v>
      </c>
      <c r="P12" s="114">
        <f t="shared" si="6"/>
        <v>362</v>
      </c>
      <c r="Q12" s="114">
        <f t="shared" si="7"/>
        <v>724</v>
      </c>
      <c r="R12" s="17"/>
      <c r="S12" s="48">
        <v>2027</v>
      </c>
      <c r="T12" s="114">
        <v>0</v>
      </c>
      <c r="U12" s="114">
        <v>4.4262418901907621</v>
      </c>
      <c r="V12" s="114">
        <f t="shared" si="8"/>
        <v>194.33333333333331</v>
      </c>
      <c r="W12" s="114">
        <f t="shared" si="9"/>
        <v>169.16666666666666</v>
      </c>
      <c r="X12" s="114">
        <f t="shared" si="10"/>
        <v>268</v>
      </c>
      <c r="Y12" s="114">
        <f t="shared" si="11"/>
        <v>536</v>
      </c>
      <c r="Z12" s="17"/>
      <c r="AA12" s="48">
        <v>2027</v>
      </c>
      <c r="AB12" s="114">
        <v>0</v>
      </c>
      <c r="AC12" s="114">
        <v>4.4262418901907621</v>
      </c>
      <c r="AD12" s="114">
        <f t="shared" si="12"/>
        <v>217.66666666666666</v>
      </c>
      <c r="AE12" s="114">
        <f t="shared" si="13"/>
        <v>323.33333333333331</v>
      </c>
      <c r="AF12" s="114">
        <f t="shared" si="14"/>
        <v>296</v>
      </c>
      <c r="AG12" s="114">
        <f t="shared" si="15"/>
        <v>592</v>
      </c>
      <c r="AH12" s="150"/>
      <c r="AI12" s="48">
        <v>2027</v>
      </c>
      <c r="AJ12" s="114">
        <v>0</v>
      </c>
      <c r="AK12" s="114">
        <v>4.4262418901907621</v>
      </c>
      <c r="AL12" s="114">
        <f t="shared" si="16"/>
        <v>193.33333333333331</v>
      </c>
      <c r="AM12" s="114">
        <f t="shared" si="17"/>
        <v>168.66666666666666</v>
      </c>
      <c r="AN12" s="114">
        <f t="shared" si="18"/>
        <v>266</v>
      </c>
      <c r="AO12" s="114">
        <f t="shared" si="19"/>
        <v>532</v>
      </c>
      <c r="AP12" s="150"/>
      <c r="AQ12" s="48">
        <v>2027</v>
      </c>
      <c r="AR12" s="114">
        <v>0</v>
      </c>
      <c r="AS12" s="114">
        <v>4.4262418901907621</v>
      </c>
      <c r="AT12" s="114">
        <f t="shared" si="20"/>
        <v>217.66666666666666</v>
      </c>
      <c r="AU12" s="114">
        <f t="shared" si="21"/>
        <v>190.83333333333334</v>
      </c>
      <c r="AV12" s="114">
        <f t="shared" si="22"/>
        <v>296</v>
      </c>
      <c r="AW12" s="114">
        <f t="shared" si="23"/>
        <v>592</v>
      </c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  <c r="IR12" s="150"/>
      <c r="IS12" s="150"/>
      <c r="IT12" s="150"/>
      <c r="IU12" s="150"/>
      <c r="IV12" s="150"/>
      <c r="IW12" s="150"/>
      <c r="IX12" s="150"/>
      <c r="IY12" s="150"/>
      <c r="IZ12" s="150"/>
      <c r="JA12" s="150"/>
      <c r="JB12" s="150"/>
      <c r="JC12" s="150"/>
      <c r="JD12" s="150"/>
      <c r="JE12" s="150"/>
      <c r="JF12" s="150"/>
      <c r="JG12" s="150"/>
      <c r="JH12" s="150"/>
      <c r="JI12" s="150"/>
      <c r="JJ12" s="150"/>
      <c r="JK12" s="150"/>
      <c r="JL12" s="150"/>
      <c r="JM12" s="150"/>
      <c r="JN12" s="150"/>
      <c r="JO12" s="150"/>
      <c r="JP12" s="150"/>
      <c r="JQ12" s="150"/>
      <c r="JR12" s="150"/>
      <c r="JS12" s="150"/>
      <c r="JT12" s="150"/>
      <c r="JU12" s="150"/>
      <c r="JV12" s="150"/>
      <c r="JW12" s="150"/>
      <c r="JX12" s="150"/>
      <c r="JY12" s="150"/>
      <c r="JZ12" s="150"/>
      <c r="KA12" s="150"/>
      <c r="KB12" s="150"/>
      <c r="KC12" s="150"/>
      <c r="KD12" s="150"/>
      <c r="KE12" s="150"/>
      <c r="KF12" s="150"/>
      <c r="KG12" s="150"/>
      <c r="KH12" s="150"/>
      <c r="KI12" s="150"/>
      <c r="KJ12" s="150"/>
      <c r="KK12" s="150"/>
      <c r="KL12" s="150"/>
      <c r="KM12" s="150"/>
      <c r="KN12" s="150"/>
      <c r="KO12" s="150"/>
      <c r="KP12" s="150"/>
      <c r="KQ12" s="150"/>
      <c r="KR12" s="150"/>
      <c r="KS12" s="150"/>
      <c r="KT12" s="150"/>
      <c r="KU12" s="150"/>
      <c r="KV12" s="150"/>
      <c r="KW12" s="150"/>
      <c r="KX12" s="150"/>
      <c r="KY12" s="150"/>
      <c r="KZ12" s="150"/>
      <c r="LA12" s="150"/>
      <c r="LB12" s="150"/>
      <c r="LC12" s="150"/>
      <c r="LD12" s="150"/>
      <c r="LE12" s="150"/>
      <c r="LF12" s="150"/>
      <c r="LG12" s="150"/>
      <c r="LH12" s="150"/>
      <c r="LI12" s="150"/>
      <c r="LJ12" s="150"/>
      <c r="LK12" s="150"/>
      <c r="LL12" s="150"/>
      <c r="LM12" s="150"/>
      <c r="LN12" s="150"/>
      <c r="LO12" s="150"/>
      <c r="LP12" s="150"/>
      <c r="LQ12" s="150"/>
      <c r="LR12" s="150"/>
      <c r="LS12" s="150"/>
      <c r="LT12" s="150"/>
      <c r="LU12" s="150"/>
      <c r="LV12" s="150"/>
      <c r="LW12" s="150"/>
      <c r="LX12" s="150"/>
      <c r="LY12" s="150"/>
      <c r="LZ12" s="150"/>
      <c r="MA12" s="150"/>
      <c r="MB12" s="150"/>
      <c r="MC12" s="150"/>
      <c r="MD12" s="150"/>
      <c r="ME12" s="150"/>
      <c r="MF12" s="150"/>
      <c r="MG12" s="150"/>
      <c r="MH12" s="150"/>
      <c r="MI12" s="150"/>
      <c r="MJ12" s="150"/>
      <c r="MK12" s="150"/>
      <c r="ML12" s="150"/>
      <c r="MM12" s="150"/>
      <c r="MN12" s="150"/>
      <c r="MO12" s="150"/>
      <c r="MP12" s="150"/>
      <c r="MQ12" s="150"/>
      <c r="MR12" s="150"/>
      <c r="MS12" s="150"/>
      <c r="MT12" s="150"/>
      <c r="MU12" s="150"/>
      <c r="MV12" s="150"/>
      <c r="MW12" s="150"/>
      <c r="MX12" s="150"/>
      <c r="MY12" s="150"/>
      <c r="MZ12" s="150"/>
      <c r="NA12" s="150"/>
      <c r="NB12" s="150"/>
      <c r="NC12" s="150"/>
      <c r="ND12" s="150"/>
      <c r="NE12" s="150"/>
      <c r="NF12" s="150"/>
      <c r="NG12" s="150"/>
      <c r="NH12" s="150"/>
      <c r="NI12" s="150"/>
      <c r="NJ12" s="150"/>
      <c r="NK12" s="150"/>
      <c r="NL12" s="150"/>
      <c r="NM12" s="150"/>
      <c r="NN12" s="150"/>
      <c r="NO12" s="150"/>
      <c r="NP12" s="150"/>
      <c r="NQ12" s="150"/>
      <c r="NR12" s="150"/>
      <c r="NS12" s="150"/>
      <c r="NT12" s="150"/>
      <c r="NU12" s="150"/>
      <c r="NV12" s="150"/>
      <c r="NW12" s="150"/>
      <c r="NX12" s="150"/>
      <c r="NY12" s="150"/>
      <c r="NZ12" s="150"/>
      <c r="OA12" s="150"/>
      <c r="OB12" s="150"/>
      <c r="OC12" s="150"/>
      <c r="OD12" s="150"/>
      <c r="OE12" s="150"/>
    </row>
    <row r="13" spans="1:395">
      <c r="A13" s="19"/>
      <c r="B13" s="17"/>
      <c r="C13" s="48">
        <v>2028</v>
      </c>
      <c r="D13" s="114">
        <v>0</v>
      </c>
      <c r="E13" s="114">
        <v>4.0521932797521067</v>
      </c>
      <c r="F13" s="114">
        <f t="shared" si="0"/>
        <v>183</v>
      </c>
      <c r="G13" s="114">
        <f t="shared" si="1"/>
        <v>167.5</v>
      </c>
      <c r="H13" s="114">
        <f t="shared" si="2"/>
        <v>223</v>
      </c>
      <c r="I13" s="114">
        <f t="shared" si="3"/>
        <v>446</v>
      </c>
      <c r="J13" s="17"/>
      <c r="K13" s="48">
        <v>2028</v>
      </c>
      <c r="L13" s="114">
        <v>0</v>
      </c>
      <c r="M13" s="114">
        <v>4.0521932797521067</v>
      </c>
      <c r="N13" s="114">
        <f t="shared" si="4"/>
        <v>224</v>
      </c>
      <c r="O13" s="114">
        <f t="shared" si="5"/>
        <v>188</v>
      </c>
      <c r="P13" s="114">
        <f t="shared" si="6"/>
        <v>334</v>
      </c>
      <c r="Q13" s="114">
        <f t="shared" si="7"/>
        <v>668</v>
      </c>
      <c r="R13" s="17"/>
      <c r="S13" s="48">
        <v>2028</v>
      </c>
      <c r="T13" s="114">
        <v>0</v>
      </c>
      <c r="U13" s="114">
        <v>4.0521932797521067</v>
      </c>
      <c r="V13" s="114">
        <f t="shared" si="8"/>
        <v>179.33333333333331</v>
      </c>
      <c r="W13" s="114">
        <f t="shared" si="9"/>
        <v>156.16666666666666</v>
      </c>
      <c r="X13" s="114">
        <f t="shared" si="10"/>
        <v>247</v>
      </c>
      <c r="Y13" s="114">
        <f t="shared" si="11"/>
        <v>494</v>
      </c>
      <c r="Z13" s="17"/>
      <c r="AA13" s="48">
        <v>2028</v>
      </c>
      <c r="AB13" s="114">
        <v>0</v>
      </c>
      <c r="AC13" s="114">
        <v>4.0521932797521067</v>
      </c>
      <c r="AD13" s="114">
        <f t="shared" si="12"/>
        <v>201.33333333333331</v>
      </c>
      <c r="AE13" s="114">
        <f t="shared" si="13"/>
        <v>298.33333333333331</v>
      </c>
      <c r="AF13" s="114">
        <f t="shared" si="14"/>
        <v>273</v>
      </c>
      <c r="AG13" s="114">
        <f t="shared" si="15"/>
        <v>546</v>
      </c>
      <c r="AH13" s="150"/>
      <c r="AI13" s="48">
        <v>2028</v>
      </c>
      <c r="AJ13" s="114">
        <v>0</v>
      </c>
      <c r="AK13" s="114">
        <v>4.0521932797521067</v>
      </c>
      <c r="AL13" s="114">
        <f t="shared" si="16"/>
        <v>178.66666666666666</v>
      </c>
      <c r="AM13" s="114">
        <f t="shared" si="17"/>
        <v>155.83333333333334</v>
      </c>
      <c r="AN13" s="114">
        <f t="shared" si="18"/>
        <v>245</v>
      </c>
      <c r="AO13" s="114">
        <f t="shared" si="19"/>
        <v>490</v>
      </c>
      <c r="AP13" s="150"/>
      <c r="AQ13" s="48">
        <v>2028</v>
      </c>
      <c r="AR13" s="114">
        <v>0</v>
      </c>
      <c r="AS13" s="114">
        <v>4.0521932797521067</v>
      </c>
      <c r="AT13" s="114">
        <f t="shared" si="20"/>
        <v>201.66666666666666</v>
      </c>
      <c r="AU13" s="114">
        <f t="shared" si="21"/>
        <v>176.83333333333334</v>
      </c>
      <c r="AV13" s="114">
        <f t="shared" si="22"/>
        <v>273</v>
      </c>
      <c r="AW13" s="114">
        <f t="shared" si="23"/>
        <v>546</v>
      </c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  <c r="IU13" s="150"/>
      <c r="IV13" s="150"/>
      <c r="IW13" s="150"/>
      <c r="IX13" s="150"/>
      <c r="IY13" s="150"/>
      <c r="IZ13" s="150"/>
      <c r="JA13" s="150"/>
      <c r="JB13" s="150"/>
      <c r="JC13" s="150"/>
      <c r="JD13" s="150"/>
      <c r="JE13" s="150"/>
      <c r="JF13" s="150"/>
      <c r="JG13" s="150"/>
      <c r="JH13" s="150"/>
      <c r="JI13" s="150"/>
      <c r="JJ13" s="150"/>
      <c r="JK13" s="150"/>
      <c r="JL13" s="150"/>
      <c r="JM13" s="150"/>
      <c r="JN13" s="150"/>
      <c r="JO13" s="150"/>
      <c r="JP13" s="150"/>
      <c r="JQ13" s="150"/>
      <c r="JR13" s="150"/>
      <c r="JS13" s="150"/>
      <c r="JT13" s="150"/>
      <c r="JU13" s="150"/>
      <c r="JV13" s="150"/>
      <c r="JW13" s="150"/>
      <c r="JX13" s="150"/>
      <c r="JY13" s="150"/>
      <c r="JZ13" s="150"/>
      <c r="KA13" s="150"/>
      <c r="KB13" s="150"/>
      <c r="KC13" s="150"/>
      <c r="KD13" s="150"/>
      <c r="KE13" s="150"/>
      <c r="KF13" s="150"/>
      <c r="KG13" s="150"/>
      <c r="KH13" s="150"/>
      <c r="KI13" s="150"/>
      <c r="KJ13" s="150"/>
      <c r="KK13" s="150"/>
      <c r="KL13" s="150"/>
      <c r="KM13" s="150"/>
      <c r="KN13" s="150"/>
      <c r="KO13" s="150"/>
      <c r="KP13" s="150"/>
      <c r="KQ13" s="150"/>
      <c r="KR13" s="150"/>
      <c r="KS13" s="150"/>
      <c r="KT13" s="150"/>
      <c r="KU13" s="150"/>
      <c r="KV13" s="150"/>
      <c r="KW13" s="150"/>
      <c r="KX13" s="150"/>
      <c r="KY13" s="150"/>
      <c r="KZ13" s="150"/>
      <c r="LA13" s="150"/>
      <c r="LB13" s="150"/>
      <c r="LC13" s="150"/>
      <c r="LD13" s="150"/>
      <c r="LE13" s="150"/>
      <c r="LF13" s="150"/>
      <c r="LG13" s="150"/>
      <c r="LH13" s="150"/>
      <c r="LI13" s="150"/>
      <c r="LJ13" s="150"/>
      <c r="LK13" s="150"/>
      <c r="LL13" s="150"/>
      <c r="LM13" s="150"/>
      <c r="LN13" s="150"/>
      <c r="LO13" s="150"/>
      <c r="LP13" s="150"/>
      <c r="LQ13" s="150"/>
      <c r="LR13" s="150"/>
      <c r="LS13" s="150"/>
      <c r="LT13" s="150"/>
      <c r="LU13" s="150"/>
      <c r="LV13" s="150"/>
      <c r="LW13" s="150"/>
      <c r="LX13" s="150"/>
      <c r="LY13" s="150"/>
      <c r="LZ13" s="150"/>
      <c r="MA13" s="150"/>
      <c r="MB13" s="150"/>
      <c r="MC13" s="150"/>
      <c r="MD13" s="150"/>
      <c r="ME13" s="150"/>
      <c r="MF13" s="150"/>
      <c r="MG13" s="150"/>
      <c r="MH13" s="150"/>
      <c r="MI13" s="150"/>
      <c r="MJ13" s="150"/>
      <c r="MK13" s="150"/>
      <c r="ML13" s="150"/>
      <c r="MM13" s="150"/>
      <c r="MN13" s="150"/>
      <c r="MO13" s="150"/>
      <c r="MP13" s="150"/>
      <c r="MQ13" s="150"/>
      <c r="MR13" s="150"/>
      <c r="MS13" s="150"/>
      <c r="MT13" s="150"/>
      <c r="MU13" s="150"/>
      <c r="MV13" s="150"/>
      <c r="MW13" s="150"/>
      <c r="MX13" s="150"/>
      <c r="MY13" s="150"/>
      <c r="MZ13" s="150"/>
      <c r="NA13" s="150"/>
      <c r="NB13" s="150"/>
      <c r="NC13" s="150"/>
      <c r="ND13" s="150"/>
      <c r="NE13" s="150"/>
      <c r="NF13" s="150"/>
      <c r="NG13" s="150"/>
      <c r="NH13" s="150"/>
      <c r="NI13" s="150"/>
      <c r="NJ13" s="150"/>
      <c r="NK13" s="150"/>
      <c r="NL13" s="150"/>
      <c r="NM13" s="150"/>
      <c r="NN13" s="150"/>
      <c r="NO13" s="150"/>
      <c r="NP13" s="150"/>
      <c r="NQ13" s="150"/>
      <c r="NR13" s="150"/>
      <c r="NS13" s="150"/>
      <c r="NT13" s="150"/>
      <c r="NU13" s="150"/>
      <c r="NV13" s="150"/>
      <c r="NW13" s="150"/>
      <c r="NX13" s="150"/>
      <c r="NY13" s="150"/>
      <c r="NZ13" s="150"/>
      <c r="OA13" s="150"/>
      <c r="OB13" s="150"/>
      <c r="OC13" s="150"/>
      <c r="OD13" s="150"/>
      <c r="OE13" s="150"/>
    </row>
    <row r="14" spans="1:395">
      <c r="A14" s="19"/>
      <c r="B14" s="17"/>
      <c r="C14" s="48">
        <v>2029</v>
      </c>
      <c r="D14" s="114">
        <v>0</v>
      </c>
      <c r="E14" s="114">
        <v>3.693730028081728</v>
      </c>
      <c r="F14" s="114">
        <f t="shared" si="0"/>
        <v>167.33333333333334</v>
      </c>
      <c r="G14" s="114">
        <f t="shared" si="1"/>
        <v>153.16666666666666</v>
      </c>
      <c r="H14" s="114">
        <f t="shared" si="2"/>
        <v>204</v>
      </c>
      <c r="I14" s="114">
        <f t="shared" si="3"/>
        <v>408</v>
      </c>
      <c r="J14" s="17"/>
      <c r="K14" s="48">
        <v>2029</v>
      </c>
      <c r="L14" s="114">
        <v>0</v>
      </c>
      <c r="M14" s="114">
        <v>3.693730028081728</v>
      </c>
      <c r="N14" s="114">
        <f t="shared" si="4"/>
        <v>205</v>
      </c>
      <c r="O14" s="114">
        <f t="shared" si="5"/>
        <v>172</v>
      </c>
      <c r="P14" s="114">
        <f t="shared" si="6"/>
        <v>307</v>
      </c>
      <c r="Q14" s="114">
        <f t="shared" si="7"/>
        <v>614</v>
      </c>
      <c r="R14" s="17"/>
      <c r="S14" s="48">
        <v>2029</v>
      </c>
      <c r="T14" s="114">
        <v>0</v>
      </c>
      <c r="U14" s="114">
        <v>3.693730028081728</v>
      </c>
      <c r="V14" s="114">
        <f t="shared" si="8"/>
        <v>164.66666666666666</v>
      </c>
      <c r="W14" s="114">
        <f t="shared" si="9"/>
        <v>143.33333333333334</v>
      </c>
      <c r="X14" s="114">
        <f t="shared" si="10"/>
        <v>227</v>
      </c>
      <c r="Y14" s="114">
        <f t="shared" si="11"/>
        <v>454</v>
      </c>
      <c r="Z14" s="17"/>
      <c r="AA14" s="48">
        <v>2029</v>
      </c>
      <c r="AB14" s="114">
        <v>0</v>
      </c>
      <c r="AC14" s="114">
        <v>3.693730028081728</v>
      </c>
      <c r="AD14" s="114">
        <f t="shared" si="12"/>
        <v>184.33333333333331</v>
      </c>
      <c r="AE14" s="114">
        <f t="shared" si="13"/>
        <v>273.16666666666669</v>
      </c>
      <c r="AF14" s="114">
        <f t="shared" si="14"/>
        <v>250</v>
      </c>
      <c r="AG14" s="114">
        <f t="shared" si="15"/>
        <v>500</v>
      </c>
      <c r="AH14" s="150"/>
      <c r="AI14" s="48">
        <v>2029</v>
      </c>
      <c r="AJ14" s="114">
        <v>0</v>
      </c>
      <c r="AK14" s="114">
        <v>3.693730028081728</v>
      </c>
      <c r="AL14" s="114">
        <f t="shared" si="16"/>
        <v>163.66666666666666</v>
      </c>
      <c r="AM14" s="114">
        <f t="shared" si="17"/>
        <v>142.83333333333334</v>
      </c>
      <c r="AN14" s="114">
        <f t="shared" si="18"/>
        <v>225</v>
      </c>
      <c r="AO14" s="114">
        <f t="shared" si="19"/>
        <v>450</v>
      </c>
      <c r="AP14" s="150"/>
      <c r="AQ14" s="48">
        <v>2029</v>
      </c>
      <c r="AR14" s="114">
        <v>0</v>
      </c>
      <c r="AS14" s="114">
        <v>3.693730028081728</v>
      </c>
      <c r="AT14" s="114">
        <f t="shared" si="20"/>
        <v>184.33333333333331</v>
      </c>
      <c r="AU14" s="114">
        <f t="shared" si="21"/>
        <v>161.66666666666666</v>
      </c>
      <c r="AV14" s="114">
        <f t="shared" si="22"/>
        <v>250</v>
      </c>
      <c r="AW14" s="114">
        <f t="shared" si="23"/>
        <v>500</v>
      </c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  <c r="IU14" s="150"/>
      <c r="IV14" s="150"/>
      <c r="IW14" s="150"/>
      <c r="IX14" s="150"/>
      <c r="IY14" s="150"/>
      <c r="IZ14" s="150"/>
      <c r="JA14" s="150"/>
      <c r="JB14" s="150"/>
      <c r="JC14" s="150"/>
      <c r="JD14" s="150"/>
      <c r="JE14" s="150"/>
      <c r="JF14" s="150"/>
      <c r="JG14" s="150"/>
      <c r="JH14" s="150"/>
      <c r="JI14" s="150"/>
      <c r="JJ14" s="150"/>
      <c r="JK14" s="150"/>
      <c r="JL14" s="150"/>
      <c r="JM14" s="150"/>
      <c r="JN14" s="150"/>
      <c r="JO14" s="150"/>
      <c r="JP14" s="150"/>
      <c r="JQ14" s="150"/>
      <c r="JR14" s="150"/>
      <c r="JS14" s="150"/>
      <c r="JT14" s="150"/>
      <c r="JU14" s="150"/>
      <c r="JV14" s="150"/>
      <c r="JW14" s="150"/>
      <c r="JX14" s="150"/>
      <c r="JY14" s="150"/>
      <c r="JZ14" s="150"/>
      <c r="KA14" s="150"/>
      <c r="KB14" s="150"/>
      <c r="KC14" s="150"/>
      <c r="KD14" s="150"/>
      <c r="KE14" s="150"/>
      <c r="KF14" s="150"/>
      <c r="KG14" s="150"/>
      <c r="KH14" s="150"/>
      <c r="KI14" s="150"/>
      <c r="KJ14" s="150"/>
      <c r="KK14" s="150"/>
      <c r="KL14" s="150"/>
      <c r="KM14" s="150"/>
      <c r="KN14" s="150"/>
      <c r="KO14" s="150"/>
      <c r="KP14" s="150"/>
      <c r="KQ14" s="150"/>
      <c r="KR14" s="150"/>
      <c r="KS14" s="150"/>
      <c r="KT14" s="150"/>
      <c r="KU14" s="150"/>
      <c r="KV14" s="150"/>
      <c r="KW14" s="150"/>
      <c r="KX14" s="150"/>
      <c r="KY14" s="150"/>
      <c r="KZ14" s="150"/>
      <c r="LA14" s="150"/>
      <c r="LB14" s="150"/>
      <c r="LC14" s="150"/>
      <c r="LD14" s="150"/>
      <c r="LE14" s="150"/>
      <c r="LF14" s="150"/>
      <c r="LG14" s="150"/>
      <c r="LH14" s="150"/>
      <c r="LI14" s="150"/>
      <c r="LJ14" s="150"/>
      <c r="LK14" s="150"/>
      <c r="LL14" s="150"/>
      <c r="LM14" s="150"/>
      <c r="LN14" s="150"/>
      <c r="LO14" s="150"/>
      <c r="LP14" s="150"/>
      <c r="LQ14" s="150"/>
      <c r="LR14" s="150"/>
      <c r="LS14" s="150"/>
      <c r="LT14" s="150"/>
      <c r="LU14" s="150"/>
      <c r="LV14" s="150"/>
      <c r="LW14" s="150"/>
      <c r="LX14" s="150"/>
      <c r="LY14" s="150"/>
      <c r="LZ14" s="150"/>
      <c r="MA14" s="150"/>
      <c r="MB14" s="150"/>
      <c r="MC14" s="150"/>
      <c r="MD14" s="150"/>
      <c r="ME14" s="150"/>
      <c r="MF14" s="150"/>
      <c r="MG14" s="150"/>
      <c r="MH14" s="150"/>
      <c r="MI14" s="150"/>
      <c r="MJ14" s="150"/>
      <c r="MK14" s="150"/>
      <c r="ML14" s="150"/>
      <c r="MM14" s="150"/>
      <c r="MN14" s="150"/>
      <c r="MO14" s="150"/>
      <c r="MP14" s="150"/>
      <c r="MQ14" s="150"/>
      <c r="MR14" s="150"/>
      <c r="MS14" s="150"/>
      <c r="MT14" s="150"/>
      <c r="MU14" s="150"/>
      <c r="MV14" s="150"/>
      <c r="MW14" s="150"/>
      <c r="MX14" s="150"/>
      <c r="MY14" s="150"/>
      <c r="MZ14" s="150"/>
      <c r="NA14" s="150"/>
      <c r="NB14" s="150"/>
      <c r="NC14" s="150"/>
      <c r="ND14" s="150"/>
      <c r="NE14" s="150"/>
      <c r="NF14" s="150"/>
      <c r="NG14" s="150"/>
      <c r="NH14" s="150"/>
      <c r="NI14" s="150"/>
      <c r="NJ14" s="150"/>
      <c r="NK14" s="150"/>
      <c r="NL14" s="150"/>
      <c r="NM14" s="150"/>
      <c r="NN14" s="150"/>
      <c r="NO14" s="150"/>
      <c r="NP14" s="150"/>
      <c r="NQ14" s="150"/>
      <c r="NR14" s="150"/>
      <c r="NS14" s="150"/>
      <c r="NT14" s="150"/>
      <c r="NU14" s="150"/>
      <c r="NV14" s="150"/>
      <c r="NW14" s="150"/>
      <c r="NX14" s="150"/>
      <c r="NY14" s="150"/>
      <c r="NZ14" s="150"/>
      <c r="OA14" s="150"/>
      <c r="OB14" s="150"/>
      <c r="OC14" s="150"/>
      <c r="OD14" s="150"/>
      <c r="OE14" s="150"/>
    </row>
    <row r="15" spans="1:395">
      <c r="A15" s="19"/>
      <c r="B15" s="17"/>
      <c r="C15" s="48">
        <v>2030</v>
      </c>
      <c r="D15" s="114">
        <v>0</v>
      </c>
      <c r="E15" s="114">
        <v>3.3196814176430722</v>
      </c>
      <c r="F15" s="114">
        <f t="shared" si="0"/>
        <v>152</v>
      </c>
      <c r="G15" s="114">
        <f t="shared" si="1"/>
        <v>139</v>
      </c>
      <c r="H15" s="114">
        <f t="shared" si="2"/>
        <v>186</v>
      </c>
      <c r="I15" s="114">
        <f t="shared" si="3"/>
        <v>372</v>
      </c>
      <c r="J15" s="17"/>
      <c r="K15" s="48">
        <v>2030</v>
      </c>
      <c r="L15" s="114">
        <v>0</v>
      </c>
      <c r="M15" s="114">
        <v>3.3196814176430722</v>
      </c>
      <c r="N15" s="114">
        <f t="shared" si="4"/>
        <v>186</v>
      </c>
      <c r="O15" s="114">
        <f t="shared" si="5"/>
        <v>156</v>
      </c>
      <c r="P15" s="114">
        <f t="shared" si="6"/>
        <v>279</v>
      </c>
      <c r="Q15" s="114">
        <f t="shared" si="7"/>
        <v>558</v>
      </c>
      <c r="R15" s="17"/>
      <c r="S15" s="48">
        <v>2030</v>
      </c>
      <c r="T15" s="114">
        <v>0</v>
      </c>
      <c r="U15" s="114">
        <v>3.3196814176430722</v>
      </c>
      <c r="V15" s="114">
        <f t="shared" si="8"/>
        <v>149.66666666666666</v>
      </c>
      <c r="W15" s="114">
        <f t="shared" si="9"/>
        <v>130.33333333333334</v>
      </c>
      <c r="X15" s="114">
        <f t="shared" si="10"/>
        <v>206</v>
      </c>
      <c r="Y15" s="114">
        <f t="shared" si="11"/>
        <v>412</v>
      </c>
      <c r="Z15" s="17"/>
      <c r="AA15" s="48">
        <v>2030</v>
      </c>
      <c r="AB15" s="114">
        <v>0</v>
      </c>
      <c r="AC15" s="114">
        <v>3.3196814176430722</v>
      </c>
      <c r="AD15" s="114">
        <f t="shared" si="12"/>
        <v>167.33333333333331</v>
      </c>
      <c r="AE15" s="114">
        <f t="shared" si="13"/>
        <v>248</v>
      </c>
      <c r="AF15" s="114">
        <f t="shared" si="14"/>
        <v>227</v>
      </c>
      <c r="AG15" s="114">
        <f t="shared" si="15"/>
        <v>454</v>
      </c>
      <c r="AH15" s="150"/>
      <c r="AI15" s="48">
        <v>2030</v>
      </c>
      <c r="AJ15" s="114">
        <v>0</v>
      </c>
      <c r="AK15" s="114">
        <v>3.3196814176430722</v>
      </c>
      <c r="AL15" s="114">
        <f t="shared" si="16"/>
        <v>149</v>
      </c>
      <c r="AM15" s="114">
        <f t="shared" si="17"/>
        <v>130</v>
      </c>
      <c r="AN15" s="114">
        <f t="shared" si="18"/>
        <v>204</v>
      </c>
      <c r="AO15" s="114">
        <f t="shared" si="19"/>
        <v>408</v>
      </c>
      <c r="AP15" s="150"/>
      <c r="AQ15" s="48">
        <v>2030</v>
      </c>
      <c r="AR15" s="114">
        <v>0</v>
      </c>
      <c r="AS15" s="114">
        <v>3.3196814176430722</v>
      </c>
      <c r="AT15" s="114">
        <f t="shared" si="20"/>
        <v>167.33333333333331</v>
      </c>
      <c r="AU15" s="114">
        <f t="shared" si="21"/>
        <v>146.66666666666666</v>
      </c>
      <c r="AV15" s="114">
        <f t="shared" si="22"/>
        <v>228</v>
      </c>
      <c r="AW15" s="114">
        <f t="shared" si="23"/>
        <v>456</v>
      </c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  <c r="IR15" s="150"/>
      <c r="IS15" s="150"/>
      <c r="IT15" s="150"/>
      <c r="IU15" s="150"/>
      <c r="IV15" s="150"/>
      <c r="IW15" s="150"/>
      <c r="IX15" s="150"/>
      <c r="IY15" s="150"/>
      <c r="IZ15" s="150"/>
      <c r="JA15" s="150"/>
      <c r="JB15" s="150"/>
      <c r="JC15" s="150"/>
      <c r="JD15" s="150"/>
      <c r="JE15" s="150"/>
      <c r="JF15" s="150"/>
      <c r="JG15" s="150"/>
      <c r="JH15" s="150"/>
      <c r="JI15" s="150"/>
      <c r="JJ15" s="150"/>
      <c r="JK15" s="150"/>
      <c r="JL15" s="150"/>
      <c r="JM15" s="150"/>
      <c r="JN15" s="150"/>
      <c r="JO15" s="150"/>
      <c r="JP15" s="150"/>
      <c r="JQ15" s="150"/>
      <c r="JR15" s="150"/>
      <c r="JS15" s="150"/>
      <c r="JT15" s="150"/>
      <c r="JU15" s="150"/>
      <c r="JV15" s="150"/>
      <c r="JW15" s="150"/>
      <c r="JX15" s="150"/>
      <c r="JY15" s="150"/>
      <c r="JZ15" s="150"/>
      <c r="KA15" s="150"/>
      <c r="KB15" s="150"/>
      <c r="KC15" s="150"/>
      <c r="KD15" s="150"/>
      <c r="KE15" s="150"/>
      <c r="KF15" s="150"/>
      <c r="KG15" s="150"/>
      <c r="KH15" s="150"/>
      <c r="KI15" s="150"/>
      <c r="KJ15" s="150"/>
      <c r="KK15" s="150"/>
      <c r="KL15" s="150"/>
      <c r="KM15" s="150"/>
      <c r="KN15" s="150"/>
      <c r="KO15" s="150"/>
      <c r="KP15" s="150"/>
      <c r="KQ15" s="150"/>
      <c r="KR15" s="150"/>
      <c r="KS15" s="150"/>
      <c r="KT15" s="150"/>
      <c r="KU15" s="150"/>
      <c r="KV15" s="150"/>
      <c r="KW15" s="150"/>
      <c r="KX15" s="150"/>
      <c r="KY15" s="150"/>
      <c r="KZ15" s="150"/>
      <c r="LA15" s="150"/>
      <c r="LB15" s="150"/>
      <c r="LC15" s="150"/>
      <c r="LD15" s="150"/>
      <c r="LE15" s="150"/>
      <c r="LF15" s="150"/>
      <c r="LG15" s="150"/>
      <c r="LH15" s="150"/>
      <c r="LI15" s="150"/>
      <c r="LJ15" s="150"/>
      <c r="LK15" s="150"/>
      <c r="LL15" s="150"/>
      <c r="LM15" s="150"/>
      <c r="LN15" s="150"/>
      <c r="LO15" s="150"/>
      <c r="LP15" s="150"/>
      <c r="LQ15" s="150"/>
      <c r="LR15" s="150"/>
      <c r="LS15" s="150"/>
      <c r="LT15" s="150"/>
      <c r="LU15" s="150"/>
      <c r="LV15" s="150"/>
      <c r="LW15" s="150"/>
      <c r="LX15" s="150"/>
      <c r="LY15" s="150"/>
      <c r="LZ15" s="150"/>
      <c r="MA15" s="150"/>
      <c r="MB15" s="150"/>
      <c r="MC15" s="150"/>
      <c r="MD15" s="150"/>
      <c r="ME15" s="150"/>
      <c r="MF15" s="150"/>
      <c r="MG15" s="150"/>
      <c r="MH15" s="150"/>
      <c r="MI15" s="150"/>
      <c r="MJ15" s="150"/>
      <c r="MK15" s="150"/>
      <c r="ML15" s="150"/>
      <c r="MM15" s="150"/>
      <c r="MN15" s="150"/>
      <c r="MO15" s="150"/>
      <c r="MP15" s="150"/>
      <c r="MQ15" s="150"/>
      <c r="MR15" s="150"/>
      <c r="MS15" s="150"/>
      <c r="MT15" s="150"/>
      <c r="MU15" s="150"/>
      <c r="MV15" s="150"/>
      <c r="MW15" s="150"/>
      <c r="MX15" s="150"/>
      <c r="MY15" s="150"/>
      <c r="MZ15" s="150"/>
      <c r="NA15" s="150"/>
      <c r="NB15" s="150"/>
      <c r="NC15" s="150"/>
      <c r="ND15" s="150"/>
      <c r="NE15" s="150"/>
      <c r="NF15" s="150"/>
      <c r="NG15" s="150"/>
      <c r="NH15" s="150"/>
      <c r="NI15" s="150"/>
      <c r="NJ15" s="150"/>
      <c r="NK15" s="150"/>
      <c r="NL15" s="150"/>
      <c r="NM15" s="150"/>
      <c r="NN15" s="150"/>
      <c r="NO15" s="150"/>
      <c r="NP15" s="150"/>
      <c r="NQ15" s="150"/>
      <c r="NR15" s="150"/>
      <c r="NS15" s="150"/>
      <c r="NT15" s="150"/>
      <c r="NU15" s="150"/>
      <c r="NV15" s="150"/>
      <c r="NW15" s="150"/>
      <c r="NX15" s="150"/>
      <c r="NY15" s="150"/>
      <c r="NZ15" s="150"/>
      <c r="OA15" s="150"/>
      <c r="OB15" s="150"/>
      <c r="OC15" s="150"/>
      <c r="OD15" s="150"/>
      <c r="OE15" s="150"/>
    </row>
    <row r="16" spans="1:395">
      <c r="A16" s="19"/>
      <c r="B16" s="17"/>
      <c r="C16" s="48">
        <v>2031</v>
      </c>
      <c r="D16" s="114">
        <v>0</v>
      </c>
      <c r="E16" s="114">
        <v>3.1794131887285757</v>
      </c>
      <c r="F16" s="114">
        <f t="shared" si="0"/>
        <v>145.66666666666666</v>
      </c>
      <c r="G16" s="114">
        <f t="shared" si="1"/>
        <v>133.33333333333334</v>
      </c>
      <c r="H16" s="114">
        <f t="shared" si="2"/>
        <v>178</v>
      </c>
      <c r="I16" s="114">
        <f t="shared" si="3"/>
        <v>356</v>
      </c>
      <c r="J16" s="17"/>
      <c r="K16" s="48">
        <v>2031</v>
      </c>
      <c r="L16" s="114">
        <v>0</v>
      </c>
      <c r="M16" s="114">
        <v>3.1794131887285757</v>
      </c>
      <c r="N16" s="114">
        <f t="shared" si="4"/>
        <v>178.66666666666666</v>
      </c>
      <c r="O16" s="114">
        <f t="shared" si="5"/>
        <v>149.83333333333334</v>
      </c>
      <c r="P16" s="114">
        <f t="shared" si="6"/>
        <v>268</v>
      </c>
      <c r="Q16" s="114">
        <f t="shared" si="7"/>
        <v>536</v>
      </c>
      <c r="R16" s="17"/>
      <c r="S16" s="48">
        <v>2031</v>
      </c>
      <c r="T16" s="114">
        <v>0</v>
      </c>
      <c r="U16" s="114">
        <v>3.1794131887285757</v>
      </c>
      <c r="V16" s="114">
        <f t="shared" si="8"/>
        <v>143</v>
      </c>
      <c r="W16" s="114">
        <f t="shared" si="9"/>
        <v>124.5</v>
      </c>
      <c r="X16" s="114">
        <f t="shared" si="10"/>
        <v>198</v>
      </c>
      <c r="Y16" s="114">
        <f t="shared" si="11"/>
        <v>396</v>
      </c>
      <c r="Z16" s="17"/>
      <c r="AA16" s="48">
        <v>2031</v>
      </c>
      <c r="AB16" s="114">
        <v>0</v>
      </c>
      <c r="AC16" s="114">
        <v>3.1794131887285757</v>
      </c>
      <c r="AD16" s="114">
        <f t="shared" si="12"/>
        <v>160.66666666666666</v>
      </c>
      <c r="AE16" s="114">
        <f t="shared" si="13"/>
        <v>238.16666666666666</v>
      </c>
      <c r="AF16" s="114">
        <f t="shared" si="14"/>
        <v>218</v>
      </c>
      <c r="AG16" s="114">
        <f t="shared" si="15"/>
        <v>436</v>
      </c>
      <c r="AH16" s="150"/>
      <c r="AI16" s="48">
        <v>2031</v>
      </c>
      <c r="AJ16" s="114">
        <v>0</v>
      </c>
      <c r="AK16" s="114">
        <v>3.1794131887285757</v>
      </c>
      <c r="AL16" s="114">
        <f t="shared" si="16"/>
        <v>142.33333333333331</v>
      </c>
      <c r="AM16" s="114">
        <f t="shared" si="17"/>
        <v>124.16666666666666</v>
      </c>
      <c r="AN16" s="114">
        <f t="shared" si="18"/>
        <v>196</v>
      </c>
      <c r="AO16" s="114">
        <f t="shared" si="19"/>
        <v>392</v>
      </c>
      <c r="AP16" s="150"/>
      <c r="AQ16" s="48">
        <v>2031</v>
      </c>
      <c r="AR16" s="114">
        <v>0</v>
      </c>
      <c r="AS16" s="114">
        <v>3.1794131887285757</v>
      </c>
      <c r="AT16" s="114">
        <f t="shared" si="20"/>
        <v>160.66666666666666</v>
      </c>
      <c r="AU16" s="114">
        <f t="shared" si="21"/>
        <v>140.83333333333334</v>
      </c>
      <c r="AV16" s="114">
        <f t="shared" si="22"/>
        <v>219</v>
      </c>
      <c r="AW16" s="114">
        <f t="shared" si="23"/>
        <v>438</v>
      </c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  <c r="IU16" s="150"/>
      <c r="IV16" s="150"/>
      <c r="IW16" s="150"/>
      <c r="IX16" s="150"/>
      <c r="IY16" s="150"/>
      <c r="IZ16" s="150"/>
      <c r="JA16" s="150"/>
      <c r="JB16" s="150"/>
      <c r="JC16" s="150"/>
      <c r="JD16" s="150"/>
      <c r="JE16" s="150"/>
      <c r="JF16" s="150"/>
      <c r="JG16" s="150"/>
      <c r="JH16" s="150"/>
      <c r="JI16" s="150"/>
      <c r="JJ16" s="150"/>
      <c r="JK16" s="150"/>
      <c r="JL16" s="150"/>
      <c r="JM16" s="150"/>
      <c r="JN16" s="150"/>
      <c r="JO16" s="150"/>
      <c r="JP16" s="150"/>
      <c r="JQ16" s="150"/>
      <c r="JR16" s="150"/>
      <c r="JS16" s="150"/>
      <c r="JT16" s="150"/>
      <c r="JU16" s="150"/>
      <c r="JV16" s="150"/>
      <c r="JW16" s="150"/>
      <c r="JX16" s="150"/>
      <c r="JY16" s="150"/>
      <c r="JZ16" s="150"/>
      <c r="KA16" s="150"/>
      <c r="KB16" s="150"/>
      <c r="KC16" s="150"/>
      <c r="KD16" s="150"/>
      <c r="KE16" s="150"/>
      <c r="KF16" s="150"/>
      <c r="KG16" s="150"/>
      <c r="KH16" s="150"/>
      <c r="KI16" s="150"/>
      <c r="KJ16" s="150"/>
      <c r="KK16" s="150"/>
      <c r="KL16" s="150"/>
      <c r="KM16" s="150"/>
      <c r="KN16" s="150"/>
      <c r="KO16" s="150"/>
      <c r="KP16" s="150"/>
      <c r="KQ16" s="150"/>
      <c r="KR16" s="150"/>
      <c r="KS16" s="150"/>
      <c r="KT16" s="150"/>
      <c r="KU16" s="150"/>
      <c r="KV16" s="150"/>
      <c r="KW16" s="150"/>
      <c r="KX16" s="150"/>
      <c r="KY16" s="150"/>
      <c r="KZ16" s="150"/>
      <c r="LA16" s="150"/>
      <c r="LB16" s="150"/>
      <c r="LC16" s="150"/>
      <c r="LD16" s="150"/>
      <c r="LE16" s="150"/>
      <c r="LF16" s="150"/>
      <c r="LG16" s="150"/>
      <c r="LH16" s="150"/>
      <c r="LI16" s="150"/>
      <c r="LJ16" s="150"/>
      <c r="LK16" s="150"/>
      <c r="LL16" s="150"/>
      <c r="LM16" s="150"/>
      <c r="LN16" s="150"/>
      <c r="LO16" s="150"/>
      <c r="LP16" s="150"/>
      <c r="LQ16" s="150"/>
      <c r="LR16" s="150"/>
      <c r="LS16" s="150"/>
      <c r="LT16" s="150"/>
      <c r="LU16" s="150"/>
      <c r="LV16" s="150"/>
      <c r="LW16" s="150"/>
      <c r="LX16" s="150"/>
      <c r="LY16" s="150"/>
      <c r="LZ16" s="150"/>
      <c r="MA16" s="150"/>
      <c r="MB16" s="150"/>
      <c r="MC16" s="150"/>
      <c r="MD16" s="150"/>
      <c r="ME16" s="150"/>
      <c r="MF16" s="150"/>
      <c r="MG16" s="150"/>
      <c r="MH16" s="150"/>
      <c r="MI16" s="150"/>
      <c r="MJ16" s="150"/>
      <c r="MK16" s="150"/>
      <c r="ML16" s="150"/>
      <c r="MM16" s="150"/>
      <c r="MN16" s="150"/>
      <c r="MO16" s="150"/>
      <c r="MP16" s="150"/>
      <c r="MQ16" s="150"/>
      <c r="MR16" s="150"/>
      <c r="MS16" s="150"/>
      <c r="MT16" s="150"/>
      <c r="MU16" s="150"/>
      <c r="MV16" s="150"/>
      <c r="MW16" s="150"/>
      <c r="MX16" s="150"/>
      <c r="MY16" s="150"/>
      <c r="MZ16" s="150"/>
      <c r="NA16" s="150"/>
      <c r="NB16" s="150"/>
      <c r="NC16" s="150"/>
      <c r="ND16" s="150"/>
      <c r="NE16" s="150"/>
      <c r="NF16" s="150"/>
      <c r="NG16" s="150"/>
      <c r="NH16" s="150"/>
      <c r="NI16" s="150"/>
      <c r="NJ16" s="150"/>
      <c r="NK16" s="150"/>
      <c r="NL16" s="150"/>
      <c r="NM16" s="150"/>
      <c r="NN16" s="150"/>
      <c r="NO16" s="150"/>
      <c r="NP16" s="150"/>
      <c r="NQ16" s="150"/>
      <c r="NR16" s="150"/>
      <c r="NS16" s="150"/>
      <c r="NT16" s="150"/>
      <c r="NU16" s="150"/>
      <c r="NV16" s="150"/>
      <c r="NW16" s="150"/>
      <c r="NX16" s="150"/>
      <c r="NY16" s="150"/>
      <c r="NZ16" s="150"/>
      <c r="OA16" s="150"/>
      <c r="OB16" s="150"/>
      <c r="OC16" s="150"/>
      <c r="OD16" s="150"/>
      <c r="OE16" s="150"/>
    </row>
    <row r="17" spans="1:395">
      <c r="A17" s="19"/>
      <c r="B17" s="17"/>
      <c r="C17" s="48">
        <v>2032</v>
      </c>
      <c r="D17" s="114">
        <v>0</v>
      </c>
      <c r="E17" s="114">
        <v>3.0391449598140796</v>
      </c>
      <c r="F17" s="114">
        <f t="shared" si="0"/>
        <v>139.66666666666666</v>
      </c>
      <c r="G17" s="114">
        <f t="shared" si="1"/>
        <v>127.83333333333333</v>
      </c>
      <c r="H17" s="114">
        <f t="shared" si="2"/>
        <v>171</v>
      </c>
      <c r="I17" s="114">
        <f t="shared" si="3"/>
        <v>342</v>
      </c>
      <c r="J17" s="17"/>
      <c r="K17" s="48">
        <v>2032</v>
      </c>
      <c r="L17" s="114">
        <v>0</v>
      </c>
      <c r="M17" s="114">
        <v>3.0391449598140796</v>
      </c>
      <c r="N17" s="114">
        <f t="shared" si="4"/>
        <v>171.33333333333331</v>
      </c>
      <c r="O17" s="114">
        <f t="shared" si="5"/>
        <v>143.66666666666666</v>
      </c>
      <c r="P17" s="114">
        <f t="shared" si="6"/>
        <v>256</v>
      </c>
      <c r="Q17" s="114">
        <f t="shared" si="7"/>
        <v>512</v>
      </c>
      <c r="R17" s="17"/>
      <c r="S17" s="48">
        <v>2032</v>
      </c>
      <c r="T17" s="114">
        <v>0</v>
      </c>
      <c r="U17" s="114">
        <v>3.0391449598140796</v>
      </c>
      <c r="V17" s="114">
        <f t="shared" si="8"/>
        <v>137.66666666666666</v>
      </c>
      <c r="W17" s="114">
        <f t="shared" si="9"/>
        <v>119.83333333333333</v>
      </c>
      <c r="X17" s="114">
        <f t="shared" si="10"/>
        <v>190</v>
      </c>
      <c r="Y17" s="114">
        <f t="shared" si="11"/>
        <v>380</v>
      </c>
      <c r="Z17" s="17"/>
      <c r="AA17" s="48">
        <v>2032</v>
      </c>
      <c r="AB17" s="114">
        <v>0</v>
      </c>
      <c r="AC17" s="114">
        <v>3.0391449598140796</v>
      </c>
      <c r="AD17" s="114">
        <f t="shared" si="12"/>
        <v>154</v>
      </c>
      <c r="AE17" s="114">
        <f t="shared" si="13"/>
        <v>228.33333333333334</v>
      </c>
      <c r="AF17" s="114">
        <f t="shared" si="14"/>
        <v>209</v>
      </c>
      <c r="AG17" s="114">
        <f t="shared" si="15"/>
        <v>418</v>
      </c>
      <c r="AH17" s="150"/>
      <c r="AI17" s="48">
        <v>2032</v>
      </c>
      <c r="AJ17" s="114">
        <v>0</v>
      </c>
      <c r="AK17" s="114">
        <v>3.0391449598140796</v>
      </c>
      <c r="AL17" s="114">
        <f t="shared" si="16"/>
        <v>137</v>
      </c>
      <c r="AM17" s="114">
        <f t="shared" si="17"/>
        <v>119.5</v>
      </c>
      <c r="AN17" s="114">
        <f t="shared" si="18"/>
        <v>188</v>
      </c>
      <c r="AO17" s="114">
        <f t="shared" si="19"/>
        <v>376</v>
      </c>
      <c r="AP17" s="150"/>
      <c r="AQ17" s="48">
        <v>2032</v>
      </c>
      <c r="AR17" s="114">
        <v>0</v>
      </c>
      <c r="AS17" s="114">
        <v>3.0391449598140796</v>
      </c>
      <c r="AT17" s="114">
        <f t="shared" si="20"/>
        <v>154</v>
      </c>
      <c r="AU17" s="114">
        <f t="shared" si="21"/>
        <v>135</v>
      </c>
      <c r="AV17" s="114">
        <f t="shared" si="22"/>
        <v>210</v>
      </c>
      <c r="AW17" s="114">
        <f t="shared" si="23"/>
        <v>420</v>
      </c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  <c r="IR17" s="150"/>
      <c r="IS17" s="150"/>
      <c r="IT17" s="150"/>
      <c r="IU17" s="150"/>
      <c r="IV17" s="150"/>
      <c r="IW17" s="150"/>
      <c r="IX17" s="150"/>
      <c r="IY17" s="150"/>
      <c r="IZ17" s="150"/>
      <c r="JA17" s="150"/>
      <c r="JB17" s="150"/>
      <c r="JC17" s="150"/>
      <c r="JD17" s="150"/>
      <c r="JE17" s="150"/>
      <c r="JF17" s="150"/>
      <c r="JG17" s="150"/>
      <c r="JH17" s="150"/>
      <c r="JI17" s="150"/>
      <c r="JJ17" s="150"/>
      <c r="JK17" s="150"/>
      <c r="JL17" s="150"/>
      <c r="JM17" s="150"/>
      <c r="JN17" s="150"/>
      <c r="JO17" s="150"/>
      <c r="JP17" s="150"/>
      <c r="JQ17" s="150"/>
      <c r="JR17" s="150"/>
      <c r="JS17" s="150"/>
      <c r="JT17" s="150"/>
      <c r="JU17" s="150"/>
      <c r="JV17" s="150"/>
      <c r="JW17" s="150"/>
      <c r="JX17" s="150"/>
      <c r="JY17" s="150"/>
      <c r="JZ17" s="150"/>
      <c r="KA17" s="150"/>
      <c r="KB17" s="150"/>
      <c r="KC17" s="150"/>
      <c r="KD17" s="150"/>
      <c r="KE17" s="150"/>
      <c r="KF17" s="150"/>
      <c r="KG17" s="150"/>
      <c r="KH17" s="150"/>
      <c r="KI17" s="150"/>
      <c r="KJ17" s="150"/>
      <c r="KK17" s="150"/>
      <c r="KL17" s="150"/>
      <c r="KM17" s="150"/>
      <c r="KN17" s="150"/>
      <c r="KO17" s="150"/>
      <c r="KP17" s="150"/>
      <c r="KQ17" s="150"/>
      <c r="KR17" s="150"/>
      <c r="KS17" s="150"/>
      <c r="KT17" s="150"/>
      <c r="KU17" s="150"/>
      <c r="KV17" s="150"/>
      <c r="KW17" s="150"/>
      <c r="KX17" s="150"/>
      <c r="KY17" s="150"/>
      <c r="KZ17" s="150"/>
      <c r="LA17" s="150"/>
      <c r="LB17" s="150"/>
      <c r="LC17" s="150"/>
      <c r="LD17" s="150"/>
      <c r="LE17" s="150"/>
      <c r="LF17" s="150"/>
      <c r="LG17" s="150"/>
      <c r="LH17" s="150"/>
      <c r="LI17" s="150"/>
      <c r="LJ17" s="150"/>
      <c r="LK17" s="150"/>
      <c r="LL17" s="150"/>
      <c r="LM17" s="150"/>
      <c r="LN17" s="150"/>
      <c r="LO17" s="150"/>
      <c r="LP17" s="150"/>
      <c r="LQ17" s="150"/>
      <c r="LR17" s="150"/>
      <c r="LS17" s="150"/>
      <c r="LT17" s="150"/>
      <c r="LU17" s="150"/>
      <c r="LV17" s="150"/>
      <c r="LW17" s="150"/>
      <c r="LX17" s="150"/>
      <c r="LY17" s="150"/>
      <c r="LZ17" s="150"/>
      <c r="MA17" s="150"/>
      <c r="MB17" s="150"/>
      <c r="MC17" s="150"/>
      <c r="MD17" s="150"/>
      <c r="ME17" s="150"/>
      <c r="MF17" s="150"/>
      <c r="MG17" s="150"/>
      <c r="MH17" s="150"/>
      <c r="MI17" s="150"/>
      <c r="MJ17" s="150"/>
      <c r="MK17" s="150"/>
      <c r="ML17" s="150"/>
      <c r="MM17" s="150"/>
      <c r="MN17" s="150"/>
      <c r="MO17" s="150"/>
      <c r="MP17" s="150"/>
      <c r="MQ17" s="150"/>
      <c r="MR17" s="150"/>
      <c r="MS17" s="150"/>
      <c r="MT17" s="150"/>
      <c r="MU17" s="150"/>
      <c r="MV17" s="150"/>
      <c r="MW17" s="150"/>
      <c r="MX17" s="150"/>
      <c r="MY17" s="150"/>
      <c r="MZ17" s="150"/>
      <c r="NA17" s="150"/>
      <c r="NB17" s="150"/>
      <c r="NC17" s="150"/>
      <c r="ND17" s="150"/>
      <c r="NE17" s="150"/>
      <c r="NF17" s="150"/>
      <c r="NG17" s="150"/>
      <c r="NH17" s="150"/>
      <c r="NI17" s="150"/>
      <c r="NJ17" s="150"/>
      <c r="NK17" s="150"/>
      <c r="NL17" s="150"/>
      <c r="NM17" s="150"/>
      <c r="NN17" s="150"/>
      <c r="NO17" s="150"/>
      <c r="NP17" s="150"/>
      <c r="NQ17" s="150"/>
      <c r="NR17" s="150"/>
      <c r="NS17" s="150"/>
      <c r="NT17" s="150"/>
      <c r="NU17" s="150"/>
      <c r="NV17" s="150"/>
      <c r="NW17" s="150"/>
      <c r="NX17" s="150"/>
      <c r="NY17" s="150"/>
      <c r="NZ17" s="150"/>
      <c r="OA17" s="150"/>
      <c r="OB17" s="150"/>
      <c r="OC17" s="150"/>
      <c r="OD17" s="150"/>
      <c r="OE17" s="150"/>
    </row>
    <row r="18" spans="1:395">
      <c r="A18" s="19"/>
      <c r="B18" s="17"/>
      <c r="C18" s="48">
        <v>2033</v>
      </c>
      <c r="D18" s="114">
        <v>0</v>
      </c>
      <c r="E18" s="114">
        <v>2.898876730899584</v>
      </c>
      <c r="F18" s="114">
        <f t="shared" si="0"/>
        <v>133.66666666666666</v>
      </c>
      <c r="G18" s="114">
        <f t="shared" si="1"/>
        <v>122.33333333333333</v>
      </c>
      <c r="H18" s="114">
        <f t="shared" si="2"/>
        <v>163</v>
      </c>
      <c r="I18" s="114">
        <f t="shared" si="3"/>
        <v>326</v>
      </c>
      <c r="J18" s="17"/>
      <c r="K18" s="48">
        <v>2033</v>
      </c>
      <c r="L18" s="114">
        <v>0</v>
      </c>
      <c r="M18" s="114">
        <v>2.898876730899584</v>
      </c>
      <c r="N18" s="114">
        <f t="shared" si="4"/>
        <v>163.66666666666666</v>
      </c>
      <c r="O18" s="114">
        <f t="shared" si="5"/>
        <v>137.33333333333334</v>
      </c>
      <c r="P18" s="114">
        <f t="shared" si="6"/>
        <v>245</v>
      </c>
      <c r="Q18" s="114">
        <f t="shared" si="7"/>
        <v>490</v>
      </c>
      <c r="R18" s="17"/>
      <c r="S18" s="48">
        <v>2033</v>
      </c>
      <c r="T18" s="114">
        <v>0</v>
      </c>
      <c r="U18" s="114">
        <v>2.898876730899584</v>
      </c>
      <c r="V18" s="114">
        <f t="shared" si="8"/>
        <v>131</v>
      </c>
      <c r="W18" s="114">
        <f t="shared" si="9"/>
        <v>114</v>
      </c>
      <c r="X18" s="114">
        <f t="shared" si="10"/>
        <v>181</v>
      </c>
      <c r="Y18" s="114">
        <f t="shared" si="11"/>
        <v>362</v>
      </c>
      <c r="Z18" s="17"/>
      <c r="AA18" s="48">
        <v>2033</v>
      </c>
      <c r="AB18" s="114">
        <v>0</v>
      </c>
      <c r="AC18" s="114">
        <v>2.898876730899584</v>
      </c>
      <c r="AD18" s="114">
        <f t="shared" si="12"/>
        <v>147.33333333333331</v>
      </c>
      <c r="AE18" s="114">
        <f t="shared" si="13"/>
        <v>218.5</v>
      </c>
      <c r="AF18" s="114">
        <f t="shared" si="14"/>
        <v>200</v>
      </c>
      <c r="AG18" s="114">
        <f t="shared" si="15"/>
        <v>400</v>
      </c>
      <c r="AH18" s="150"/>
      <c r="AI18" s="48">
        <v>2033</v>
      </c>
      <c r="AJ18" s="114">
        <v>0</v>
      </c>
      <c r="AK18" s="114">
        <v>2.898876730899584</v>
      </c>
      <c r="AL18" s="114">
        <f t="shared" si="16"/>
        <v>130.33333333333331</v>
      </c>
      <c r="AM18" s="114">
        <f t="shared" si="17"/>
        <v>113.66666666666666</v>
      </c>
      <c r="AN18" s="114">
        <f t="shared" si="18"/>
        <v>180</v>
      </c>
      <c r="AO18" s="114">
        <f t="shared" si="19"/>
        <v>360</v>
      </c>
      <c r="AP18" s="150"/>
      <c r="AQ18" s="48">
        <v>2033</v>
      </c>
      <c r="AR18" s="114">
        <v>0</v>
      </c>
      <c r="AS18" s="114">
        <v>2.898876730899584</v>
      </c>
      <c r="AT18" s="114">
        <f t="shared" si="20"/>
        <v>147.33333333333331</v>
      </c>
      <c r="AU18" s="114">
        <f t="shared" si="21"/>
        <v>129.16666666666666</v>
      </c>
      <c r="AV18" s="114">
        <f t="shared" si="22"/>
        <v>200</v>
      </c>
      <c r="AW18" s="114">
        <f t="shared" si="23"/>
        <v>400</v>
      </c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  <c r="IR18" s="150"/>
      <c r="IS18" s="150"/>
      <c r="IT18" s="150"/>
      <c r="IU18" s="150"/>
      <c r="IV18" s="150"/>
      <c r="IW18" s="150"/>
      <c r="IX18" s="150"/>
      <c r="IY18" s="150"/>
      <c r="IZ18" s="150"/>
      <c r="JA18" s="150"/>
      <c r="JB18" s="150"/>
      <c r="JC18" s="150"/>
      <c r="JD18" s="150"/>
      <c r="JE18" s="150"/>
      <c r="JF18" s="150"/>
      <c r="JG18" s="150"/>
      <c r="JH18" s="150"/>
      <c r="JI18" s="150"/>
      <c r="JJ18" s="150"/>
      <c r="JK18" s="150"/>
      <c r="JL18" s="150"/>
      <c r="JM18" s="150"/>
      <c r="JN18" s="150"/>
      <c r="JO18" s="150"/>
      <c r="JP18" s="150"/>
      <c r="JQ18" s="150"/>
      <c r="JR18" s="150"/>
      <c r="JS18" s="150"/>
      <c r="JT18" s="150"/>
      <c r="JU18" s="150"/>
      <c r="JV18" s="150"/>
      <c r="JW18" s="150"/>
      <c r="JX18" s="150"/>
      <c r="JY18" s="150"/>
      <c r="JZ18" s="150"/>
      <c r="KA18" s="150"/>
      <c r="KB18" s="150"/>
      <c r="KC18" s="150"/>
      <c r="KD18" s="150"/>
      <c r="KE18" s="150"/>
      <c r="KF18" s="150"/>
      <c r="KG18" s="150"/>
      <c r="KH18" s="150"/>
      <c r="KI18" s="150"/>
      <c r="KJ18" s="150"/>
      <c r="KK18" s="150"/>
      <c r="KL18" s="150"/>
      <c r="KM18" s="150"/>
      <c r="KN18" s="150"/>
      <c r="KO18" s="150"/>
      <c r="KP18" s="150"/>
      <c r="KQ18" s="150"/>
      <c r="KR18" s="150"/>
      <c r="KS18" s="150"/>
      <c r="KT18" s="150"/>
      <c r="KU18" s="150"/>
      <c r="KV18" s="150"/>
      <c r="KW18" s="150"/>
      <c r="KX18" s="150"/>
      <c r="KY18" s="150"/>
      <c r="KZ18" s="150"/>
      <c r="LA18" s="150"/>
      <c r="LB18" s="150"/>
      <c r="LC18" s="150"/>
      <c r="LD18" s="150"/>
      <c r="LE18" s="150"/>
      <c r="LF18" s="150"/>
      <c r="LG18" s="150"/>
      <c r="LH18" s="150"/>
      <c r="LI18" s="150"/>
      <c r="LJ18" s="150"/>
      <c r="LK18" s="150"/>
      <c r="LL18" s="150"/>
      <c r="LM18" s="150"/>
      <c r="LN18" s="150"/>
      <c r="LO18" s="150"/>
      <c r="LP18" s="150"/>
      <c r="LQ18" s="150"/>
      <c r="LR18" s="150"/>
      <c r="LS18" s="150"/>
      <c r="LT18" s="150"/>
      <c r="LU18" s="150"/>
      <c r="LV18" s="150"/>
      <c r="LW18" s="150"/>
      <c r="LX18" s="150"/>
      <c r="LY18" s="150"/>
      <c r="LZ18" s="150"/>
      <c r="MA18" s="150"/>
      <c r="MB18" s="150"/>
      <c r="MC18" s="150"/>
      <c r="MD18" s="150"/>
      <c r="ME18" s="150"/>
      <c r="MF18" s="150"/>
      <c r="MG18" s="150"/>
      <c r="MH18" s="150"/>
      <c r="MI18" s="150"/>
      <c r="MJ18" s="150"/>
      <c r="MK18" s="150"/>
      <c r="ML18" s="150"/>
      <c r="MM18" s="150"/>
      <c r="MN18" s="150"/>
      <c r="MO18" s="150"/>
      <c r="MP18" s="150"/>
      <c r="MQ18" s="150"/>
      <c r="MR18" s="150"/>
      <c r="MS18" s="150"/>
      <c r="MT18" s="150"/>
      <c r="MU18" s="150"/>
      <c r="MV18" s="150"/>
      <c r="MW18" s="150"/>
      <c r="MX18" s="150"/>
      <c r="MY18" s="150"/>
      <c r="MZ18" s="150"/>
      <c r="NA18" s="150"/>
      <c r="NB18" s="150"/>
      <c r="NC18" s="150"/>
      <c r="ND18" s="150"/>
      <c r="NE18" s="150"/>
      <c r="NF18" s="150"/>
      <c r="NG18" s="150"/>
      <c r="NH18" s="150"/>
      <c r="NI18" s="150"/>
      <c r="NJ18" s="150"/>
      <c r="NK18" s="150"/>
      <c r="NL18" s="150"/>
      <c r="NM18" s="150"/>
      <c r="NN18" s="150"/>
      <c r="NO18" s="150"/>
      <c r="NP18" s="150"/>
      <c r="NQ18" s="150"/>
      <c r="NR18" s="150"/>
      <c r="NS18" s="150"/>
      <c r="NT18" s="150"/>
      <c r="NU18" s="150"/>
      <c r="NV18" s="150"/>
      <c r="NW18" s="150"/>
      <c r="NX18" s="150"/>
      <c r="NY18" s="150"/>
      <c r="NZ18" s="150"/>
      <c r="OA18" s="150"/>
      <c r="OB18" s="150"/>
      <c r="OC18" s="150"/>
      <c r="OD18" s="150"/>
      <c r="OE18" s="150"/>
    </row>
    <row r="19" spans="1:395">
      <c r="A19" s="19"/>
      <c r="B19" s="17"/>
      <c r="C19" s="48">
        <v>2034</v>
      </c>
      <c r="D19" s="114">
        <v>0</v>
      </c>
      <c r="E19" s="114">
        <v>2.7586085019850879</v>
      </c>
      <c r="F19" s="114">
        <f t="shared" si="0"/>
        <v>127.66666666666666</v>
      </c>
      <c r="G19" s="114">
        <f t="shared" si="1"/>
        <v>116.83333333333333</v>
      </c>
      <c r="H19" s="114">
        <f t="shared" si="2"/>
        <v>156</v>
      </c>
      <c r="I19" s="114">
        <f t="shared" si="3"/>
        <v>312</v>
      </c>
      <c r="J19" s="17"/>
      <c r="K19" s="48">
        <v>2034</v>
      </c>
      <c r="L19" s="114">
        <v>0</v>
      </c>
      <c r="M19" s="114">
        <v>2.7586085019850879</v>
      </c>
      <c r="N19" s="114">
        <f t="shared" si="4"/>
        <v>156.33333333333331</v>
      </c>
      <c r="O19" s="114">
        <f t="shared" si="5"/>
        <v>131.16666666666666</v>
      </c>
      <c r="P19" s="114">
        <f t="shared" si="6"/>
        <v>234</v>
      </c>
      <c r="Q19" s="114">
        <f t="shared" si="7"/>
        <v>468</v>
      </c>
      <c r="R19" s="17"/>
      <c r="S19" s="48">
        <v>2034</v>
      </c>
      <c r="T19" s="114">
        <v>0</v>
      </c>
      <c r="U19" s="114">
        <v>2.7586085019850879</v>
      </c>
      <c r="V19" s="114">
        <f t="shared" si="8"/>
        <v>125.33333333333333</v>
      </c>
      <c r="W19" s="114">
        <f t="shared" si="9"/>
        <v>109.16666666666666</v>
      </c>
      <c r="X19" s="114">
        <f t="shared" si="10"/>
        <v>173</v>
      </c>
      <c r="Y19" s="114">
        <f t="shared" si="11"/>
        <v>346</v>
      </c>
      <c r="Z19" s="17"/>
      <c r="AA19" s="48">
        <v>2034</v>
      </c>
      <c r="AB19" s="114">
        <v>0</v>
      </c>
      <c r="AC19" s="114">
        <v>2.7586085019850879</v>
      </c>
      <c r="AD19" s="114">
        <f t="shared" si="12"/>
        <v>140.66666666666666</v>
      </c>
      <c r="AE19" s="114">
        <f t="shared" si="13"/>
        <v>208.66666666666666</v>
      </c>
      <c r="AF19" s="114">
        <f t="shared" si="14"/>
        <v>191</v>
      </c>
      <c r="AG19" s="114">
        <f t="shared" si="15"/>
        <v>382</v>
      </c>
      <c r="AH19" s="150"/>
      <c r="AI19" s="48">
        <v>2034</v>
      </c>
      <c r="AJ19" s="114">
        <v>0</v>
      </c>
      <c r="AK19" s="114">
        <v>2.7586085019850879</v>
      </c>
      <c r="AL19" s="114">
        <f t="shared" si="16"/>
        <v>125</v>
      </c>
      <c r="AM19" s="114">
        <f t="shared" si="17"/>
        <v>109</v>
      </c>
      <c r="AN19" s="114">
        <f t="shared" si="18"/>
        <v>172</v>
      </c>
      <c r="AO19" s="114">
        <f t="shared" si="19"/>
        <v>344</v>
      </c>
      <c r="AP19" s="150"/>
      <c r="AQ19" s="48">
        <v>2034</v>
      </c>
      <c r="AR19" s="114">
        <v>0</v>
      </c>
      <c r="AS19" s="114">
        <v>2.7586085019850879</v>
      </c>
      <c r="AT19" s="114">
        <f t="shared" si="20"/>
        <v>140.66666666666666</v>
      </c>
      <c r="AU19" s="114">
        <f t="shared" si="21"/>
        <v>123.33333333333333</v>
      </c>
      <c r="AV19" s="114">
        <f t="shared" si="22"/>
        <v>191</v>
      </c>
      <c r="AW19" s="114">
        <f t="shared" si="23"/>
        <v>382</v>
      </c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  <c r="IR19" s="150"/>
      <c r="IS19" s="150"/>
      <c r="IT19" s="150"/>
      <c r="IU19" s="150"/>
      <c r="IV19" s="150"/>
      <c r="IW19" s="150"/>
      <c r="IX19" s="150"/>
      <c r="IY19" s="150"/>
      <c r="IZ19" s="150"/>
      <c r="JA19" s="150"/>
      <c r="JB19" s="150"/>
      <c r="JC19" s="150"/>
      <c r="JD19" s="150"/>
      <c r="JE19" s="150"/>
      <c r="JF19" s="150"/>
      <c r="JG19" s="150"/>
      <c r="JH19" s="150"/>
      <c r="JI19" s="150"/>
      <c r="JJ19" s="150"/>
      <c r="JK19" s="150"/>
      <c r="JL19" s="150"/>
      <c r="JM19" s="150"/>
      <c r="JN19" s="150"/>
      <c r="JO19" s="150"/>
      <c r="JP19" s="150"/>
      <c r="JQ19" s="150"/>
      <c r="JR19" s="150"/>
      <c r="JS19" s="150"/>
      <c r="JT19" s="150"/>
      <c r="JU19" s="150"/>
      <c r="JV19" s="150"/>
      <c r="JW19" s="150"/>
      <c r="JX19" s="150"/>
      <c r="JY19" s="150"/>
      <c r="JZ19" s="150"/>
      <c r="KA19" s="150"/>
      <c r="KB19" s="150"/>
      <c r="KC19" s="150"/>
      <c r="KD19" s="150"/>
      <c r="KE19" s="150"/>
      <c r="KF19" s="150"/>
      <c r="KG19" s="150"/>
      <c r="KH19" s="150"/>
      <c r="KI19" s="150"/>
      <c r="KJ19" s="150"/>
      <c r="KK19" s="150"/>
      <c r="KL19" s="150"/>
      <c r="KM19" s="150"/>
      <c r="KN19" s="150"/>
      <c r="KO19" s="150"/>
      <c r="KP19" s="150"/>
      <c r="KQ19" s="150"/>
      <c r="KR19" s="150"/>
      <c r="KS19" s="150"/>
      <c r="KT19" s="150"/>
      <c r="KU19" s="150"/>
      <c r="KV19" s="150"/>
      <c r="KW19" s="150"/>
      <c r="KX19" s="150"/>
      <c r="KY19" s="150"/>
      <c r="KZ19" s="150"/>
      <c r="LA19" s="150"/>
      <c r="LB19" s="150"/>
      <c r="LC19" s="150"/>
      <c r="LD19" s="150"/>
      <c r="LE19" s="150"/>
      <c r="LF19" s="150"/>
      <c r="LG19" s="150"/>
      <c r="LH19" s="150"/>
      <c r="LI19" s="150"/>
      <c r="LJ19" s="150"/>
      <c r="LK19" s="150"/>
      <c r="LL19" s="150"/>
      <c r="LM19" s="150"/>
      <c r="LN19" s="150"/>
      <c r="LO19" s="150"/>
      <c r="LP19" s="150"/>
      <c r="LQ19" s="150"/>
      <c r="LR19" s="150"/>
      <c r="LS19" s="150"/>
      <c r="LT19" s="150"/>
      <c r="LU19" s="150"/>
      <c r="LV19" s="150"/>
      <c r="LW19" s="150"/>
      <c r="LX19" s="150"/>
      <c r="LY19" s="150"/>
      <c r="LZ19" s="150"/>
      <c r="MA19" s="150"/>
      <c r="MB19" s="150"/>
      <c r="MC19" s="150"/>
      <c r="MD19" s="150"/>
      <c r="ME19" s="150"/>
      <c r="MF19" s="150"/>
      <c r="MG19" s="150"/>
      <c r="MH19" s="150"/>
      <c r="MI19" s="150"/>
      <c r="MJ19" s="150"/>
      <c r="MK19" s="150"/>
      <c r="ML19" s="150"/>
      <c r="MM19" s="150"/>
      <c r="MN19" s="150"/>
      <c r="MO19" s="150"/>
      <c r="MP19" s="150"/>
      <c r="MQ19" s="150"/>
      <c r="MR19" s="150"/>
      <c r="MS19" s="150"/>
      <c r="MT19" s="150"/>
      <c r="MU19" s="150"/>
      <c r="MV19" s="150"/>
      <c r="MW19" s="150"/>
      <c r="MX19" s="150"/>
      <c r="MY19" s="150"/>
      <c r="MZ19" s="150"/>
      <c r="NA19" s="150"/>
      <c r="NB19" s="150"/>
      <c r="NC19" s="150"/>
      <c r="ND19" s="150"/>
      <c r="NE19" s="150"/>
      <c r="NF19" s="150"/>
      <c r="NG19" s="150"/>
      <c r="NH19" s="150"/>
      <c r="NI19" s="150"/>
      <c r="NJ19" s="150"/>
      <c r="NK19" s="150"/>
      <c r="NL19" s="150"/>
      <c r="NM19" s="150"/>
      <c r="NN19" s="150"/>
      <c r="NO19" s="150"/>
      <c r="NP19" s="150"/>
      <c r="NQ19" s="150"/>
      <c r="NR19" s="150"/>
      <c r="NS19" s="150"/>
      <c r="NT19" s="150"/>
      <c r="NU19" s="150"/>
      <c r="NV19" s="150"/>
      <c r="NW19" s="150"/>
      <c r="NX19" s="150"/>
      <c r="NY19" s="150"/>
      <c r="NZ19" s="150"/>
      <c r="OA19" s="150"/>
      <c r="OB19" s="150"/>
      <c r="OC19" s="150"/>
      <c r="OD19" s="150"/>
      <c r="OE19" s="150"/>
    </row>
    <row r="20" spans="1:395">
      <c r="A20" s="19"/>
      <c r="B20" s="17"/>
      <c r="C20" s="48">
        <v>2035</v>
      </c>
      <c r="D20" s="114">
        <v>0</v>
      </c>
      <c r="E20" s="114">
        <v>2.6183402730705918</v>
      </c>
      <c r="F20" s="114">
        <f t="shared" si="0"/>
        <v>121.66666666666666</v>
      </c>
      <c r="G20" s="114">
        <f t="shared" si="1"/>
        <v>111.33333333333333</v>
      </c>
      <c r="H20" s="114">
        <f t="shared" si="2"/>
        <v>148</v>
      </c>
      <c r="I20" s="114">
        <f t="shared" si="3"/>
        <v>296</v>
      </c>
      <c r="J20" s="17"/>
      <c r="K20" s="48">
        <v>2035</v>
      </c>
      <c r="L20" s="114">
        <v>0</v>
      </c>
      <c r="M20" s="114">
        <v>2.6183402730705918</v>
      </c>
      <c r="N20" s="114">
        <f t="shared" si="4"/>
        <v>149</v>
      </c>
      <c r="O20" s="114">
        <f t="shared" si="5"/>
        <v>125</v>
      </c>
      <c r="P20" s="114">
        <f t="shared" si="6"/>
        <v>223</v>
      </c>
      <c r="Q20" s="114">
        <f t="shared" si="7"/>
        <v>446</v>
      </c>
      <c r="R20" s="17"/>
      <c r="S20" s="48">
        <v>2035</v>
      </c>
      <c r="T20" s="114">
        <v>0</v>
      </c>
      <c r="U20" s="114">
        <v>2.6183402730705918</v>
      </c>
      <c r="V20" s="114">
        <f t="shared" si="8"/>
        <v>119</v>
      </c>
      <c r="W20" s="114">
        <f t="shared" si="9"/>
        <v>103.5</v>
      </c>
      <c r="X20" s="114">
        <f t="shared" si="10"/>
        <v>165</v>
      </c>
      <c r="Y20" s="114">
        <f t="shared" si="11"/>
        <v>330</v>
      </c>
      <c r="Z20" s="17"/>
      <c r="AA20" s="48">
        <v>2035</v>
      </c>
      <c r="AB20" s="114">
        <v>0</v>
      </c>
      <c r="AC20" s="114">
        <v>2.6183402730705918</v>
      </c>
      <c r="AD20" s="114">
        <f t="shared" si="12"/>
        <v>134</v>
      </c>
      <c r="AE20" s="114">
        <f t="shared" si="13"/>
        <v>198.83333333333334</v>
      </c>
      <c r="AF20" s="114">
        <f t="shared" si="14"/>
        <v>182</v>
      </c>
      <c r="AG20" s="114">
        <f t="shared" si="15"/>
        <v>364</v>
      </c>
      <c r="AH20" s="150"/>
      <c r="AI20" s="48">
        <v>2035</v>
      </c>
      <c r="AJ20" s="114">
        <v>0</v>
      </c>
      <c r="AK20" s="114">
        <v>2.6183402730705918</v>
      </c>
      <c r="AL20" s="114">
        <f t="shared" si="16"/>
        <v>118.33333333333333</v>
      </c>
      <c r="AM20" s="114">
        <f t="shared" si="17"/>
        <v>103.16666666666667</v>
      </c>
      <c r="AN20" s="114">
        <f t="shared" si="18"/>
        <v>163</v>
      </c>
      <c r="AO20" s="114">
        <f t="shared" si="19"/>
        <v>326</v>
      </c>
      <c r="AP20" s="150"/>
      <c r="AQ20" s="48">
        <v>2035</v>
      </c>
      <c r="AR20" s="114">
        <v>0</v>
      </c>
      <c r="AS20" s="114">
        <v>2.6183402730705918</v>
      </c>
      <c r="AT20" s="114">
        <f t="shared" si="20"/>
        <v>134</v>
      </c>
      <c r="AU20" s="114">
        <f t="shared" si="21"/>
        <v>117.5</v>
      </c>
      <c r="AV20" s="114">
        <f t="shared" si="22"/>
        <v>182</v>
      </c>
      <c r="AW20" s="114">
        <f t="shared" si="23"/>
        <v>364</v>
      </c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  <c r="IS20" s="150"/>
      <c r="IT20" s="150"/>
      <c r="IU20" s="150"/>
      <c r="IV20" s="150"/>
      <c r="IW20" s="150"/>
      <c r="IX20" s="150"/>
      <c r="IY20" s="150"/>
      <c r="IZ20" s="150"/>
      <c r="JA20" s="150"/>
      <c r="JB20" s="150"/>
      <c r="JC20" s="150"/>
      <c r="JD20" s="150"/>
      <c r="JE20" s="150"/>
      <c r="JF20" s="150"/>
      <c r="JG20" s="150"/>
      <c r="JH20" s="150"/>
      <c r="JI20" s="150"/>
      <c r="JJ20" s="150"/>
      <c r="JK20" s="150"/>
      <c r="JL20" s="150"/>
      <c r="JM20" s="150"/>
      <c r="JN20" s="150"/>
      <c r="JO20" s="150"/>
      <c r="JP20" s="150"/>
      <c r="JQ20" s="150"/>
      <c r="JR20" s="150"/>
      <c r="JS20" s="150"/>
      <c r="JT20" s="150"/>
      <c r="JU20" s="150"/>
      <c r="JV20" s="150"/>
      <c r="JW20" s="150"/>
      <c r="JX20" s="150"/>
      <c r="JY20" s="150"/>
      <c r="JZ20" s="150"/>
      <c r="KA20" s="150"/>
      <c r="KB20" s="150"/>
      <c r="KC20" s="150"/>
      <c r="KD20" s="150"/>
      <c r="KE20" s="150"/>
      <c r="KF20" s="150"/>
      <c r="KG20" s="150"/>
      <c r="KH20" s="150"/>
      <c r="KI20" s="150"/>
      <c r="KJ20" s="150"/>
      <c r="KK20" s="150"/>
      <c r="KL20" s="150"/>
      <c r="KM20" s="150"/>
      <c r="KN20" s="150"/>
      <c r="KO20" s="150"/>
      <c r="KP20" s="150"/>
      <c r="KQ20" s="150"/>
      <c r="KR20" s="150"/>
      <c r="KS20" s="150"/>
      <c r="KT20" s="150"/>
      <c r="KU20" s="150"/>
      <c r="KV20" s="150"/>
      <c r="KW20" s="150"/>
      <c r="KX20" s="150"/>
      <c r="KY20" s="150"/>
      <c r="KZ20" s="150"/>
      <c r="LA20" s="150"/>
      <c r="LB20" s="150"/>
      <c r="LC20" s="150"/>
      <c r="LD20" s="150"/>
      <c r="LE20" s="150"/>
      <c r="LF20" s="150"/>
      <c r="LG20" s="150"/>
      <c r="LH20" s="150"/>
      <c r="LI20" s="150"/>
      <c r="LJ20" s="150"/>
      <c r="LK20" s="150"/>
      <c r="LL20" s="150"/>
      <c r="LM20" s="150"/>
      <c r="LN20" s="150"/>
      <c r="LO20" s="150"/>
      <c r="LP20" s="150"/>
      <c r="LQ20" s="150"/>
      <c r="LR20" s="150"/>
      <c r="LS20" s="150"/>
      <c r="LT20" s="150"/>
      <c r="LU20" s="150"/>
      <c r="LV20" s="150"/>
      <c r="LW20" s="150"/>
      <c r="LX20" s="150"/>
      <c r="LY20" s="150"/>
      <c r="LZ20" s="150"/>
      <c r="MA20" s="150"/>
      <c r="MB20" s="150"/>
      <c r="MC20" s="150"/>
      <c r="MD20" s="150"/>
      <c r="ME20" s="150"/>
      <c r="MF20" s="150"/>
      <c r="MG20" s="150"/>
      <c r="MH20" s="150"/>
      <c r="MI20" s="150"/>
      <c r="MJ20" s="150"/>
      <c r="MK20" s="150"/>
      <c r="ML20" s="150"/>
      <c r="MM20" s="150"/>
      <c r="MN20" s="150"/>
      <c r="MO20" s="150"/>
      <c r="MP20" s="150"/>
      <c r="MQ20" s="150"/>
      <c r="MR20" s="150"/>
      <c r="MS20" s="150"/>
      <c r="MT20" s="150"/>
      <c r="MU20" s="150"/>
      <c r="MV20" s="150"/>
      <c r="MW20" s="150"/>
      <c r="MX20" s="150"/>
      <c r="MY20" s="150"/>
      <c r="MZ20" s="150"/>
      <c r="NA20" s="150"/>
      <c r="NB20" s="150"/>
      <c r="NC20" s="150"/>
      <c r="ND20" s="150"/>
      <c r="NE20" s="150"/>
      <c r="NF20" s="150"/>
      <c r="NG20" s="150"/>
      <c r="NH20" s="150"/>
      <c r="NI20" s="150"/>
      <c r="NJ20" s="150"/>
      <c r="NK20" s="150"/>
      <c r="NL20" s="150"/>
      <c r="NM20" s="150"/>
      <c r="NN20" s="150"/>
      <c r="NO20" s="150"/>
      <c r="NP20" s="150"/>
      <c r="NQ20" s="150"/>
      <c r="NR20" s="150"/>
      <c r="NS20" s="150"/>
      <c r="NT20" s="150"/>
      <c r="NU20" s="150"/>
      <c r="NV20" s="150"/>
      <c r="NW20" s="150"/>
      <c r="NX20" s="150"/>
      <c r="NY20" s="150"/>
      <c r="NZ20" s="150"/>
      <c r="OA20" s="150"/>
      <c r="OB20" s="150"/>
      <c r="OC20" s="150"/>
      <c r="OD20" s="150"/>
      <c r="OE20" s="150"/>
    </row>
    <row r="21" spans="1:395">
      <c r="A21" s="19"/>
      <c r="B21" s="17"/>
      <c r="C21" s="48">
        <v>2036</v>
      </c>
      <c r="D21" s="114">
        <v>0</v>
      </c>
      <c r="E21" s="114">
        <v>2.4780720441560953</v>
      </c>
      <c r="F21" s="114">
        <f t="shared" si="0"/>
        <v>115.66666666666666</v>
      </c>
      <c r="G21" s="114">
        <f t="shared" si="1"/>
        <v>105.83333333333333</v>
      </c>
      <c r="H21" s="114">
        <f t="shared" si="2"/>
        <v>141</v>
      </c>
      <c r="I21" s="114">
        <f t="shared" si="3"/>
        <v>282</v>
      </c>
      <c r="J21" s="17"/>
      <c r="K21" s="48">
        <v>2036</v>
      </c>
      <c r="L21" s="114">
        <v>0</v>
      </c>
      <c r="M21" s="114">
        <v>2.4780720441560953</v>
      </c>
      <c r="N21" s="114">
        <f t="shared" si="4"/>
        <v>141.66666666666666</v>
      </c>
      <c r="O21" s="114">
        <f t="shared" si="5"/>
        <v>118.83333333333333</v>
      </c>
      <c r="P21" s="114">
        <f t="shared" si="6"/>
        <v>212</v>
      </c>
      <c r="Q21" s="114">
        <f t="shared" si="7"/>
        <v>424</v>
      </c>
      <c r="R21" s="17"/>
      <c r="S21" s="48">
        <v>2036</v>
      </c>
      <c r="T21" s="114">
        <v>0</v>
      </c>
      <c r="U21" s="114">
        <v>2.4780720441560953</v>
      </c>
      <c r="V21" s="114">
        <f t="shared" si="8"/>
        <v>113.33333333333333</v>
      </c>
      <c r="W21" s="114">
        <f t="shared" si="9"/>
        <v>98.666666666666671</v>
      </c>
      <c r="X21" s="114">
        <f t="shared" si="10"/>
        <v>157</v>
      </c>
      <c r="Y21" s="114">
        <f t="shared" si="11"/>
        <v>314</v>
      </c>
      <c r="Z21" s="17"/>
      <c r="AA21" s="48">
        <v>2036</v>
      </c>
      <c r="AB21" s="114">
        <v>0</v>
      </c>
      <c r="AC21" s="114">
        <v>2.4780720441560953</v>
      </c>
      <c r="AD21" s="114">
        <f t="shared" si="12"/>
        <v>127.33333333333333</v>
      </c>
      <c r="AE21" s="114">
        <f t="shared" si="13"/>
        <v>189</v>
      </c>
      <c r="AF21" s="114">
        <f t="shared" si="14"/>
        <v>173</v>
      </c>
      <c r="AG21" s="114">
        <f t="shared" si="15"/>
        <v>346</v>
      </c>
      <c r="AH21" s="150"/>
      <c r="AI21" s="48">
        <v>2036</v>
      </c>
      <c r="AJ21" s="114">
        <v>0</v>
      </c>
      <c r="AK21" s="114">
        <v>2.4780720441560953</v>
      </c>
      <c r="AL21" s="114">
        <f t="shared" si="16"/>
        <v>113</v>
      </c>
      <c r="AM21" s="114">
        <f t="shared" si="17"/>
        <v>98.5</v>
      </c>
      <c r="AN21" s="114">
        <f t="shared" si="18"/>
        <v>155</v>
      </c>
      <c r="AO21" s="114">
        <f t="shared" si="19"/>
        <v>310</v>
      </c>
      <c r="AP21" s="150"/>
      <c r="AQ21" s="48">
        <v>2036</v>
      </c>
      <c r="AR21" s="114">
        <v>0</v>
      </c>
      <c r="AS21" s="114">
        <v>2.4780720441560953</v>
      </c>
      <c r="AT21" s="114">
        <f t="shared" si="20"/>
        <v>127.33333333333333</v>
      </c>
      <c r="AU21" s="114">
        <f t="shared" si="21"/>
        <v>111.66666666666667</v>
      </c>
      <c r="AV21" s="114">
        <f t="shared" si="22"/>
        <v>173</v>
      </c>
      <c r="AW21" s="114">
        <f t="shared" si="23"/>
        <v>346</v>
      </c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0"/>
      <c r="FG21" s="15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  <c r="IU21" s="150"/>
      <c r="IV21" s="150"/>
      <c r="IW21" s="150"/>
      <c r="IX21" s="150"/>
      <c r="IY21" s="150"/>
      <c r="IZ21" s="150"/>
      <c r="JA21" s="150"/>
      <c r="JB21" s="150"/>
      <c r="JC21" s="150"/>
      <c r="JD21" s="150"/>
      <c r="JE21" s="150"/>
      <c r="JF21" s="150"/>
      <c r="JG21" s="150"/>
      <c r="JH21" s="150"/>
      <c r="JI21" s="150"/>
      <c r="JJ21" s="150"/>
      <c r="JK21" s="150"/>
      <c r="JL21" s="150"/>
      <c r="JM21" s="150"/>
      <c r="JN21" s="150"/>
      <c r="JO21" s="150"/>
      <c r="JP21" s="150"/>
      <c r="JQ21" s="150"/>
      <c r="JR21" s="150"/>
      <c r="JS21" s="150"/>
      <c r="JT21" s="150"/>
      <c r="JU21" s="150"/>
      <c r="JV21" s="150"/>
      <c r="JW21" s="150"/>
      <c r="JX21" s="150"/>
      <c r="JY21" s="150"/>
      <c r="JZ21" s="150"/>
      <c r="KA21" s="150"/>
      <c r="KB21" s="150"/>
      <c r="KC21" s="150"/>
      <c r="KD21" s="150"/>
      <c r="KE21" s="150"/>
      <c r="KF21" s="150"/>
      <c r="KG21" s="150"/>
      <c r="KH21" s="150"/>
      <c r="KI21" s="150"/>
      <c r="KJ21" s="150"/>
      <c r="KK21" s="150"/>
      <c r="KL21" s="150"/>
      <c r="KM21" s="150"/>
      <c r="KN21" s="150"/>
      <c r="KO21" s="150"/>
      <c r="KP21" s="150"/>
      <c r="KQ21" s="150"/>
      <c r="KR21" s="150"/>
      <c r="KS21" s="150"/>
      <c r="KT21" s="150"/>
      <c r="KU21" s="150"/>
      <c r="KV21" s="150"/>
      <c r="KW21" s="150"/>
      <c r="KX21" s="150"/>
      <c r="KY21" s="150"/>
      <c r="KZ21" s="150"/>
      <c r="LA21" s="150"/>
      <c r="LB21" s="150"/>
      <c r="LC21" s="150"/>
      <c r="LD21" s="150"/>
      <c r="LE21" s="150"/>
      <c r="LF21" s="150"/>
      <c r="LG21" s="150"/>
      <c r="LH21" s="150"/>
      <c r="LI21" s="150"/>
      <c r="LJ21" s="150"/>
      <c r="LK21" s="150"/>
      <c r="LL21" s="150"/>
      <c r="LM21" s="150"/>
      <c r="LN21" s="150"/>
      <c r="LO21" s="150"/>
      <c r="LP21" s="150"/>
      <c r="LQ21" s="150"/>
      <c r="LR21" s="150"/>
      <c r="LS21" s="150"/>
      <c r="LT21" s="150"/>
      <c r="LU21" s="150"/>
      <c r="LV21" s="150"/>
      <c r="LW21" s="150"/>
      <c r="LX21" s="150"/>
      <c r="LY21" s="150"/>
      <c r="LZ21" s="150"/>
      <c r="MA21" s="150"/>
      <c r="MB21" s="150"/>
      <c r="MC21" s="150"/>
      <c r="MD21" s="150"/>
      <c r="ME21" s="150"/>
      <c r="MF21" s="150"/>
      <c r="MG21" s="150"/>
      <c r="MH21" s="150"/>
      <c r="MI21" s="150"/>
      <c r="MJ21" s="150"/>
      <c r="MK21" s="150"/>
      <c r="ML21" s="150"/>
      <c r="MM21" s="150"/>
      <c r="MN21" s="150"/>
      <c r="MO21" s="150"/>
      <c r="MP21" s="150"/>
      <c r="MQ21" s="150"/>
      <c r="MR21" s="150"/>
      <c r="MS21" s="150"/>
      <c r="MT21" s="150"/>
      <c r="MU21" s="150"/>
      <c r="MV21" s="150"/>
      <c r="MW21" s="150"/>
      <c r="MX21" s="150"/>
      <c r="MY21" s="150"/>
      <c r="MZ21" s="150"/>
      <c r="NA21" s="150"/>
      <c r="NB21" s="150"/>
      <c r="NC21" s="150"/>
      <c r="ND21" s="150"/>
      <c r="NE21" s="150"/>
      <c r="NF21" s="150"/>
      <c r="NG21" s="150"/>
      <c r="NH21" s="150"/>
      <c r="NI21" s="150"/>
      <c r="NJ21" s="150"/>
      <c r="NK21" s="150"/>
      <c r="NL21" s="150"/>
      <c r="NM21" s="150"/>
      <c r="NN21" s="150"/>
      <c r="NO21" s="150"/>
      <c r="NP21" s="150"/>
      <c r="NQ21" s="150"/>
      <c r="NR21" s="150"/>
      <c r="NS21" s="150"/>
      <c r="NT21" s="150"/>
      <c r="NU21" s="150"/>
      <c r="NV21" s="150"/>
      <c r="NW21" s="150"/>
      <c r="NX21" s="150"/>
      <c r="NY21" s="150"/>
      <c r="NZ21" s="150"/>
      <c r="OA21" s="150"/>
      <c r="OB21" s="150"/>
      <c r="OC21" s="150"/>
      <c r="OD21" s="150"/>
      <c r="OE21" s="150"/>
    </row>
    <row r="22" spans="1:395">
      <c r="A22" s="19"/>
      <c r="B22" s="17"/>
      <c r="C22" s="48">
        <v>2037</v>
      </c>
      <c r="D22" s="114">
        <v>0</v>
      </c>
      <c r="E22" s="114">
        <v>2.3378038152416001</v>
      </c>
      <c r="F22" s="114">
        <f t="shared" si="0"/>
        <v>109.66666666666666</v>
      </c>
      <c r="G22" s="114">
        <f t="shared" si="1"/>
        <v>100.33333333333333</v>
      </c>
      <c r="H22" s="114">
        <f t="shared" si="2"/>
        <v>134</v>
      </c>
      <c r="I22" s="114">
        <f t="shared" si="3"/>
        <v>268</v>
      </c>
      <c r="J22" s="17"/>
      <c r="K22" s="48">
        <v>2037</v>
      </c>
      <c r="L22" s="114">
        <v>0</v>
      </c>
      <c r="M22" s="114">
        <v>2.3378038152416001</v>
      </c>
      <c r="N22" s="114">
        <f t="shared" si="4"/>
        <v>134.33333333333331</v>
      </c>
      <c r="O22" s="114">
        <f t="shared" si="5"/>
        <v>112.66666666666666</v>
      </c>
      <c r="P22" s="114">
        <f t="shared" si="6"/>
        <v>201</v>
      </c>
      <c r="Q22" s="114">
        <f t="shared" si="7"/>
        <v>402</v>
      </c>
      <c r="R22" s="17"/>
      <c r="S22" s="48">
        <v>2037</v>
      </c>
      <c r="T22" s="114">
        <v>0</v>
      </c>
      <c r="U22" s="114">
        <v>2.3378038152416001</v>
      </c>
      <c r="V22" s="114">
        <f t="shared" si="8"/>
        <v>108</v>
      </c>
      <c r="W22" s="114">
        <f t="shared" si="9"/>
        <v>94</v>
      </c>
      <c r="X22" s="114">
        <f t="shared" si="10"/>
        <v>148</v>
      </c>
      <c r="Y22" s="114">
        <f t="shared" si="11"/>
        <v>296</v>
      </c>
      <c r="Z22" s="17"/>
      <c r="AA22" s="48">
        <v>2037</v>
      </c>
      <c r="AB22" s="114">
        <v>0</v>
      </c>
      <c r="AC22" s="114">
        <v>2.3378038152416001</v>
      </c>
      <c r="AD22" s="114">
        <f t="shared" si="12"/>
        <v>120.66666666666666</v>
      </c>
      <c r="AE22" s="114">
        <f t="shared" si="13"/>
        <v>179.16666666666666</v>
      </c>
      <c r="AF22" s="114">
        <f t="shared" si="14"/>
        <v>164</v>
      </c>
      <c r="AG22" s="114">
        <f t="shared" si="15"/>
        <v>328</v>
      </c>
      <c r="AH22" s="150"/>
      <c r="AI22" s="48">
        <v>2037</v>
      </c>
      <c r="AJ22" s="114">
        <v>0</v>
      </c>
      <c r="AK22" s="114">
        <v>2.3378038152416001</v>
      </c>
      <c r="AL22" s="114">
        <f t="shared" si="16"/>
        <v>107.33333333333333</v>
      </c>
      <c r="AM22" s="114">
        <f t="shared" si="17"/>
        <v>93.666666666666671</v>
      </c>
      <c r="AN22" s="114">
        <f t="shared" si="18"/>
        <v>147</v>
      </c>
      <c r="AO22" s="114">
        <f t="shared" si="19"/>
        <v>294</v>
      </c>
      <c r="AP22" s="150"/>
      <c r="AQ22" s="48">
        <v>2037</v>
      </c>
      <c r="AR22" s="114">
        <v>0</v>
      </c>
      <c r="AS22" s="114">
        <v>2.3378038152416001</v>
      </c>
      <c r="AT22" s="114">
        <f t="shared" si="20"/>
        <v>120.66666666666666</v>
      </c>
      <c r="AU22" s="114">
        <f t="shared" si="21"/>
        <v>105.83333333333333</v>
      </c>
      <c r="AV22" s="114">
        <f t="shared" si="22"/>
        <v>164</v>
      </c>
      <c r="AW22" s="114">
        <f t="shared" si="23"/>
        <v>328</v>
      </c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  <c r="IU22" s="150"/>
      <c r="IV22" s="150"/>
      <c r="IW22" s="150"/>
      <c r="IX22" s="150"/>
      <c r="IY22" s="150"/>
      <c r="IZ22" s="150"/>
      <c r="JA22" s="150"/>
      <c r="JB22" s="150"/>
      <c r="JC22" s="150"/>
      <c r="JD22" s="150"/>
      <c r="JE22" s="150"/>
      <c r="JF22" s="150"/>
      <c r="JG22" s="150"/>
      <c r="JH22" s="150"/>
      <c r="JI22" s="150"/>
      <c r="JJ22" s="150"/>
      <c r="JK22" s="150"/>
      <c r="JL22" s="150"/>
      <c r="JM22" s="150"/>
      <c r="JN22" s="150"/>
      <c r="JO22" s="150"/>
      <c r="JP22" s="150"/>
      <c r="JQ22" s="150"/>
      <c r="JR22" s="150"/>
      <c r="JS22" s="150"/>
      <c r="JT22" s="150"/>
      <c r="JU22" s="150"/>
      <c r="JV22" s="150"/>
      <c r="JW22" s="150"/>
      <c r="JX22" s="150"/>
      <c r="JY22" s="150"/>
      <c r="JZ22" s="150"/>
      <c r="KA22" s="150"/>
      <c r="KB22" s="150"/>
      <c r="KC22" s="150"/>
      <c r="KD22" s="150"/>
      <c r="KE22" s="150"/>
      <c r="KF22" s="150"/>
      <c r="KG22" s="150"/>
      <c r="KH22" s="150"/>
      <c r="KI22" s="150"/>
      <c r="KJ22" s="150"/>
      <c r="KK22" s="150"/>
      <c r="KL22" s="150"/>
      <c r="KM22" s="150"/>
      <c r="KN22" s="150"/>
      <c r="KO22" s="150"/>
      <c r="KP22" s="150"/>
      <c r="KQ22" s="150"/>
      <c r="KR22" s="150"/>
      <c r="KS22" s="150"/>
      <c r="KT22" s="150"/>
      <c r="KU22" s="150"/>
      <c r="KV22" s="150"/>
      <c r="KW22" s="150"/>
      <c r="KX22" s="150"/>
      <c r="KY22" s="150"/>
      <c r="KZ22" s="150"/>
      <c r="LA22" s="150"/>
      <c r="LB22" s="150"/>
      <c r="LC22" s="150"/>
      <c r="LD22" s="150"/>
      <c r="LE22" s="150"/>
      <c r="LF22" s="150"/>
      <c r="LG22" s="150"/>
      <c r="LH22" s="150"/>
      <c r="LI22" s="150"/>
      <c r="LJ22" s="150"/>
      <c r="LK22" s="150"/>
      <c r="LL22" s="150"/>
      <c r="LM22" s="150"/>
      <c r="LN22" s="150"/>
      <c r="LO22" s="150"/>
      <c r="LP22" s="150"/>
      <c r="LQ22" s="150"/>
      <c r="LR22" s="150"/>
      <c r="LS22" s="150"/>
      <c r="LT22" s="150"/>
      <c r="LU22" s="150"/>
      <c r="LV22" s="150"/>
      <c r="LW22" s="150"/>
      <c r="LX22" s="150"/>
      <c r="LY22" s="150"/>
      <c r="LZ22" s="150"/>
      <c r="MA22" s="150"/>
      <c r="MB22" s="150"/>
      <c r="MC22" s="150"/>
      <c r="MD22" s="150"/>
      <c r="ME22" s="150"/>
      <c r="MF22" s="150"/>
      <c r="MG22" s="150"/>
      <c r="MH22" s="150"/>
      <c r="MI22" s="150"/>
      <c r="MJ22" s="150"/>
      <c r="MK22" s="150"/>
      <c r="ML22" s="150"/>
      <c r="MM22" s="150"/>
      <c r="MN22" s="150"/>
      <c r="MO22" s="150"/>
      <c r="MP22" s="150"/>
      <c r="MQ22" s="150"/>
      <c r="MR22" s="150"/>
      <c r="MS22" s="150"/>
      <c r="MT22" s="150"/>
      <c r="MU22" s="150"/>
      <c r="MV22" s="150"/>
      <c r="MW22" s="150"/>
      <c r="MX22" s="150"/>
      <c r="MY22" s="150"/>
      <c r="MZ22" s="150"/>
      <c r="NA22" s="150"/>
      <c r="NB22" s="150"/>
      <c r="NC22" s="150"/>
      <c r="ND22" s="150"/>
      <c r="NE22" s="150"/>
      <c r="NF22" s="150"/>
      <c r="NG22" s="150"/>
      <c r="NH22" s="150"/>
      <c r="NI22" s="150"/>
      <c r="NJ22" s="150"/>
      <c r="NK22" s="150"/>
      <c r="NL22" s="150"/>
      <c r="NM22" s="150"/>
      <c r="NN22" s="150"/>
      <c r="NO22" s="150"/>
      <c r="NP22" s="150"/>
      <c r="NQ22" s="150"/>
      <c r="NR22" s="150"/>
      <c r="NS22" s="150"/>
      <c r="NT22" s="150"/>
      <c r="NU22" s="150"/>
      <c r="NV22" s="150"/>
      <c r="NW22" s="150"/>
      <c r="NX22" s="150"/>
      <c r="NY22" s="150"/>
      <c r="NZ22" s="150"/>
      <c r="OA22" s="150"/>
      <c r="OB22" s="150"/>
      <c r="OC22" s="150"/>
      <c r="OD22" s="150"/>
      <c r="OE22" s="150"/>
    </row>
    <row r="23" spans="1:395">
      <c r="A23" s="19"/>
      <c r="B23" s="17"/>
      <c r="C23" s="48">
        <v>2038</v>
      </c>
      <c r="D23" s="114">
        <v>0</v>
      </c>
      <c r="E23" s="114">
        <v>2.1975355863271036</v>
      </c>
      <c r="F23" s="114">
        <f t="shared" si="0"/>
        <v>103.66666666666666</v>
      </c>
      <c r="G23" s="114">
        <f t="shared" si="1"/>
        <v>94.833333333333329</v>
      </c>
      <c r="H23" s="114">
        <f t="shared" si="2"/>
        <v>126</v>
      </c>
      <c r="I23" s="114">
        <f t="shared" si="3"/>
        <v>252</v>
      </c>
      <c r="J23" s="17"/>
      <c r="K23" s="48">
        <v>2038</v>
      </c>
      <c r="L23" s="114">
        <v>0</v>
      </c>
      <c r="M23" s="114">
        <v>2.1975355863271036</v>
      </c>
      <c r="N23" s="114">
        <f t="shared" si="4"/>
        <v>126.66666666666666</v>
      </c>
      <c r="O23" s="114">
        <f t="shared" si="5"/>
        <v>106.33333333333333</v>
      </c>
      <c r="P23" s="114">
        <f t="shared" si="6"/>
        <v>190</v>
      </c>
      <c r="Q23" s="114">
        <f t="shared" si="7"/>
        <v>380</v>
      </c>
      <c r="R23" s="17"/>
      <c r="S23" s="48">
        <v>2038</v>
      </c>
      <c r="T23" s="114">
        <v>0</v>
      </c>
      <c r="U23" s="114">
        <v>2.1975355863271036</v>
      </c>
      <c r="V23" s="114">
        <f t="shared" si="8"/>
        <v>101.33333333333333</v>
      </c>
      <c r="W23" s="114">
        <f t="shared" si="9"/>
        <v>88.166666666666671</v>
      </c>
      <c r="X23" s="114">
        <f t="shared" si="10"/>
        <v>140</v>
      </c>
      <c r="Y23" s="114">
        <f t="shared" si="11"/>
        <v>280</v>
      </c>
      <c r="Z23" s="17"/>
      <c r="AA23" s="48">
        <v>2038</v>
      </c>
      <c r="AB23" s="114">
        <v>0</v>
      </c>
      <c r="AC23" s="114">
        <v>2.1975355863271036</v>
      </c>
      <c r="AD23" s="114">
        <f t="shared" si="12"/>
        <v>114</v>
      </c>
      <c r="AE23" s="114">
        <f t="shared" si="13"/>
        <v>169.33333333333334</v>
      </c>
      <c r="AF23" s="114">
        <f t="shared" si="14"/>
        <v>155</v>
      </c>
      <c r="AG23" s="114">
        <f t="shared" si="15"/>
        <v>310</v>
      </c>
      <c r="AH23" s="150"/>
      <c r="AI23" s="48">
        <v>2038</v>
      </c>
      <c r="AJ23" s="114">
        <v>0</v>
      </c>
      <c r="AK23" s="114">
        <v>2.1975355863271036</v>
      </c>
      <c r="AL23" s="114">
        <f t="shared" si="16"/>
        <v>101</v>
      </c>
      <c r="AM23" s="114">
        <f t="shared" si="17"/>
        <v>88</v>
      </c>
      <c r="AN23" s="114">
        <f t="shared" si="18"/>
        <v>139</v>
      </c>
      <c r="AO23" s="114">
        <f t="shared" si="19"/>
        <v>278</v>
      </c>
      <c r="AP23" s="150"/>
      <c r="AQ23" s="48">
        <v>2038</v>
      </c>
      <c r="AR23" s="114">
        <v>0</v>
      </c>
      <c r="AS23" s="114">
        <v>2.1975355863271036</v>
      </c>
      <c r="AT23" s="114">
        <f t="shared" si="20"/>
        <v>114</v>
      </c>
      <c r="AU23" s="114">
        <f t="shared" si="21"/>
        <v>100</v>
      </c>
      <c r="AV23" s="114">
        <f t="shared" si="22"/>
        <v>155</v>
      </c>
      <c r="AW23" s="114">
        <f t="shared" si="23"/>
        <v>310</v>
      </c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  <c r="IU23" s="150"/>
      <c r="IV23" s="150"/>
      <c r="IW23" s="150"/>
      <c r="IX23" s="150"/>
      <c r="IY23" s="150"/>
      <c r="IZ23" s="150"/>
      <c r="JA23" s="150"/>
      <c r="JB23" s="150"/>
      <c r="JC23" s="150"/>
      <c r="JD23" s="150"/>
      <c r="JE23" s="150"/>
      <c r="JF23" s="150"/>
      <c r="JG23" s="150"/>
      <c r="JH23" s="150"/>
      <c r="JI23" s="150"/>
      <c r="JJ23" s="150"/>
      <c r="JK23" s="150"/>
      <c r="JL23" s="150"/>
      <c r="JM23" s="150"/>
      <c r="JN23" s="150"/>
      <c r="JO23" s="150"/>
      <c r="JP23" s="150"/>
      <c r="JQ23" s="150"/>
      <c r="JR23" s="150"/>
      <c r="JS23" s="150"/>
      <c r="JT23" s="150"/>
      <c r="JU23" s="150"/>
      <c r="JV23" s="150"/>
      <c r="JW23" s="150"/>
      <c r="JX23" s="150"/>
      <c r="JY23" s="150"/>
      <c r="JZ23" s="150"/>
      <c r="KA23" s="150"/>
      <c r="KB23" s="150"/>
      <c r="KC23" s="150"/>
      <c r="KD23" s="150"/>
      <c r="KE23" s="150"/>
      <c r="KF23" s="150"/>
      <c r="KG23" s="150"/>
      <c r="KH23" s="150"/>
      <c r="KI23" s="150"/>
      <c r="KJ23" s="150"/>
      <c r="KK23" s="150"/>
      <c r="KL23" s="150"/>
      <c r="KM23" s="150"/>
      <c r="KN23" s="150"/>
      <c r="KO23" s="150"/>
      <c r="KP23" s="150"/>
      <c r="KQ23" s="150"/>
      <c r="KR23" s="150"/>
      <c r="KS23" s="150"/>
      <c r="KT23" s="150"/>
      <c r="KU23" s="150"/>
      <c r="KV23" s="150"/>
      <c r="KW23" s="150"/>
      <c r="KX23" s="150"/>
      <c r="KY23" s="150"/>
      <c r="KZ23" s="150"/>
      <c r="LA23" s="150"/>
      <c r="LB23" s="150"/>
      <c r="LC23" s="150"/>
      <c r="LD23" s="150"/>
      <c r="LE23" s="150"/>
      <c r="LF23" s="150"/>
      <c r="LG23" s="150"/>
      <c r="LH23" s="150"/>
      <c r="LI23" s="150"/>
      <c r="LJ23" s="150"/>
      <c r="LK23" s="150"/>
      <c r="LL23" s="150"/>
      <c r="LM23" s="150"/>
      <c r="LN23" s="150"/>
      <c r="LO23" s="150"/>
      <c r="LP23" s="150"/>
      <c r="LQ23" s="150"/>
      <c r="LR23" s="150"/>
      <c r="LS23" s="150"/>
      <c r="LT23" s="150"/>
      <c r="LU23" s="150"/>
      <c r="LV23" s="150"/>
      <c r="LW23" s="150"/>
      <c r="LX23" s="150"/>
      <c r="LY23" s="150"/>
      <c r="LZ23" s="150"/>
      <c r="MA23" s="150"/>
      <c r="MB23" s="150"/>
      <c r="MC23" s="150"/>
      <c r="MD23" s="150"/>
      <c r="ME23" s="150"/>
      <c r="MF23" s="150"/>
      <c r="MG23" s="150"/>
      <c r="MH23" s="150"/>
      <c r="MI23" s="150"/>
      <c r="MJ23" s="150"/>
      <c r="MK23" s="150"/>
      <c r="ML23" s="150"/>
      <c r="MM23" s="150"/>
      <c r="MN23" s="150"/>
      <c r="MO23" s="150"/>
      <c r="MP23" s="150"/>
      <c r="MQ23" s="150"/>
      <c r="MR23" s="150"/>
      <c r="MS23" s="150"/>
      <c r="MT23" s="150"/>
      <c r="MU23" s="150"/>
      <c r="MV23" s="150"/>
      <c r="MW23" s="150"/>
      <c r="MX23" s="150"/>
      <c r="MY23" s="150"/>
      <c r="MZ23" s="150"/>
      <c r="NA23" s="150"/>
      <c r="NB23" s="150"/>
      <c r="NC23" s="150"/>
      <c r="ND23" s="150"/>
      <c r="NE23" s="150"/>
      <c r="NF23" s="150"/>
      <c r="NG23" s="150"/>
      <c r="NH23" s="150"/>
      <c r="NI23" s="150"/>
      <c r="NJ23" s="150"/>
      <c r="NK23" s="150"/>
      <c r="NL23" s="150"/>
      <c r="NM23" s="150"/>
      <c r="NN23" s="150"/>
      <c r="NO23" s="150"/>
      <c r="NP23" s="150"/>
      <c r="NQ23" s="150"/>
      <c r="NR23" s="150"/>
      <c r="NS23" s="150"/>
      <c r="NT23" s="150"/>
      <c r="NU23" s="150"/>
      <c r="NV23" s="150"/>
      <c r="NW23" s="150"/>
      <c r="NX23" s="150"/>
      <c r="NY23" s="150"/>
      <c r="NZ23" s="150"/>
      <c r="OA23" s="150"/>
      <c r="OB23" s="150"/>
      <c r="OC23" s="150"/>
      <c r="OD23" s="150"/>
      <c r="OE23" s="150"/>
    </row>
    <row r="24" spans="1:395">
      <c r="A24" s="19"/>
      <c r="B24" s="17"/>
      <c r="C24" s="48">
        <v>2039</v>
      </c>
      <c r="D24" s="114">
        <v>0</v>
      </c>
      <c r="E24" s="114">
        <v>2.0572673574126075</v>
      </c>
      <c r="F24" s="114">
        <f t="shared" si="0"/>
        <v>97.666666666666657</v>
      </c>
      <c r="G24" s="114">
        <f t="shared" si="1"/>
        <v>89.333333333333329</v>
      </c>
      <c r="H24" s="114">
        <f t="shared" si="2"/>
        <v>119</v>
      </c>
      <c r="I24" s="114">
        <f t="shared" si="3"/>
        <v>238</v>
      </c>
      <c r="J24" s="17"/>
      <c r="K24" s="48">
        <v>2039</v>
      </c>
      <c r="L24" s="114">
        <v>0</v>
      </c>
      <c r="M24" s="114">
        <v>2.0572673574126075</v>
      </c>
      <c r="N24" s="114">
        <f t="shared" si="4"/>
        <v>119.33333333333333</v>
      </c>
      <c r="O24" s="114">
        <f t="shared" si="5"/>
        <v>100.16666666666666</v>
      </c>
      <c r="P24" s="114">
        <f t="shared" si="6"/>
        <v>178</v>
      </c>
      <c r="Q24" s="114">
        <f t="shared" si="7"/>
        <v>356</v>
      </c>
      <c r="R24" s="17"/>
      <c r="S24" s="48">
        <v>2039</v>
      </c>
      <c r="T24" s="114">
        <v>0</v>
      </c>
      <c r="U24" s="114">
        <v>2.0572673574126075</v>
      </c>
      <c r="V24" s="114">
        <f t="shared" si="8"/>
        <v>95.666666666666657</v>
      </c>
      <c r="W24" s="114">
        <f t="shared" si="9"/>
        <v>83.333333333333329</v>
      </c>
      <c r="X24" s="114">
        <f t="shared" si="10"/>
        <v>132</v>
      </c>
      <c r="Y24" s="114">
        <f t="shared" si="11"/>
        <v>264</v>
      </c>
      <c r="Z24" s="17"/>
      <c r="AA24" s="48">
        <v>2039</v>
      </c>
      <c r="AB24" s="114">
        <v>0</v>
      </c>
      <c r="AC24" s="114">
        <v>2.0572673574126075</v>
      </c>
      <c r="AD24" s="114">
        <f t="shared" si="12"/>
        <v>107.33333333333333</v>
      </c>
      <c r="AE24" s="114">
        <f t="shared" si="13"/>
        <v>159.5</v>
      </c>
      <c r="AF24" s="114">
        <f t="shared" si="14"/>
        <v>146</v>
      </c>
      <c r="AG24" s="114">
        <f t="shared" si="15"/>
        <v>292</v>
      </c>
      <c r="AH24" s="150"/>
      <c r="AI24" s="48">
        <v>2039</v>
      </c>
      <c r="AJ24" s="114">
        <v>0</v>
      </c>
      <c r="AK24" s="114">
        <v>2.0572673574126075</v>
      </c>
      <c r="AL24" s="114">
        <f t="shared" si="16"/>
        <v>95.333333333333329</v>
      </c>
      <c r="AM24" s="114">
        <f t="shared" si="17"/>
        <v>83.166666666666671</v>
      </c>
      <c r="AN24" s="114">
        <f t="shared" si="18"/>
        <v>131</v>
      </c>
      <c r="AO24" s="114">
        <f t="shared" si="19"/>
        <v>262</v>
      </c>
      <c r="AP24" s="150"/>
      <c r="AQ24" s="48">
        <v>2039</v>
      </c>
      <c r="AR24" s="114">
        <v>0</v>
      </c>
      <c r="AS24" s="114">
        <v>2.0572673574126075</v>
      </c>
      <c r="AT24" s="114">
        <f t="shared" si="20"/>
        <v>107.33333333333333</v>
      </c>
      <c r="AU24" s="114">
        <f t="shared" si="21"/>
        <v>94.166666666666671</v>
      </c>
      <c r="AV24" s="114">
        <f t="shared" si="22"/>
        <v>146</v>
      </c>
      <c r="AW24" s="114">
        <f t="shared" si="23"/>
        <v>292</v>
      </c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  <c r="IR24" s="150"/>
      <c r="IS24" s="150"/>
      <c r="IT24" s="150"/>
      <c r="IU24" s="150"/>
      <c r="IV24" s="150"/>
      <c r="IW24" s="150"/>
      <c r="IX24" s="150"/>
      <c r="IY24" s="150"/>
      <c r="IZ24" s="150"/>
      <c r="JA24" s="150"/>
      <c r="JB24" s="150"/>
      <c r="JC24" s="150"/>
      <c r="JD24" s="150"/>
      <c r="JE24" s="150"/>
      <c r="JF24" s="150"/>
      <c r="JG24" s="150"/>
      <c r="JH24" s="150"/>
      <c r="JI24" s="150"/>
      <c r="JJ24" s="150"/>
      <c r="JK24" s="150"/>
      <c r="JL24" s="150"/>
      <c r="JM24" s="150"/>
      <c r="JN24" s="150"/>
      <c r="JO24" s="150"/>
      <c r="JP24" s="150"/>
      <c r="JQ24" s="150"/>
      <c r="JR24" s="150"/>
      <c r="JS24" s="150"/>
      <c r="JT24" s="150"/>
      <c r="JU24" s="150"/>
      <c r="JV24" s="150"/>
      <c r="JW24" s="150"/>
      <c r="JX24" s="150"/>
      <c r="JY24" s="150"/>
      <c r="JZ24" s="150"/>
      <c r="KA24" s="150"/>
      <c r="KB24" s="150"/>
      <c r="KC24" s="150"/>
      <c r="KD24" s="150"/>
      <c r="KE24" s="150"/>
      <c r="KF24" s="150"/>
      <c r="KG24" s="150"/>
      <c r="KH24" s="150"/>
      <c r="KI24" s="150"/>
      <c r="KJ24" s="150"/>
      <c r="KK24" s="150"/>
      <c r="KL24" s="150"/>
      <c r="KM24" s="150"/>
      <c r="KN24" s="150"/>
      <c r="KO24" s="150"/>
      <c r="KP24" s="150"/>
      <c r="KQ24" s="150"/>
      <c r="KR24" s="150"/>
      <c r="KS24" s="150"/>
      <c r="KT24" s="150"/>
      <c r="KU24" s="150"/>
      <c r="KV24" s="150"/>
      <c r="KW24" s="150"/>
      <c r="KX24" s="150"/>
      <c r="KY24" s="150"/>
      <c r="KZ24" s="150"/>
      <c r="LA24" s="150"/>
      <c r="LB24" s="150"/>
      <c r="LC24" s="150"/>
      <c r="LD24" s="150"/>
      <c r="LE24" s="150"/>
      <c r="LF24" s="150"/>
      <c r="LG24" s="150"/>
      <c r="LH24" s="150"/>
      <c r="LI24" s="150"/>
      <c r="LJ24" s="150"/>
      <c r="LK24" s="150"/>
      <c r="LL24" s="150"/>
      <c r="LM24" s="150"/>
      <c r="LN24" s="150"/>
      <c r="LO24" s="150"/>
      <c r="LP24" s="150"/>
      <c r="LQ24" s="150"/>
      <c r="LR24" s="150"/>
      <c r="LS24" s="150"/>
      <c r="LT24" s="150"/>
      <c r="LU24" s="150"/>
      <c r="LV24" s="150"/>
      <c r="LW24" s="150"/>
      <c r="LX24" s="150"/>
      <c r="LY24" s="150"/>
      <c r="LZ24" s="150"/>
      <c r="MA24" s="150"/>
      <c r="MB24" s="150"/>
      <c r="MC24" s="150"/>
      <c r="MD24" s="150"/>
      <c r="ME24" s="150"/>
      <c r="MF24" s="150"/>
      <c r="MG24" s="150"/>
      <c r="MH24" s="150"/>
      <c r="MI24" s="150"/>
      <c r="MJ24" s="150"/>
      <c r="MK24" s="150"/>
      <c r="ML24" s="150"/>
      <c r="MM24" s="150"/>
      <c r="MN24" s="150"/>
      <c r="MO24" s="150"/>
      <c r="MP24" s="150"/>
      <c r="MQ24" s="150"/>
      <c r="MR24" s="150"/>
      <c r="MS24" s="150"/>
      <c r="MT24" s="150"/>
      <c r="MU24" s="150"/>
      <c r="MV24" s="150"/>
      <c r="MW24" s="150"/>
      <c r="MX24" s="150"/>
      <c r="MY24" s="150"/>
      <c r="MZ24" s="150"/>
      <c r="NA24" s="150"/>
      <c r="NB24" s="150"/>
      <c r="NC24" s="150"/>
      <c r="ND24" s="150"/>
      <c r="NE24" s="150"/>
      <c r="NF24" s="150"/>
      <c r="NG24" s="150"/>
      <c r="NH24" s="150"/>
      <c r="NI24" s="150"/>
      <c r="NJ24" s="150"/>
      <c r="NK24" s="150"/>
      <c r="NL24" s="150"/>
      <c r="NM24" s="150"/>
      <c r="NN24" s="150"/>
      <c r="NO24" s="150"/>
      <c r="NP24" s="150"/>
      <c r="NQ24" s="150"/>
      <c r="NR24" s="150"/>
      <c r="NS24" s="150"/>
      <c r="NT24" s="150"/>
      <c r="NU24" s="150"/>
      <c r="NV24" s="150"/>
      <c r="NW24" s="150"/>
      <c r="NX24" s="150"/>
      <c r="NY24" s="150"/>
      <c r="NZ24" s="150"/>
      <c r="OA24" s="150"/>
      <c r="OB24" s="150"/>
      <c r="OC24" s="150"/>
      <c r="OD24" s="150"/>
      <c r="OE24" s="150"/>
    </row>
    <row r="25" spans="1:395">
      <c r="A25" s="19"/>
      <c r="B25" s="17"/>
      <c r="C25" s="48">
        <v>2040</v>
      </c>
      <c r="D25" s="114">
        <v>0</v>
      </c>
      <c r="E25" s="114">
        <v>1.9169991284981123</v>
      </c>
      <c r="F25" s="114">
        <f t="shared" si="0"/>
        <v>91.666666666666671</v>
      </c>
      <c r="G25" s="114">
        <f t="shared" si="1"/>
        <v>83.833333333333329</v>
      </c>
      <c r="H25" s="114">
        <f t="shared" si="2"/>
        <v>111</v>
      </c>
      <c r="I25" s="114">
        <f t="shared" si="3"/>
        <v>222</v>
      </c>
      <c r="J25" s="17"/>
      <c r="K25" s="48">
        <v>2040</v>
      </c>
      <c r="L25" s="114">
        <v>0</v>
      </c>
      <c r="M25" s="114">
        <v>1.9169991284981123</v>
      </c>
      <c r="N25" s="114">
        <f t="shared" si="4"/>
        <v>112</v>
      </c>
      <c r="O25" s="114">
        <f t="shared" si="5"/>
        <v>94</v>
      </c>
      <c r="P25" s="114">
        <f t="shared" si="6"/>
        <v>167</v>
      </c>
      <c r="Q25" s="114">
        <f t="shared" si="7"/>
        <v>334</v>
      </c>
      <c r="R25" s="17"/>
      <c r="S25" s="48">
        <v>2040</v>
      </c>
      <c r="T25" s="114">
        <v>0</v>
      </c>
      <c r="U25" s="114">
        <v>1.9169991284981123</v>
      </c>
      <c r="V25" s="114">
        <f t="shared" si="8"/>
        <v>89.333333333333329</v>
      </c>
      <c r="W25" s="114">
        <f t="shared" si="9"/>
        <v>77.666666666666671</v>
      </c>
      <c r="X25" s="114">
        <f t="shared" si="10"/>
        <v>124</v>
      </c>
      <c r="Y25" s="114">
        <f t="shared" si="11"/>
        <v>248</v>
      </c>
      <c r="Z25" s="17"/>
      <c r="AA25" s="48">
        <v>2040</v>
      </c>
      <c r="AB25" s="114">
        <v>0</v>
      </c>
      <c r="AC25" s="114">
        <v>1.9169991284981123</v>
      </c>
      <c r="AD25" s="114">
        <f t="shared" si="12"/>
        <v>100.66666666666666</v>
      </c>
      <c r="AE25" s="114">
        <f t="shared" si="13"/>
        <v>148.66666666666666</v>
      </c>
      <c r="AF25" s="114">
        <f t="shared" si="14"/>
        <v>136</v>
      </c>
      <c r="AG25" s="114">
        <f t="shared" si="15"/>
        <v>272</v>
      </c>
      <c r="AH25" s="150"/>
      <c r="AI25" s="48">
        <v>2040</v>
      </c>
      <c r="AJ25" s="114">
        <v>0</v>
      </c>
      <c r="AK25" s="114">
        <v>1.9169991284981123</v>
      </c>
      <c r="AL25" s="114">
        <f t="shared" si="16"/>
        <v>88.666666666666657</v>
      </c>
      <c r="AM25" s="114">
        <f t="shared" si="17"/>
        <v>77.333333333333329</v>
      </c>
      <c r="AN25" s="114">
        <f t="shared" si="18"/>
        <v>122</v>
      </c>
      <c r="AO25" s="114">
        <f t="shared" si="19"/>
        <v>244</v>
      </c>
      <c r="AP25" s="150"/>
      <c r="AQ25" s="48">
        <v>2040</v>
      </c>
      <c r="AR25" s="114">
        <v>0</v>
      </c>
      <c r="AS25" s="114">
        <v>1.9169991284981123</v>
      </c>
      <c r="AT25" s="114">
        <f t="shared" si="20"/>
        <v>100.66666666666666</v>
      </c>
      <c r="AU25" s="114">
        <f t="shared" si="21"/>
        <v>88.333333333333329</v>
      </c>
      <c r="AV25" s="114">
        <f t="shared" si="22"/>
        <v>137</v>
      </c>
      <c r="AW25" s="114">
        <f t="shared" si="23"/>
        <v>274</v>
      </c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  <c r="IU25" s="150"/>
      <c r="IV25" s="150"/>
      <c r="IW25" s="150"/>
      <c r="IX25" s="150"/>
      <c r="IY25" s="150"/>
      <c r="IZ25" s="150"/>
      <c r="JA25" s="150"/>
      <c r="JB25" s="150"/>
      <c r="JC25" s="150"/>
      <c r="JD25" s="150"/>
      <c r="JE25" s="150"/>
      <c r="JF25" s="150"/>
      <c r="JG25" s="150"/>
      <c r="JH25" s="150"/>
      <c r="JI25" s="150"/>
      <c r="JJ25" s="150"/>
      <c r="JK25" s="150"/>
      <c r="JL25" s="150"/>
      <c r="JM25" s="150"/>
      <c r="JN25" s="150"/>
      <c r="JO25" s="150"/>
      <c r="JP25" s="150"/>
      <c r="JQ25" s="150"/>
      <c r="JR25" s="150"/>
      <c r="JS25" s="150"/>
      <c r="JT25" s="150"/>
      <c r="JU25" s="150"/>
      <c r="JV25" s="150"/>
      <c r="JW25" s="150"/>
      <c r="JX25" s="150"/>
      <c r="JY25" s="150"/>
      <c r="JZ25" s="150"/>
      <c r="KA25" s="150"/>
      <c r="KB25" s="150"/>
      <c r="KC25" s="150"/>
      <c r="KD25" s="150"/>
      <c r="KE25" s="150"/>
      <c r="KF25" s="150"/>
      <c r="KG25" s="150"/>
      <c r="KH25" s="150"/>
      <c r="KI25" s="150"/>
      <c r="KJ25" s="150"/>
      <c r="KK25" s="150"/>
      <c r="KL25" s="150"/>
      <c r="KM25" s="150"/>
      <c r="KN25" s="150"/>
      <c r="KO25" s="150"/>
      <c r="KP25" s="150"/>
      <c r="KQ25" s="150"/>
      <c r="KR25" s="150"/>
      <c r="KS25" s="150"/>
      <c r="KT25" s="150"/>
      <c r="KU25" s="150"/>
      <c r="KV25" s="150"/>
      <c r="KW25" s="150"/>
      <c r="KX25" s="150"/>
      <c r="KY25" s="150"/>
      <c r="KZ25" s="150"/>
      <c r="LA25" s="150"/>
      <c r="LB25" s="150"/>
      <c r="LC25" s="150"/>
      <c r="LD25" s="150"/>
      <c r="LE25" s="150"/>
      <c r="LF25" s="150"/>
      <c r="LG25" s="150"/>
      <c r="LH25" s="150"/>
      <c r="LI25" s="150"/>
      <c r="LJ25" s="150"/>
      <c r="LK25" s="150"/>
      <c r="LL25" s="150"/>
      <c r="LM25" s="150"/>
      <c r="LN25" s="150"/>
      <c r="LO25" s="150"/>
      <c r="LP25" s="150"/>
      <c r="LQ25" s="150"/>
      <c r="LR25" s="150"/>
      <c r="LS25" s="150"/>
      <c r="LT25" s="150"/>
      <c r="LU25" s="150"/>
      <c r="LV25" s="150"/>
      <c r="LW25" s="150"/>
      <c r="LX25" s="150"/>
      <c r="LY25" s="150"/>
      <c r="LZ25" s="150"/>
      <c r="MA25" s="150"/>
      <c r="MB25" s="150"/>
      <c r="MC25" s="150"/>
      <c r="MD25" s="150"/>
      <c r="ME25" s="150"/>
      <c r="MF25" s="150"/>
      <c r="MG25" s="150"/>
      <c r="MH25" s="150"/>
      <c r="MI25" s="150"/>
      <c r="MJ25" s="150"/>
      <c r="MK25" s="150"/>
      <c r="ML25" s="150"/>
      <c r="MM25" s="150"/>
      <c r="MN25" s="150"/>
      <c r="MO25" s="150"/>
      <c r="MP25" s="150"/>
      <c r="MQ25" s="150"/>
      <c r="MR25" s="150"/>
      <c r="MS25" s="150"/>
      <c r="MT25" s="150"/>
      <c r="MU25" s="150"/>
      <c r="MV25" s="150"/>
      <c r="MW25" s="150"/>
      <c r="MX25" s="150"/>
      <c r="MY25" s="150"/>
      <c r="MZ25" s="150"/>
      <c r="NA25" s="150"/>
      <c r="NB25" s="150"/>
      <c r="NC25" s="150"/>
      <c r="ND25" s="150"/>
      <c r="NE25" s="150"/>
      <c r="NF25" s="150"/>
      <c r="NG25" s="150"/>
      <c r="NH25" s="150"/>
      <c r="NI25" s="150"/>
      <c r="NJ25" s="150"/>
      <c r="NK25" s="150"/>
      <c r="NL25" s="150"/>
      <c r="NM25" s="150"/>
      <c r="NN25" s="150"/>
      <c r="NO25" s="150"/>
      <c r="NP25" s="150"/>
      <c r="NQ25" s="150"/>
      <c r="NR25" s="150"/>
      <c r="NS25" s="150"/>
      <c r="NT25" s="150"/>
      <c r="NU25" s="150"/>
      <c r="NV25" s="150"/>
      <c r="NW25" s="150"/>
      <c r="NX25" s="150"/>
      <c r="NY25" s="150"/>
      <c r="NZ25" s="150"/>
      <c r="OA25" s="150"/>
      <c r="OB25" s="150"/>
      <c r="OC25" s="150"/>
      <c r="OD25" s="150"/>
      <c r="OE25" s="150"/>
    </row>
    <row r="26" spans="1:395">
      <c r="A26" s="19"/>
      <c r="B26" s="17"/>
      <c r="C26" s="48">
        <v>2041</v>
      </c>
      <c r="D26" s="114">
        <v>0</v>
      </c>
      <c r="E26" s="114">
        <v>1.776730899583616</v>
      </c>
      <c r="F26" s="114">
        <f t="shared" si="0"/>
        <v>85.666666666666671</v>
      </c>
      <c r="G26" s="114">
        <f t="shared" si="1"/>
        <v>78.333333333333329</v>
      </c>
      <c r="H26" s="114">
        <f t="shared" si="2"/>
        <v>104</v>
      </c>
      <c r="I26" s="114">
        <f t="shared" si="3"/>
        <v>208</v>
      </c>
      <c r="J26" s="17"/>
      <c r="K26" s="48">
        <v>2041</v>
      </c>
      <c r="L26" s="114">
        <v>0</v>
      </c>
      <c r="M26" s="114">
        <v>1.776730899583616</v>
      </c>
      <c r="N26" s="114">
        <f t="shared" si="4"/>
        <v>104.66666666666666</v>
      </c>
      <c r="O26" s="114">
        <f t="shared" si="5"/>
        <v>87.833333333333329</v>
      </c>
      <c r="P26" s="114">
        <f t="shared" si="6"/>
        <v>156</v>
      </c>
      <c r="Q26" s="114">
        <f t="shared" si="7"/>
        <v>312</v>
      </c>
      <c r="R26" s="17"/>
      <c r="S26" s="48">
        <v>2041</v>
      </c>
      <c r="T26" s="114">
        <v>0</v>
      </c>
      <c r="U26" s="114">
        <v>1.776730899583616</v>
      </c>
      <c r="V26" s="114">
        <f t="shared" si="8"/>
        <v>83.666666666666657</v>
      </c>
      <c r="W26" s="114">
        <f t="shared" si="9"/>
        <v>72.833333333333329</v>
      </c>
      <c r="X26" s="114">
        <f t="shared" si="10"/>
        <v>115</v>
      </c>
      <c r="Y26" s="114">
        <f t="shared" si="11"/>
        <v>230</v>
      </c>
      <c r="Z26" s="17"/>
      <c r="AA26" s="48">
        <v>2041</v>
      </c>
      <c r="AB26" s="114">
        <v>0</v>
      </c>
      <c r="AC26" s="114">
        <v>1.776730899583616</v>
      </c>
      <c r="AD26" s="114">
        <f t="shared" si="12"/>
        <v>94</v>
      </c>
      <c r="AE26" s="114">
        <f t="shared" si="13"/>
        <v>138.83333333333334</v>
      </c>
      <c r="AF26" s="114">
        <f t="shared" si="14"/>
        <v>127</v>
      </c>
      <c r="AG26" s="114">
        <f t="shared" si="15"/>
        <v>254</v>
      </c>
      <c r="AH26" s="150"/>
      <c r="AI26" s="48">
        <v>2041</v>
      </c>
      <c r="AJ26" s="114">
        <v>0</v>
      </c>
      <c r="AK26" s="114">
        <v>1.776730899583616</v>
      </c>
      <c r="AL26" s="114">
        <f t="shared" si="16"/>
        <v>83.333333333333329</v>
      </c>
      <c r="AM26" s="114">
        <f t="shared" si="17"/>
        <v>72.666666666666671</v>
      </c>
      <c r="AN26" s="114">
        <f t="shared" si="18"/>
        <v>114</v>
      </c>
      <c r="AO26" s="114">
        <f t="shared" si="19"/>
        <v>228</v>
      </c>
      <c r="AP26" s="150"/>
      <c r="AQ26" s="48">
        <v>2041</v>
      </c>
      <c r="AR26" s="114">
        <v>0</v>
      </c>
      <c r="AS26" s="114">
        <v>1.776730899583616</v>
      </c>
      <c r="AT26" s="114">
        <f t="shared" si="20"/>
        <v>94</v>
      </c>
      <c r="AU26" s="114">
        <f t="shared" si="21"/>
        <v>82.5</v>
      </c>
      <c r="AV26" s="114">
        <f t="shared" si="22"/>
        <v>128</v>
      </c>
      <c r="AW26" s="114">
        <f t="shared" si="23"/>
        <v>256</v>
      </c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  <c r="IR26" s="150"/>
      <c r="IS26" s="150"/>
      <c r="IT26" s="150"/>
      <c r="IU26" s="150"/>
      <c r="IV26" s="150"/>
      <c r="IW26" s="150"/>
      <c r="IX26" s="150"/>
      <c r="IY26" s="150"/>
      <c r="IZ26" s="150"/>
      <c r="JA26" s="150"/>
      <c r="JB26" s="150"/>
      <c r="JC26" s="150"/>
      <c r="JD26" s="150"/>
      <c r="JE26" s="150"/>
      <c r="JF26" s="150"/>
      <c r="JG26" s="150"/>
      <c r="JH26" s="150"/>
      <c r="JI26" s="150"/>
      <c r="JJ26" s="150"/>
      <c r="JK26" s="150"/>
      <c r="JL26" s="150"/>
      <c r="JM26" s="150"/>
      <c r="JN26" s="150"/>
      <c r="JO26" s="150"/>
      <c r="JP26" s="150"/>
      <c r="JQ26" s="150"/>
      <c r="JR26" s="150"/>
      <c r="JS26" s="150"/>
      <c r="JT26" s="150"/>
      <c r="JU26" s="150"/>
      <c r="JV26" s="150"/>
      <c r="JW26" s="150"/>
      <c r="JX26" s="150"/>
      <c r="JY26" s="150"/>
      <c r="JZ26" s="150"/>
      <c r="KA26" s="150"/>
      <c r="KB26" s="150"/>
      <c r="KC26" s="150"/>
      <c r="KD26" s="150"/>
      <c r="KE26" s="150"/>
      <c r="KF26" s="150"/>
      <c r="KG26" s="150"/>
      <c r="KH26" s="150"/>
      <c r="KI26" s="150"/>
      <c r="KJ26" s="150"/>
      <c r="KK26" s="150"/>
      <c r="KL26" s="150"/>
      <c r="KM26" s="150"/>
      <c r="KN26" s="150"/>
      <c r="KO26" s="150"/>
      <c r="KP26" s="150"/>
      <c r="KQ26" s="150"/>
      <c r="KR26" s="150"/>
      <c r="KS26" s="150"/>
      <c r="KT26" s="150"/>
      <c r="KU26" s="150"/>
      <c r="KV26" s="150"/>
      <c r="KW26" s="150"/>
      <c r="KX26" s="150"/>
      <c r="KY26" s="150"/>
      <c r="KZ26" s="150"/>
      <c r="LA26" s="150"/>
      <c r="LB26" s="150"/>
      <c r="LC26" s="150"/>
      <c r="LD26" s="150"/>
      <c r="LE26" s="150"/>
      <c r="LF26" s="150"/>
      <c r="LG26" s="150"/>
      <c r="LH26" s="150"/>
      <c r="LI26" s="150"/>
      <c r="LJ26" s="150"/>
      <c r="LK26" s="150"/>
      <c r="LL26" s="150"/>
      <c r="LM26" s="150"/>
      <c r="LN26" s="150"/>
      <c r="LO26" s="150"/>
      <c r="LP26" s="150"/>
      <c r="LQ26" s="150"/>
      <c r="LR26" s="150"/>
      <c r="LS26" s="150"/>
      <c r="LT26" s="150"/>
      <c r="LU26" s="150"/>
      <c r="LV26" s="150"/>
      <c r="LW26" s="150"/>
      <c r="LX26" s="150"/>
      <c r="LY26" s="150"/>
      <c r="LZ26" s="150"/>
      <c r="MA26" s="150"/>
      <c r="MB26" s="150"/>
      <c r="MC26" s="150"/>
      <c r="MD26" s="150"/>
      <c r="ME26" s="150"/>
      <c r="MF26" s="150"/>
      <c r="MG26" s="150"/>
      <c r="MH26" s="150"/>
      <c r="MI26" s="150"/>
      <c r="MJ26" s="150"/>
      <c r="MK26" s="150"/>
      <c r="ML26" s="150"/>
      <c r="MM26" s="150"/>
      <c r="MN26" s="150"/>
      <c r="MO26" s="150"/>
      <c r="MP26" s="150"/>
      <c r="MQ26" s="150"/>
      <c r="MR26" s="150"/>
      <c r="MS26" s="150"/>
      <c r="MT26" s="150"/>
      <c r="MU26" s="150"/>
      <c r="MV26" s="150"/>
      <c r="MW26" s="150"/>
      <c r="MX26" s="150"/>
      <c r="MY26" s="150"/>
      <c r="MZ26" s="150"/>
      <c r="NA26" s="150"/>
      <c r="NB26" s="150"/>
      <c r="NC26" s="150"/>
      <c r="ND26" s="150"/>
      <c r="NE26" s="150"/>
      <c r="NF26" s="150"/>
      <c r="NG26" s="150"/>
      <c r="NH26" s="150"/>
      <c r="NI26" s="150"/>
      <c r="NJ26" s="150"/>
      <c r="NK26" s="150"/>
      <c r="NL26" s="150"/>
      <c r="NM26" s="150"/>
      <c r="NN26" s="150"/>
      <c r="NO26" s="150"/>
      <c r="NP26" s="150"/>
      <c r="NQ26" s="150"/>
      <c r="NR26" s="150"/>
      <c r="NS26" s="150"/>
      <c r="NT26" s="150"/>
      <c r="NU26" s="150"/>
      <c r="NV26" s="150"/>
      <c r="NW26" s="150"/>
      <c r="NX26" s="150"/>
      <c r="NY26" s="150"/>
      <c r="NZ26" s="150"/>
      <c r="OA26" s="150"/>
      <c r="OB26" s="150"/>
      <c r="OC26" s="150"/>
      <c r="OD26" s="150"/>
      <c r="OE26" s="150"/>
    </row>
    <row r="27" spans="1:395">
      <c r="A27" s="19"/>
      <c r="B27" s="17"/>
      <c r="C27" s="48">
        <v>2042</v>
      </c>
      <c r="D27" s="114">
        <v>0</v>
      </c>
      <c r="E27" s="114">
        <v>1.6364626706691203</v>
      </c>
      <c r="F27" s="114">
        <f t="shared" si="0"/>
        <v>79.333333333333329</v>
      </c>
      <c r="G27" s="114">
        <f t="shared" si="1"/>
        <v>72.666666666666671</v>
      </c>
      <c r="H27" s="114">
        <f t="shared" si="2"/>
        <v>96</v>
      </c>
      <c r="I27" s="114">
        <f t="shared" si="3"/>
        <v>192</v>
      </c>
      <c r="J27" s="17"/>
      <c r="K27" s="48">
        <v>2042</v>
      </c>
      <c r="L27" s="114">
        <v>0</v>
      </c>
      <c r="M27" s="114">
        <v>1.6364626706691203</v>
      </c>
      <c r="N27" s="114">
        <f t="shared" si="4"/>
        <v>97.333333333333329</v>
      </c>
      <c r="O27" s="114">
        <f t="shared" si="5"/>
        <v>81.666666666666671</v>
      </c>
      <c r="P27" s="114">
        <f t="shared" si="6"/>
        <v>145</v>
      </c>
      <c r="Q27" s="114">
        <f t="shared" si="7"/>
        <v>290</v>
      </c>
      <c r="R27" s="17"/>
      <c r="S27" s="48">
        <v>2042</v>
      </c>
      <c r="T27" s="114">
        <v>0</v>
      </c>
      <c r="U27" s="114">
        <v>1.6364626706691203</v>
      </c>
      <c r="V27" s="114">
        <f t="shared" si="8"/>
        <v>78</v>
      </c>
      <c r="W27" s="114">
        <f t="shared" si="9"/>
        <v>68</v>
      </c>
      <c r="X27" s="114">
        <f t="shared" si="10"/>
        <v>107</v>
      </c>
      <c r="Y27" s="114">
        <f t="shared" si="11"/>
        <v>214</v>
      </c>
      <c r="Z27" s="17"/>
      <c r="AA27" s="48">
        <v>2042</v>
      </c>
      <c r="AB27" s="114">
        <v>0</v>
      </c>
      <c r="AC27" s="114">
        <v>1.6364626706691203</v>
      </c>
      <c r="AD27" s="114">
        <f t="shared" si="12"/>
        <v>87.333333333333329</v>
      </c>
      <c r="AE27" s="114">
        <f t="shared" si="13"/>
        <v>129</v>
      </c>
      <c r="AF27" s="114">
        <f t="shared" si="14"/>
        <v>118</v>
      </c>
      <c r="AG27" s="114">
        <f t="shared" si="15"/>
        <v>236</v>
      </c>
      <c r="AH27" s="150"/>
      <c r="AI27" s="48">
        <v>2042</v>
      </c>
      <c r="AJ27" s="114">
        <v>0</v>
      </c>
      <c r="AK27" s="114">
        <v>1.6364626706691203</v>
      </c>
      <c r="AL27" s="114">
        <f t="shared" si="16"/>
        <v>77.666666666666657</v>
      </c>
      <c r="AM27" s="114">
        <f t="shared" si="17"/>
        <v>67.833333333333329</v>
      </c>
      <c r="AN27" s="114">
        <f t="shared" si="18"/>
        <v>106</v>
      </c>
      <c r="AO27" s="114">
        <f t="shared" si="19"/>
        <v>212</v>
      </c>
      <c r="AP27" s="150"/>
      <c r="AQ27" s="48">
        <v>2042</v>
      </c>
      <c r="AR27" s="114">
        <v>0</v>
      </c>
      <c r="AS27" s="114">
        <v>1.6364626706691203</v>
      </c>
      <c r="AT27" s="114">
        <f t="shared" si="20"/>
        <v>87.333333333333329</v>
      </c>
      <c r="AU27" s="114">
        <f t="shared" si="21"/>
        <v>76.666666666666671</v>
      </c>
      <c r="AV27" s="114">
        <f t="shared" si="22"/>
        <v>118</v>
      </c>
      <c r="AW27" s="114">
        <f t="shared" si="23"/>
        <v>236</v>
      </c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  <c r="IK27" s="150"/>
      <c r="IL27" s="150"/>
      <c r="IM27" s="150"/>
      <c r="IN27" s="150"/>
      <c r="IO27" s="150"/>
      <c r="IP27" s="150"/>
      <c r="IQ27" s="150"/>
      <c r="IR27" s="150"/>
      <c r="IS27" s="150"/>
      <c r="IT27" s="150"/>
      <c r="IU27" s="150"/>
      <c r="IV27" s="150"/>
      <c r="IW27" s="150"/>
      <c r="IX27" s="150"/>
      <c r="IY27" s="150"/>
      <c r="IZ27" s="150"/>
      <c r="JA27" s="150"/>
      <c r="JB27" s="150"/>
      <c r="JC27" s="150"/>
      <c r="JD27" s="150"/>
      <c r="JE27" s="150"/>
      <c r="JF27" s="150"/>
      <c r="JG27" s="150"/>
      <c r="JH27" s="150"/>
      <c r="JI27" s="150"/>
      <c r="JJ27" s="150"/>
      <c r="JK27" s="150"/>
      <c r="JL27" s="150"/>
      <c r="JM27" s="150"/>
      <c r="JN27" s="150"/>
      <c r="JO27" s="150"/>
      <c r="JP27" s="150"/>
      <c r="JQ27" s="150"/>
      <c r="JR27" s="150"/>
      <c r="JS27" s="150"/>
      <c r="JT27" s="150"/>
      <c r="JU27" s="150"/>
      <c r="JV27" s="150"/>
      <c r="JW27" s="150"/>
      <c r="JX27" s="150"/>
      <c r="JY27" s="150"/>
      <c r="JZ27" s="150"/>
      <c r="KA27" s="150"/>
      <c r="KB27" s="150"/>
      <c r="KC27" s="150"/>
      <c r="KD27" s="150"/>
      <c r="KE27" s="150"/>
      <c r="KF27" s="150"/>
      <c r="KG27" s="150"/>
      <c r="KH27" s="150"/>
      <c r="KI27" s="150"/>
      <c r="KJ27" s="150"/>
      <c r="KK27" s="150"/>
      <c r="KL27" s="150"/>
      <c r="KM27" s="150"/>
      <c r="KN27" s="150"/>
      <c r="KO27" s="150"/>
      <c r="KP27" s="150"/>
      <c r="KQ27" s="150"/>
      <c r="KR27" s="150"/>
      <c r="KS27" s="150"/>
      <c r="KT27" s="150"/>
      <c r="KU27" s="150"/>
      <c r="KV27" s="150"/>
      <c r="KW27" s="150"/>
      <c r="KX27" s="150"/>
      <c r="KY27" s="150"/>
      <c r="KZ27" s="150"/>
      <c r="LA27" s="150"/>
      <c r="LB27" s="150"/>
      <c r="LC27" s="150"/>
      <c r="LD27" s="150"/>
      <c r="LE27" s="150"/>
      <c r="LF27" s="150"/>
      <c r="LG27" s="150"/>
      <c r="LH27" s="150"/>
      <c r="LI27" s="150"/>
      <c r="LJ27" s="150"/>
      <c r="LK27" s="150"/>
      <c r="LL27" s="150"/>
      <c r="LM27" s="150"/>
      <c r="LN27" s="150"/>
      <c r="LO27" s="150"/>
      <c r="LP27" s="150"/>
      <c r="LQ27" s="150"/>
      <c r="LR27" s="150"/>
      <c r="LS27" s="150"/>
      <c r="LT27" s="150"/>
      <c r="LU27" s="150"/>
      <c r="LV27" s="150"/>
      <c r="LW27" s="150"/>
      <c r="LX27" s="150"/>
      <c r="LY27" s="150"/>
      <c r="LZ27" s="150"/>
      <c r="MA27" s="150"/>
      <c r="MB27" s="150"/>
      <c r="MC27" s="150"/>
      <c r="MD27" s="150"/>
      <c r="ME27" s="150"/>
      <c r="MF27" s="150"/>
      <c r="MG27" s="150"/>
      <c r="MH27" s="150"/>
      <c r="MI27" s="150"/>
      <c r="MJ27" s="150"/>
      <c r="MK27" s="150"/>
      <c r="ML27" s="150"/>
      <c r="MM27" s="150"/>
      <c r="MN27" s="150"/>
      <c r="MO27" s="150"/>
      <c r="MP27" s="150"/>
      <c r="MQ27" s="150"/>
      <c r="MR27" s="150"/>
      <c r="MS27" s="150"/>
      <c r="MT27" s="150"/>
      <c r="MU27" s="150"/>
      <c r="MV27" s="150"/>
      <c r="MW27" s="150"/>
      <c r="MX27" s="150"/>
      <c r="MY27" s="150"/>
      <c r="MZ27" s="150"/>
      <c r="NA27" s="150"/>
      <c r="NB27" s="150"/>
      <c r="NC27" s="150"/>
      <c r="ND27" s="150"/>
      <c r="NE27" s="150"/>
      <c r="NF27" s="150"/>
      <c r="NG27" s="150"/>
      <c r="NH27" s="150"/>
      <c r="NI27" s="150"/>
      <c r="NJ27" s="150"/>
      <c r="NK27" s="150"/>
      <c r="NL27" s="150"/>
      <c r="NM27" s="150"/>
      <c r="NN27" s="150"/>
      <c r="NO27" s="150"/>
      <c r="NP27" s="150"/>
      <c r="NQ27" s="150"/>
      <c r="NR27" s="150"/>
      <c r="NS27" s="150"/>
      <c r="NT27" s="150"/>
      <c r="NU27" s="150"/>
      <c r="NV27" s="150"/>
      <c r="NW27" s="150"/>
      <c r="NX27" s="150"/>
      <c r="NY27" s="150"/>
      <c r="NZ27" s="150"/>
      <c r="OA27" s="150"/>
      <c r="OB27" s="150"/>
      <c r="OC27" s="150"/>
      <c r="OD27" s="150"/>
      <c r="OE27" s="150"/>
    </row>
    <row r="28" spans="1:395">
      <c r="A28" s="19"/>
      <c r="B28" s="17"/>
      <c r="C28" s="48">
        <v>2043</v>
      </c>
      <c r="D28" s="114">
        <v>0</v>
      </c>
      <c r="E28" s="114">
        <v>1.4961944417546242</v>
      </c>
      <c r="F28" s="114">
        <f t="shared" si="0"/>
        <v>73.333333333333329</v>
      </c>
      <c r="G28" s="114">
        <f t="shared" si="1"/>
        <v>67.166666666666671</v>
      </c>
      <c r="H28" s="114">
        <f t="shared" si="2"/>
        <v>89</v>
      </c>
      <c r="I28" s="114">
        <f t="shared" si="3"/>
        <v>178</v>
      </c>
      <c r="J28" s="17"/>
      <c r="K28" s="48">
        <v>2043</v>
      </c>
      <c r="L28" s="114">
        <v>0</v>
      </c>
      <c r="M28" s="114">
        <v>1.4961944417546242</v>
      </c>
      <c r="N28" s="114">
        <f t="shared" si="4"/>
        <v>89.666666666666657</v>
      </c>
      <c r="O28" s="114">
        <f t="shared" si="5"/>
        <v>75.333333333333329</v>
      </c>
      <c r="P28" s="114">
        <f t="shared" si="6"/>
        <v>134</v>
      </c>
      <c r="Q28" s="114">
        <f t="shared" si="7"/>
        <v>268</v>
      </c>
      <c r="R28" s="17"/>
      <c r="S28" s="48">
        <v>2043</v>
      </c>
      <c r="T28" s="114">
        <v>0</v>
      </c>
      <c r="U28" s="114">
        <v>1.4961944417546242</v>
      </c>
      <c r="V28" s="114">
        <f t="shared" si="8"/>
        <v>71.666666666666657</v>
      </c>
      <c r="W28" s="114">
        <f t="shared" si="9"/>
        <v>62.333333333333329</v>
      </c>
      <c r="X28" s="114">
        <f t="shared" si="10"/>
        <v>99</v>
      </c>
      <c r="Y28" s="114">
        <f t="shared" si="11"/>
        <v>198</v>
      </c>
      <c r="Z28" s="17"/>
      <c r="AA28" s="48">
        <v>2043</v>
      </c>
      <c r="AB28" s="114">
        <v>0</v>
      </c>
      <c r="AC28" s="114">
        <v>1.4961944417546242</v>
      </c>
      <c r="AD28" s="114">
        <f t="shared" si="12"/>
        <v>80.666666666666657</v>
      </c>
      <c r="AE28" s="114">
        <f t="shared" si="13"/>
        <v>119.16666666666667</v>
      </c>
      <c r="AF28" s="114">
        <f t="shared" si="14"/>
        <v>109</v>
      </c>
      <c r="AG28" s="114">
        <f t="shared" si="15"/>
        <v>218</v>
      </c>
      <c r="AH28" s="150"/>
      <c r="AI28" s="48">
        <v>2043</v>
      </c>
      <c r="AJ28" s="114">
        <v>0</v>
      </c>
      <c r="AK28" s="114">
        <v>1.4961944417546242</v>
      </c>
      <c r="AL28" s="114">
        <f t="shared" si="16"/>
        <v>71.333333333333329</v>
      </c>
      <c r="AM28" s="114">
        <f t="shared" si="17"/>
        <v>62.166666666666664</v>
      </c>
      <c r="AN28" s="114">
        <f t="shared" si="18"/>
        <v>98</v>
      </c>
      <c r="AO28" s="114">
        <f t="shared" si="19"/>
        <v>196</v>
      </c>
      <c r="AP28" s="150"/>
      <c r="AQ28" s="48">
        <v>2043</v>
      </c>
      <c r="AR28" s="114">
        <v>0</v>
      </c>
      <c r="AS28" s="114">
        <v>1.4961944417546242</v>
      </c>
      <c r="AT28" s="114">
        <f t="shared" si="20"/>
        <v>81</v>
      </c>
      <c r="AU28" s="114">
        <f t="shared" si="21"/>
        <v>71</v>
      </c>
      <c r="AV28" s="114">
        <f t="shared" si="22"/>
        <v>109</v>
      </c>
      <c r="AW28" s="114">
        <f t="shared" si="23"/>
        <v>218</v>
      </c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  <c r="IU28" s="150"/>
      <c r="IV28" s="150"/>
      <c r="IW28" s="150"/>
      <c r="IX28" s="150"/>
      <c r="IY28" s="150"/>
      <c r="IZ28" s="150"/>
      <c r="JA28" s="150"/>
      <c r="JB28" s="150"/>
      <c r="JC28" s="150"/>
      <c r="JD28" s="150"/>
      <c r="JE28" s="150"/>
      <c r="JF28" s="150"/>
      <c r="JG28" s="150"/>
      <c r="JH28" s="150"/>
      <c r="JI28" s="150"/>
      <c r="JJ28" s="150"/>
      <c r="JK28" s="150"/>
      <c r="JL28" s="150"/>
      <c r="JM28" s="150"/>
      <c r="JN28" s="150"/>
      <c r="JO28" s="150"/>
      <c r="JP28" s="150"/>
      <c r="JQ28" s="150"/>
      <c r="JR28" s="150"/>
      <c r="JS28" s="150"/>
      <c r="JT28" s="150"/>
      <c r="JU28" s="150"/>
      <c r="JV28" s="150"/>
      <c r="JW28" s="150"/>
      <c r="JX28" s="150"/>
      <c r="JY28" s="150"/>
      <c r="JZ28" s="150"/>
      <c r="KA28" s="150"/>
      <c r="KB28" s="150"/>
      <c r="KC28" s="150"/>
      <c r="KD28" s="150"/>
      <c r="KE28" s="150"/>
      <c r="KF28" s="150"/>
      <c r="KG28" s="150"/>
      <c r="KH28" s="150"/>
      <c r="KI28" s="150"/>
      <c r="KJ28" s="150"/>
      <c r="KK28" s="150"/>
      <c r="KL28" s="150"/>
      <c r="KM28" s="150"/>
      <c r="KN28" s="150"/>
      <c r="KO28" s="150"/>
      <c r="KP28" s="150"/>
      <c r="KQ28" s="150"/>
      <c r="KR28" s="150"/>
      <c r="KS28" s="150"/>
      <c r="KT28" s="150"/>
      <c r="KU28" s="150"/>
      <c r="KV28" s="150"/>
      <c r="KW28" s="150"/>
      <c r="KX28" s="150"/>
      <c r="KY28" s="150"/>
      <c r="KZ28" s="150"/>
      <c r="LA28" s="150"/>
      <c r="LB28" s="150"/>
      <c r="LC28" s="150"/>
      <c r="LD28" s="150"/>
      <c r="LE28" s="150"/>
      <c r="LF28" s="150"/>
      <c r="LG28" s="150"/>
      <c r="LH28" s="150"/>
      <c r="LI28" s="150"/>
      <c r="LJ28" s="150"/>
      <c r="LK28" s="150"/>
      <c r="LL28" s="150"/>
      <c r="LM28" s="150"/>
      <c r="LN28" s="150"/>
      <c r="LO28" s="150"/>
      <c r="LP28" s="150"/>
      <c r="LQ28" s="150"/>
      <c r="LR28" s="150"/>
      <c r="LS28" s="150"/>
      <c r="LT28" s="150"/>
      <c r="LU28" s="150"/>
      <c r="LV28" s="150"/>
      <c r="LW28" s="150"/>
      <c r="LX28" s="150"/>
      <c r="LY28" s="150"/>
      <c r="LZ28" s="150"/>
      <c r="MA28" s="150"/>
      <c r="MB28" s="150"/>
      <c r="MC28" s="150"/>
      <c r="MD28" s="150"/>
      <c r="ME28" s="150"/>
      <c r="MF28" s="150"/>
      <c r="MG28" s="150"/>
      <c r="MH28" s="150"/>
      <c r="MI28" s="150"/>
      <c r="MJ28" s="150"/>
      <c r="MK28" s="150"/>
      <c r="ML28" s="150"/>
      <c r="MM28" s="150"/>
      <c r="MN28" s="150"/>
      <c r="MO28" s="150"/>
      <c r="MP28" s="150"/>
      <c r="MQ28" s="150"/>
      <c r="MR28" s="150"/>
      <c r="MS28" s="150"/>
      <c r="MT28" s="150"/>
      <c r="MU28" s="150"/>
      <c r="MV28" s="150"/>
      <c r="MW28" s="150"/>
      <c r="MX28" s="150"/>
      <c r="MY28" s="150"/>
      <c r="MZ28" s="150"/>
      <c r="NA28" s="150"/>
      <c r="NB28" s="150"/>
      <c r="NC28" s="150"/>
      <c r="ND28" s="150"/>
      <c r="NE28" s="150"/>
      <c r="NF28" s="150"/>
      <c r="NG28" s="150"/>
      <c r="NH28" s="150"/>
      <c r="NI28" s="150"/>
      <c r="NJ28" s="150"/>
      <c r="NK28" s="150"/>
      <c r="NL28" s="150"/>
      <c r="NM28" s="150"/>
      <c r="NN28" s="150"/>
      <c r="NO28" s="150"/>
      <c r="NP28" s="150"/>
      <c r="NQ28" s="150"/>
      <c r="NR28" s="150"/>
      <c r="NS28" s="150"/>
      <c r="NT28" s="150"/>
      <c r="NU28" s="150"/>
      <c r="NV28" s="150"/>
      <c r="NW28" s="150"/>
      <c r="NX28" s="150"/>
      <c r="NY28" s="150"/>
      <c r="NZ28" s="150"/>
      <c r="OA28" s="150"/>
      <c r="OB28" s="150"/>
      <c r="OC28" s="150"/>
      <c r="OD28" s="150"/>
      <c r="OE28" s="150"/>
    </row>
    <row r="29" spans="1:395">
      <c r="A29" s="19"/>
      <c r="B29" s="17"/>
      <c r="C29" s="48">
        <v>2044</v>
      </c>
      <c r="D29" s="114">
        <v>0</v>
      </c>
      <c r="E29" s="114">
        <v>1.3559262128401279</v>
      </c>
      <c r="F29" s="114">
        <f t="shared" si="0"/>
        <v>67.333333333333329</v>
      </c>
      <c r="G29" s="114">
        <f t="shared" si="1"/>
        <v>61.666666666666664</v>
      </c>
      <c r="H29" s="114">
        <f t="shared" si="2"/>
        <v>82</v>
      </c>
      <c r="I29" s="114">
        <f t="shared" si="3"/>
        <v>164</v>
      </c>
      <c r="J29" s="17"/>
      <c r="K29" s="48">
        <v>2044</v>
      </c>
      <c r="L29" s="114">
        <v>0</v>
      </c>
      <c r="M29" s="114">
        <v>1.3559262128401279</v>
      </c>
      <c r="N29" s="114">
        <f t="shared" si="4"/>
        <v>82.333333333333329</v>
      </c>
      <c r="O29" s="114">
        <f t="shared" si="5"/>
        <v>69.166666666666671</v>
      </c>
      <c r="P29" s="114">
        <f t="shared" si="6"/>
        <v>123</v>
      </c>
      <c r="Q29" s="114">
        <f t="shared" si="7"/>
        <v>246</v>
      </c>
      <c r="R29" s="17"/>
      <c r="S29" s="48">
        <v>2044</v>
      </c>
      <c r="T29" s="114">
        <v>0</v>
      </c>
      <c r="U29" s="114">
        <v>1.3559262128401279</v>
      </c>
      <c r="V29" s="114">
        <f t="shared" si="8"/>
        <v>66</v>
      </c>
      <c r="W29" s="114">
        <f t="shared" si="9"/>
        <v>57.5</v>
      </c>
      <c r="X29" s="114">
        <f t="shared" si="10"/>
        <v>91</v>
      </c>
      <c r="Y29" s="114">
        <f t="shared" si="11"/>
        <v>182</v>
      </c>
      <c r="Z29" s="17"/>
      <c r="AA29" s="48">
        <v>2044</v>
      </c>
      <c r="AB29" s="114">
        <v>0</v>
      </c>
      <c r="AC29" s="114">
        <v>1.3559262128401279</v>
      </c>
      <c r="AD29" s="114">
        <f t="shared" si="12"/>
        <v>74</v>
      </c>
      <c r="AE29" s="114">
        <f t="shared" si="13"/>
        <v>109.33333333333333</v>
      </c>
      <c r="AF29" s="114">
        <f t="shared" si="14"/>
        <v>100</v>
      </c>
      <c r="AG29" s="114">
        <f t="shared" si="15"/>
        <v>200</v>
      </c>
      <c r="AH29" s="150"/>
      <c r="AI29" s="48">
        <v>2044</v>
      </c>
      <c r="AJ29" s="114">
        <v>0</v>
      </c>
      <c r="AK29" s="114">
        <v>1.3559262128401279</v>
      </c>
      <c r="AL29" s="114">
        <f t="shared" si="16"/>
        <v>65.666666666666657</v>
      </c>
      <c r="AM29" s="114">
        <f t="shared" si="17"/>
        <v>57.333333333333329</v>
      </c>
      <c r="AN29" s="114">
        <f t="shared" si="18"/>
        <v>90</v>
      </c>
      <c r="AO29" s="114">
        <f t="shared" si="19"/>
        <v>180</v>
      </c>
      <c r="AP29" s="150"/>
      <c r="AQ29" s="48">
        <v>2044</v>
      </c>
      <c r="AR29" s="114">
        <v>0</v>
      </c>
      <c r="AS29" s="114">
        <v>1.3559262128401279</v>
      </c>
      <c r="AT29" s="114">
        <f t="shared" si="20"/>
        <v>74</v>
      </c>
      <c r="AU29" s="114">
        <f t="shared" si="21"/>
        <v>65</v>
      </c>
      <c r="AV29" s="114">
        <f t="shared" si="22"/>
        <v>100</v>
      </c>
      <c r="AW29" s="114">
        <f t="shared" si="23"/>
        <v>200</v>
      </c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0"/>
      <c r="IS29" s="150"/>
      <c r="IT29" s="150"/>
      <c r="IU29" s="150"/>
      <c r="IV29" s="150"/>
      <c r="IW29" s="150"/>
      <c r="IX29" s="150"/>
      <c r="IY29" s="150"/>
      <c r="IZ29" s="150"/>
      <c r="JA29" s="150"/>
      <c r="JB29" s="150"/>
      <c r="JC29" s="150"/>
      <c r="JD29" s="150"/>
      <c r="JE29" s="150"/>
      <c r="JF29" s="150"/>
      <c r="JG29" s="150"/>
      <c r="JH29" s="150"/>
      <c r="JI29" s="150"/>
      <c r="JJ29" s="150"/>
      <c r="JK29" s="150"/>
      <c r="JL29" s="150"/>
      <c r="JM29" s="150"/>
      <c r="JN29" s="150"/>
      <c r="JO29" s="150"/>
      <c r="JP29" s="150"/>
      <c r="JQ29" s="150"/>
      <c r="JR29" s="150"/>
      <c r="JS29" s="150"/>
      <c r="JT29" s="150"/>
      <c r="JU29" s="150"/>
      <c r="JV29" s="150"/>
      <c r="JW29" s="150"/>
      <c r="JX29" s="150"/>
      <c r="JY29" s="150"/>
      <c r="JZ29" s="150"/>
      <c r="KA29" s="150"/>
      <c r="KB29" s="150"/>
      <c r="KC29" s="150"/>
      <c r="KD29" s="150"/>
      <c r="KE29" s="150"/>
      <c r="KF29" s="150"/>
      <c r="KG29" s="150"/>
      <c r="KH29" s="150"/>
      <c r="KI29" s="150"/>
      <c r="KJ29" s="150"/>
      <c r="KK29" s="150"/>
      <c r="KL29" s="150"/>
      <c r="KM29" s="150"/>
      <c r="KN29" s="150"/>
      <c r="KO29" s="150"/>
      <c r="KP29" s="150"/>
      <c r="KQ29" s="150"/>
      <c r="KR29" s="150"/>
      <c r="KS29" s="150"/>
      <c r="KT29" s="150"/>
      <c r="KU29" s="150"/>
      <c r="KV29" s="150"/>
      <c r="KW29" s="150"/>
      <c r="KX29" s="150"/>
      <c r="KY29" s="150"/>
      <c r="KZ29" s="150"/>
      <c r="LA29" s="150"/>
      <c r="LB29" s="150"/>
      <c r="LC29" s="150"/>
      <c r="LD29" s="150"/>
      <c r="LE29" s="150"/>
      <c r="LF29" s="150"/>
      <c r="LG29" s="150"/>
      <c r="LH29" s="150"/>
      <c r="LI29" s="150"/>
      <c r="LJ29" s="150"/>
      <c r="LK29" s="150"/>
      <c r="LL29" s="150"/>
      <c r="LM29" s="150"/>
      <c r="LN29" s="150"/>
      <c r="LO29" s="150"/>
      <c r="LP29" s="150"/>
      <c r="LQ29" s="150"/>
      <c r="LR29" s="150"/>
      <c r="LS29" s="150"/>
      <c r="LT29" s="150"/>
      <c r="LU29" s="150"/>
      <c r="LV29" s="150"/>
      <c r="LW29" s="150"/>
      <c r="LX29" s="150"/>
      <c r="LY29" s="150"/>
      <c r="LZ29" s="150"/>
      <c r="MA29" s="150"/>
      <c r="MB29" s="150"/>
      <c r="MC29" s="150"/>
      <c r="MD29" s="150"/>
      <c r="ME29" s="150"/>
      <c r="MF29" s="150"/>
      <c r="MG29" s="150"/>
      <c r="MH29" s="150"/>
      <c r="MI29" s="150"/>
      <c r="MJ29" s="150"/>
      <c r="MK29" s="150"/>
      <c r="ML29" s="150"/>
      <c r="MM29" s="150"/>
      <c r="MN29" s="150"/>
      <c r="MO29" s="150"/>
      <c r="MP29" s="150"/>
      <c r="MQ29" s="150"/>
      <c r="MR29" s="150"/>
      <c r="MS29" s="150"/>
      <c r="MT29" s="150"/>
      <c r="MU29" s="150"/>
      <c r="MV29" s="150"/>
      <c r="MW29" s="150"/>
      <c r="MX29" s="150"/>
      <c r="MY29" s="150"/>
      <c r="MZ29" s="150"/>
      <c r="NA29" s="150"/>
      <c r="NB29" s="150"/>
      <c r="NC29" s="150"/>
      <c r="ND29" s="150"/>
      <c r="NE29" s="150"/>
      <c r="NF29" s="150"/>
      <c r="NG29" s="150"/>
      <c r="NH29" s="150"/>
      <c r="NI29" s="150"/>
      <c r="NJ29" s="150"/>
      <c r="NK29" s="150"/>
      <c r="NL29" s="150"/>
      <c r="NM29" s="150"/>
      <c r="NN29" s="150"/>
      <c r="NO29" s="150"/>
      <c r="NP29" s="150"/>
      <c r="NQ29" s="150"/>
      <c r="NR29" s="150"/>
      <c r="NS29" s="150"/>
      <c r="NT29" s="150"/>
      <c r="NU29" s="150"/>
      <c r="NV29" s="150"/>
      <c r="NW29" s="150"/>
      <c r="NX29" s="150"/>
      <c r="NY29" s="150"/>
      <c r="NZ29" s="150"/>
      <c r="OA29" s="150"/>
      <c r="OB29" s="150"/>
      <c r="OC29" s="150"/>
      <c r="OD29" s="150"/>
      <c r="OE29" s="150"/>
    </row>
    <row r="30" spans="1:395">
      <c r="A30" s="19"/>
      <c r="B30" s="17"/>
      <c r="C30" s="48">
        <v>2045</v>
      </c>
      <c r="D30" s="114">
        <v>0</v>
      </c>
      <c r="E30" s="114">
        <v>1.2156579839256321</v>
      </c>
      <c r="F30" s="114">
        <f t="shared" si="0"/>
        <v>61.333333333333329</v>
      </c>
      <c r="G30" s="114">
        <f t="shared" si="1"/>
        <v>56.166666666666664</v>
      </c>
      <c r="H30" s="114">
        <f t="shared" si="2"/>
        <v>74</v>
      </c>
      <c r="I30" s="114">
        <f t="shared" si="3"/>
        <v>148</v>
      </c>
      <c r="J30" s="17"/>
      <c r="K30" s="48">
        <v>2045</v>
      </c>
      <c r="L30" s="114">
        <v>0</v>
      </c>
      <c r="M30" s="114">
        <v>1.2156579839256321</v>
      </c>
      <c r="N30" s="114">
        <f t="shared" si="4"/>
        <v>75</v>
      </c>
      <c r="O30" s="114">
        <f t="shared" si="5"/>
        <v>63</v>
      </c>
      <c r="P30" s="114">
        <f t="shared" si="6"/>
        <v>112</v>
      </c>
      <c r="Q30" s="114">
        <f t="shared" si="7"/>
        <v>224</v>
      </c>
      <c r="R30" s="17"/>
      <c r="S30" s="48">
        <v>2045</v>
      </c>
      <c r="T30" s="114">
        <v>0</v>
      </c>
      <c r="U30" s="114">
        <v>1.2156579839256321</v>
      </c>
      <c r="V30" s="114">
        <f t="shared" si="8"/>
        <v>59.333333333333329</v>
      </c>
      <c r="W30" s="114">
        <f t="shared" si="9"/>
        <v>51.666666666666664</v>
      </c>
      <c r="X30" s="114">
        <f t="shared" si="10"/>
        <v>82</v>
      </c>
      <c r="Y30" s="114">
        <f t="shared" si="11"/>
        <v>164</v>
      </c>
      <c r="Z30" s="17"/>
      <c r="AA30" s="48">
        <v>2045</v>
      </c>
      <c r="AB30" s="114">
        <v>0</v>
      </c>
      <c r="AC30" s="114">
        <v>1.2156579839256321</v>
      </c>
      <c r="AD30" s="114">
        <f t="shared" si="12"/>
        <v>67.666666666666657</v>
      </c>
      <c r="AE30" s="114">
        <f t="shared" si="13"/>
        <v>99.5</v>
      </c>
      <c r="AF30" s="114">
        <f t="shared" si="14"/>
        <v>91</v>
      </c>
      <c r="AG30" s="114">
        <f t="shared" si="15"/>
        <v>182</v>
      </c>
      <c r="AH30" s="150"/>
      <c r="AI30" s="48">
        <v>2045</v>
      </c>
      <c r="AJ30" s="114">
        <v>0</v>
      </c>
      <c r="AK30" s="114">
        <v>1.2156579839256321</v>
      </c>
      <c r="AL30" s="114">
        <f t="shared" si="16"/>
        <v>59.333333333333329</v>
      </c>
      <c r="AM30" s="114">
        <f t="shared" si="17"/>
        <v>51.666666666666664</v>
      </c>
      <c r="AN30" s="114">
        <f t="shared" si="18"/>
        <v>82</v>
      </c>
      <c r="AO30" s="114">
        <f t="shared" si="19"/>
        <v>164</v>
      </c>
      <c r="AP30" s="150"/>
      <c r="AQ30" s="48">
        <v>2045</v>
      </c>
      <c r="AR30" s="114">
        <v>0</v>
      </c>
      <c r="AS30" s="114">
        <v>1.2156579839256321</v>
      </c>
      <c r="AT30" s="114">
        <f t="shared" si="20"/>
        <v>67.666666666666657</v>
      </c>
      <c r="AU30" s="114">
        <f t="shared" si="21"/>
        <v>59.333333333333329</v>
      </c>
      <c r="AV30" s="114">
        <f t="shared" si="22"/>
        <v>91</v>
      </c>
      <c r="AW30" s="114">
        <f t="shared" si="23"/>
        <v>182</v>
      </c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50"/>
      <c r="IM30" s="150"/>
      <c r="IN30" s="150"/>
      <c r="IO30" s="150"/>
      <c r="IP30" s="150"/>
      <c r="IQ30" s="150"/>
      <c r="IR30" s="150"/>
      <c r="IS30" s="150"/>
      <c r="IT30" s="150"/>
      <c r="IU30" s="150"/>
      <c r="IV30" s="150"/>
      <c r="IW30" s="150"/>
      <c r="IX30" s="150"/>
      <c r="IY30" s="150"/>
      <c r="IZ30" s="150"/>
      <c r="JA30" s="150"/>
      <c r="JB30" s="150"/>
      <c r="JC30" s="150"/>
      <c r="JD30" s="150"/>
      <c r="JE30" s="150"/>
      <c r="JF30" s="150"/>
      <c r="JG30" s="150"/>
      <c r="JH30" s="150"/>
      <c r="JI30" s="150"/>
      <c r="JJ30" s="150"/>
      <c r="JK30" s="150"/>
      <c r="JL30" s="150"/>
      <c r="JM30" s="150"/>
      <c r="JN30" s="150"/>
      <c r="JO30" s="150"/>
      <c r="JP30" s="150"/>
      <c r="JQ30" s="150"/>
      <c r="JR30" s="150"/>
      <c r="JS30" s="150"/>
      <c r="JT30" s="150"/>
      <c r="JU30" s="150"/>
      <c r="JV30" s="150"/>
      <c r="JW30" s="150"/>
      <c r="JX30" s="150"/>
      <c r="JY30" s="150"/>
      <c r="JZ30" s="150"/>
      <c r="KA30" s="150"/>
      <c r="KB30" s="150"/>
      <c r="KC30" s="150"/>
      <c r="KD30" s="150"/>
      <c r="KE30" s="150"/>
      <c r="KF30" s="150"/>
      <c r="KG30" s="150"/>
      <c r="KH30" s="150"/>
      <c r="KI30" s="150"/>
      <c r="KJ30" s="150"/>
      <c r="KK30" s="150"/>
      <c r="KL30" s="150"/>
      <c r="KM30" s="150"/>
      <c r="KN30" s="150"/>
      <c r="KO30" s="150"/>
      <c r="KP30" s="150"/>
      <c r="KQ30" s="150"/>
      <c r="KR30" s="150"/>
      <c r="KS30" s="150"/>
      <c r="KT30" s="150"/>
      <c r="KU30" s="150"/>
      <c r="KV30" s="150"/>
      <c r="KW30" s="150"/>
      <c r="KX30" s="150"/>
      <c r="KY30" s="150"/>
      <c r="KZ30" s="150"/>
      <c r="LA30" s="150"/>
      <c r="LB30" s="150"/>
      <c r="LC30" s="150"/>
      <c r="LD30" s="150"/>
      <c r="LE30" s="150"/>
      <c r="LF30" s="150"/>
      <c r="LG30" s="150"/>
      <c r="LH30" s="150"/>
      <c r="LI30" s="150"/>
      <c r="LJ30" s="150"/>
      <c r="LK30" s="150"/>
      <c r="LL30" s="150"/>
      <c r="LM30" s="150"/>
      <c r="LN30" s="150"/>
      <c r="LO30" s="150"/>
      <c r="LP30" s="150"/>
      <c r="LQ30" s="150"/>
      <c r="LR30" s="150"/>
      <c r="LS30" s="150"/>
      <c r="LT30" s="150"/>
      <c r="LU30" s="150"/>
      <c r="LV30" s="150"/>
      <c r="LW30" s="150"/>
      <c r="LX30" s="150"/>
      <c r="LY30" s="150"/>
      <c r="LZ30" s="150"/>
      <c r="MA30" s="150"/>
      <c r="MB30" s="150"/>
      <c r="MC30" s="150"/>
      <c r="MD30" s="150"/>
      <c r="ME30" s="150"/>
      <c r="MF30" s="150"/>
      <c r="MG30" s="150"/>
      <c r="MH30" s="150"/>
      <c r="MI30" s="150"/>
      <c r="MJ30" s="150"/>
      <c r="MK30" s="150"/>
      <c r="ML30" s="150"/>
      <c r="MM30" s="150"/>
      <c r="MN30" s="150"/>
      <c r="MO30" s="150"/>
      <c r="MP30" s="150"/>
      <c r="MQ30" s="150"/>
      <c r="MR30" s="150"/>
      <c r="MS30" s="150"/>
      <c r="MT30" s="150"/>
      <c r="MU30" s="150"/>
      <c r="MV30" s="150"/>
      <c r="MW30" s="150"/>
      <c r="MX30" s="150"/>
      <c r="MY30" s="150"/>
      <c r="MZ30" s="150"/>
      <c r="NA30" s="150"/>
      <c r="NB30" s="150"/>
      <c r="NC30" s="150"/>
      <c r="ND30" s="150"/>
      <c r="NE30" s="150"/>
      <c r="NF30" s="150"/>
      <c r="NG30" s="150"/>
      <c r="NH30" s="150"/>
      <c r="NI30" s="150"/>
      <c r="NJ30" s="150"/>
      <c r="NK30" s="150"/>
      <c r="NL30" s="150"/>
      <c r="NM30" s="150"/>
      <c r="NN30" s="150"/>
      <c r="NO30" s="150"/>
      <c r="NP30" s="150"/>
      <c r="NQ30" s="150"/>
      <c r="NR30" s="150"/>
      <c r="NS30" s="150"/>
      <c r="NT30" s="150"/>
      <c r="NU30" s="150"/>
      <c r="NV30" s="150"/>
      <c r="NW30" s="150"/>
      <c r="NX30" s="150"/>
      <c r="NY30" s="150"/>
      <c r="NZ30" s="150"/>
      <c r="OA30" s="150"/>
      <c r="OB30" s="150"/>
      <c r="OC30" s="150"/>
      <c r="OD30" s="150"/>
      <c r="OE30" s="150"/>
    </row>
    <row r="31" spans="1:395">
      <c r="A31" s="19"/>
      <c r="B31" s="17"/>
      <c r="C31" s="48">
        <v>2046</v>
      </c>
      <c r="D31" s="114">
        <v>0</v>
      </c>
      <c r="E31" s="114">
        <v>1.0909751137794133</v>
      </c>
      <c r="F31" s="114">
        <f t="shared" si="0"/>
        <v>55.333333333333329</v>
      </c>
      <c r="G31" s="114">
        <f t="shared" si="1"/>
        <v>50.666666666666664</v>
      </c>
      <c r="H31" s="114">
        <f t="shared" si="2"/>
        <v>67</v>
      </c>
      <c r="I31" s="114">
        <f t="shared" si="3"/>
        <v>134</v>
      </c>
      <c r="J31" s="17"/>
      <c r="K31" s="48">
        <v>2046</v>
      </c>
      <c r="L31" s="114">
        <v>0</v>
      </c>
      <c r="M31" s="114">
        <v>1.0909751137794133</v>
      </c>
      <c r="N31" s="114">
        <f t="shared" si="4"/>
        <v>67.666666666666657</v>
      </c>
      <c r="O31" s="114">
        <f t="shared" si="5"/>
        <v>56.833333333333329</v>
      </c>
      <c r="P31" s="114">
        <f t="shared" si="6"/>
        <v>100</v>
      </c>
      <c r="Q31" s="114">
        <f t="shared" si="7"/>
        <v>200</v>
      </c>
      <c r="R31" s="17"/>
      <c r="S31" s="48">
        <v>2046</v>
      </c>
      <c r="T31" s="114">
        <v>0</v>
      </c>
      <c r="U31" s="114">
        <v>1.0909751137794133</v>
      </c>
      <c r="V31" s="114">
        <f t="shared" si="8"/>
        <v>54</v>
      </c>
      <c r="W31" s="114">
        <f t="shared" si="9"/>
        <v>47</v>
      </c>
      <c r="X31" s="114">
        <f t="shared" si="10"/>
        <v>74</v>
      </c>
      <c r="Y31" s="114">
        <f t="shared" si="11"/>
        <v>148</v>
      </c>
      <c r="Z31" s="17"/>
      <c r="AA31" s="48">
        <v>2046</v>
      </c>
      <c r="AB31" s="114">
        <v>0</v>
      </c>
      <c r="AC31" s="114">
        <v>1.0909751137794133</v>
      </c>
      <c r="AD31" s="114">
        <f t="shared" si="12"/>
        <v>60.666666666666664</v>
      </c>
      <c r="AE31" s="114">
        <f t="shared" si="13"/>
        <v>89.666666666666671</v>
      </c>
      <c r="AF31" s="114">
        <f t="shared" si="14"/>
        <v>82</v>
      </c>
      <c r="AG31" s="114">
        <f t="shared" si="15"/>
        <v>164</v>
      </c>
      <c r="AH31" s="150"/>
      <c r="AI31" s="48">
        <v>2046</v>
      </c>
      <c r="AJ31" s="114">
        <v>0</v>
      </c>
      <c r="AK31" s="114">
        <v>1.0909751137794133</v>
      </c>
      <c r="AL31" s="114">
        <f t="shared" si="16"/>
        <v>53.666666666666664</v>
      </c>
      <c r="AM31" s="114">
        <f t="shared" si="17"/>
        <v>46.833333333333336</v>
      </c>
      <c r="AN31" s="114">
        <f t="shared" si="18"/>
        <v>74</v>
      </c>
      <c r="AO31" s="114">
        <f t="shared" si="19"/>
        <v>148</v>
      </c>
      <c r="AP31" s="150"/>
      <c r="AQ31" s="48">
        <v>2046</v>
      </c>
      <c r="AR31" s="114">
        <v>0</v>
      </c>
      <c r="AS31" s="114">
        <v>1.0909751137794133</v>
      </c>
      <c r="AT31" s="114">
        <f t="shared" si="20"/>
        <v>61</v>
      </c>
      <c r="AU31" s="114">
        <f t="shared" si="21"/>
        <v>53.5</v>
      </c>
      <c r="AV31" s="114">
        <f t="shared" si="22"/>
        <v>82</v>
      </c>
      <c r="AW31" s="114">
        <f t="shared" si="23"/>
        <v>164</v>
      </c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  <c r="IQ31" s="150"/>
      <c r="IR31" s="150"/>
      <c r="IS31" s="150"/>
      <c r="IT31" s="150"/>
      <c r="IU31" s="150"/>
      <c r="IV31" s="150"/>
      <c r="IW31" s="150"/>
      <c r="IX31" s="150"/>
      <c r="IY31" s="150"/>
      <c r="IZ31" s="150"/>
      <c r="JA31" s="150"/>
      <c r="JB31" s="150"/>
      <c r="JC31" s="150"/>
      <c r="JD31" s="150"/>
      <c r="JE31" s="150"/>
      <c r="JF31" s="150"/>
      <c r="JG31" s="150"/>
      <c r="JH31" s="150"/>
      <c r="JI31" s="150"/>
      <c r="JJ31" s="150"/>
      <c r="JK31" s="150"/>
      <c r="JL31" s="150"/>
      <c r="JM31" s="150"/>
      <c r="JN31" s="150"/>
      <c r="JO31" s="150"/>
      <c r="JP31" s="150"/>
      <c r="JQ31" s="150"/>
      <c r="JR31" s="150"/>
      <c r="JS31" s="150"/>
      <c r="JT31" s="150"/>
      <c r="JU31" s="150"/>
      <c r="JV31" s="150"/>
      <c r="JW31" s="150"/>
      <c r="JX31" s="150"/>
      <c r="JY31" s="150"/>
      <c r="JZ31" s="150"/>
      <c r="KA31" s="150"/>
      <c r="KB31" s="150"/>
      <c r="KC31" s="150"/>
      <c r="KD31" s="150"/>
      <c r="KE31" s="150"/>
      <c r="KF31" s="150"/>
      <c r="KG31" s="150"/>
      <c r="KH31" s="150"/>
      <c r="KI31" s="150"/>
      <c r="KJ31" s="150"/>
      <c r="KK31" s="150"/>
      <c r="KL31" s="150"/>
      <c r="KM31" s="150"/>
      <c r="KN31" s="150"/>
      <c r="KO31" s="150"/>
      <c r="KP31" s="150"/>
      <c r="KQ31" s="150"/>
      <c r="KR31" s="150"/>
      <c r="KS31" s="150"/>
      <c r="KT31" s="150"/>
      <c r="KU31" s="150"/>
      <c r="KV31" s="150"/>
      <c r="KW31" s="150"/>
      <c r="KX31" s="150"/>
      <c r="KY31" s="150"/>
      <c r="KZ31" s="150"/>
      <c r="LA31" s="150"/>
      <c r="LB31" s="150"/>
      <c r="LC31" s="150"/>
      <c r="LD31" s="150"/>
      <c r="LE31" s="150"/>
      <c r="LF31" s="150"/>
      <c r="LG31" s="150"/>
      <c r="LH31" s="150"/>
      <c r="LI31" s="150"/>
      <c r="LJ31" s="150"/>
      <c r="LK31" s="150"/>
      <c r="LL31" s="150"/>
      <c r="LM31" s="150"/>
      <c r="LN31" s="150"/>
      <c r="LO31" s="150"/>
      <c r="LP31" s="150"/>
      <c r="LQ31" s="150"/>
      <c r="LR31" s="150"/>
      <c r="LS31" s="150"/>
      <c r="LT31" s="150"/>
      <c r="LU31" s="150"/>
      <c r="LV31" s="150"/>
      <c r="LW31" s="150"/>
      <c r="LX31" s="150"/>
      <c r="LY31" s="150"/>
      <c r="LZ31" s="150"/>
      <c r="MA31" s="150"/>
      <c r="MB31" s="150"/>
      <c r="MC31" s="150"/>
      <c r="MD31" s="150"/>
      <c r="ME31" s="150"/>
      <c r="MF31" s="150"/>
      <c r="MG31" s="150"/>
      <c r="MH31" s="150"/>
      <c r="MI31" s="150"/>
      <c r="MJ31" s="150"/>
      <c r="MK31" s="150"/>
      <c r="ML31" s="150"/>
      <c r="MM31" s="150"/>
      <c r="MN31" s="150"/>
      <c r="MO31" s="150"/>
      <c r="MP31" s="150"/>
      <c r="MQ31" s="150"/>
      <c r="MR31" s="150"/>
      <c r="MS31" s="150"/>
      <c r="MT31" s="150"/>
      <c r="MU31" s="150"/>
      <c r="MV31" s="150"/>
      <c r="MW31" s="150"/>
      <c r="MX31" s="150"/>
      <c r="MY31" s="150"/>
      <c r="MZ31" s="150"/>
      <c r="NA31" s="150"/>
      <c r="NB31" s="150"/>
      <c r="NC31" s="150"/>
      <c r="ND31" s="150"/>
      <c r="NE31" s="150"/>
      <c r="NF31" s="150"/>
      <c r="NG31" s="150"/>
      <c r="NH31" s="150"/>
      <c r="NI31" s="150"/>
      <c r="NJ31" s="150"/>
      <c r="NK31" s="150"/>
      <c r="NL31" s="150"/>
      <c r="NM31" s="150"/>
      <c r="NN31" s="150"/>
      <c r="NO31" s="150"/>
      <c r="NP31" s="150"/>
      <c r="NQ31" s="150"/>
      <c r="NR31" s="150"/>
      <c r="NS31" s="150"/>
      <c r="NT31" s="150"/>
      <c r="NU31" s="150"/>
      <c r="NV31" s="150"/>
      <c r="NW31" s="150"/>
      <c r="NX31" s="150"/>
      <c r="NY31" s="150"/>
      <c r="NZ31" s="150"/>
      <c r="OA31" s="150"/>
      <c r="OB31" s="150"/>
      <c r="OC31" s="150"/>
      <c r="OD31" s="150"/>
      <c r="OE31" s="150"/>
    </row>
    <row r="32" spans="1:395">
      <c r="A32" s="19"/>
      <c r="B32" s="17"/>
      <c r="C32" s="48">
        <v>2047</v>
      </c>
      <c r="D32" s="114">
        <v>0</v>
      </c>
      <c r="E32" s="114">
        <v>0.95070688486491739</v>
      </c>
      <c r="F32" s="114">
        <f t="shared" si="0"/>
        <v>48.333333333333329</v>
      </c>
      <c r="G32" s="114">
        <f t="shared" si="1"/>
        <v>44.166666666666664</v>
      </c>
      <c r="H32" s="114">
        <f t="shared" si="2"/>
        <v>59</v>
      </c>
      <c r="I32" s="114">
        <f t="shared" si="3"/>
        <v>118</v>
      </c>
      <c r="J32" s="17"/>
      <c r="K32" s="48">
        <v>2047</v>
      </c>
      <c r="L32" s="114">
        <v>0</v>
      </c>
      <c r="M32" s="114">
        <v>0.95070688486491739</v>
      </c>
      <c r="N32" s="114">
        <f t="shared" si="4"/>
        <v>59.333333333333329</v>
      </c>
      <c r="O32" s="114">
        <f t="shared" si="5"/>
        <v>49.666666666666664</v>
      </c>
      <c r="P32" s="114">
        <f t="shared" si="6"/>
        <v>89</v>
      </c>
      <c r="Q32" s="114">
        <f t="shared" si="7"/>
        <v>178</v>
      </c>
      <c r="R32" s="17"/>
      <c r="S32" s="48">
        <v>2047</v>
      </c>
      <c r="T32" s="114">
        <v>0</v>
      </c>
      <c r="U32" s="114">
        <v>0.95070688486491739</v>
      </c>
      <c r="V32" s="114">
        <f t="shared" si="8"/>
        <v>47.333333333333329</v>
      </c>
      <c r="W32" s="114">
        <f t="shared" si="9"/>
        <v>41.166666666666664</v>
      </c>
      <c r="X32" s="114">
        <f t="shared" si="10"/>
        <v>66</v>
      </c>
      <c r="Y32" s="114">
        <f t="shared" si="11"/>
        <v>132</v>
      </c>
      <c r="Z32" s="17"/>
      <c r="AA32" s="48">
        <v>2047</v>
      </c>
      <c r="AB32" s="114">
        <v>0</v>
      </c>
      <c r="AC32" s="114">
        <v>0.95070688486491739</v>
      </c>
      <c r="AD32" s="114">
        <f t="shared" si="12"/>
        <v>53.333333333333329</v>
      </c>
      <c r="AE32" s="114">
        <f t="shared" si="13"/>
        <v>79.666666666666671</v>
      </c>
      <c r="AF32" s="114">
        <f t="shared" si="14"/>
        <v>73</v>
      </c>
      <c r="AG32" s="114">
        <f t="shared" si="15"/>
        <v>146</v>
      </c>
      <c r="AH32" s="150"/>
      <c r="AI32" s="48">
        <v>2047</v>
      </c>
      <c r="AJ32" s="114">
        <v>0</v>
      </c>
      <c r="AK32" s="114">
        <v>0.95070688486491739</v>
      </c>
      <c r="AL32" s="114">
        <f t="shared" si="16"/>
        <v>47</v>
      </c>
      <c r="AM32" s="114">
        <f t="shared" si="17"/>
        <v>41</v>
      </c>
      <c r="AN32" s="114">
        <f t="shared" si="18"/>
        <v>65</v>
      </c>
      <c r="AO32" s="114">
        <f t="shared" si="19"/>
        <v>130</v>
      </c>
      <c r="AP32" s="150"/>
      <c r="AQ32" s="48">
        <v>2047</v>
      </c>
      <c r="AR32" s="114">
        <v>0</v>
      </c>
      <c r="AS32" s="114">
        <v>0.95070688486491739</v>
      </c>
      <c r="AT32" s="114">
        <f t="shared" si="20"/>
        <v>53.333333333333329</v>
      </c>
      <c r="AU32" s="114">
        <f t="shared" si="21"/>
        <v>46.666666666666664</v>
      </c>
      <c r="AV32" s="114">
        <f t="shared" si="22"/>
        <v>73</v>
      </c>
      <c r="AW32" s="114">
        <f t="shared" si="23"/>
        <v>146</v>
      </c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  <c r="IK32" s="150"/>
      <c r="IL32" s="150"/>
      <c r="IM32" s="150"/>
      <c r="IN32" s="150"/>
      <c r="IO32" s="150"/>
      <c r="IP32" s="150"/>
      <c r="IQ32" s="150"/>
      <c r="IR32" s="150"/>
      <c r="IS32" s="150"/>
      <c r="IT32" s="150"/>
      <c r="IU32" s="150"/>
      <c r="IV32" s="150"/>
      <c r="IW32" s="150"/>
      <c r="IX32" s="150"/>
      <c r="IY32" s="150"/>
      <c r="IZ32" s="150"/>
      <c r="JA32" s="150"/>
      <c r="JB32" s="150"/>
      <c r="JC32" s="150"/>
      <c r="JD32" s="150"/>
      <c r="JE32" s="150"/>
      <c r="JF32" s="150"/>
      <c r="JG32" s="150"/>
      <c r="JH32" s="150"/>
      <c r="JI32" s="150"/>
      <c r="JJ32" s="150"/>
      <c r="JK32" s="150"/>
      <c r="JL32" s="150"/>
      <c r="JM32" s="150"/>
      <c r="JN32" s="150"/>
      <c r="JO32" s="150"/>
      <c r="JP32" s="150"/>
      <c r="JQ32" s="150"/>
      <c r="JR32" s="150"/>
      <c r="JS32" s="150"/>
      <c r="JT32" s="150"/>
      <c r="JU32" s="150"/>
      <c r="JV32" s="150"/>
      <c r="JW32" s="150"/>
      <c r="JX32" s="150"/>
      <c r="JY32" s="150"/>
      <c r="JZ32" s="150"/>
      <c r="KA32" s="150"/>
      <c r="KB32" s="150"/>
      <c r="KC32" s="150"/>
      <c r="KD32" s="150"/>
      <c r="KE32" s="150"/>
      <c r="KF32" s="150"/>
      <c r="KG32" s="150"/>
      <c r="KH32" s="150"/>
      <c r="KI32" s="150"/>
      <c r="KJ32" s="150"/>
      <c r="KK32" s="150"/>
      <c r="KL32" s="150"/>
      <c r="KM32" s="150"/>
      <c r="KN32" s="150"/>
      <c r="KO32" s="150"/>
      <c r="KP32" s="150"/>
      <c r="KQ32" s="150"/>
      <c r="KR32" s="150"/>
      <c r="KS32" s="150"/>
      <c r="KT32" s="150"/>
      <c r="KU32" s="150"/>
      <c r="KV32" s="150"/>
      <c r="KW32" s="150"/>
      <c r="KX32" s="150"/>
      <c r="KY32" s="150"/>
      <c r="KZ32" s="150"/>
      <c r="LA32" s="150"/>
      <c r="LB32" s="150"/>
      <c r="LC32" s="150"/>
      <c r="LD32" s="150"/>
      <c r="LE32" s="150"/>
      <c r="LF32" s="150"/>
      <c r="LG32" s="150"/>
      <c r="LH32" s="150"/>
      <c r="LI32" s="150"/>
      <c r="LJ32" s="150"/>
      <c r="LK32" s="150"/>
      <c r="LL32" s="150"/>
      <c r="LM32" s="150"/>
      <c r="LN32" s="150"/>
      <c r="LO32" s="150"/>
      <c r="LP32" s="150"/>
      <c r="LQ32" s="150"/>
      <c r="LR32" s="150"/>
      <c r="LS32" s="150"/>
      <c r="LT32" s="150"/>
      <c r="LU32" s="150"/>
      <c r="LV32" s="150"/>
      <c r="LW32" s="150"/>
      <c r="LX32" s="150"/>
      <c r="LY32" s="150"/>
      <c r="LZ32" s="150"/>
      <c r="MA32" s="150"/>
      <c r="MB32" s="150"/>
      <c r="MC32" s="150"/>
      <c r="MD32" s="150"/>
      <c r="ME32" s="150"/>
      <c r="MF32" s="150"/>
      <c r="MG32" s="150"/>
      <c r="MH32" s="150"/>
      <c r="MI32" s="150"/>
      <c r="MJ32" s="150"/>
      <c r="MK32" s="150"/>
      <c r="ML32" s="150"/>
      <c r="MM32" s="150"/>
      <c r="MN32" s="150"/>
      <c r="MO32" s="150"/>
      <c r="MP32" s="150"/>
      <c r="MQ32" s="150"/>
      <c r="MR32" s="150"/>
      <c r="MS32" s="150"/>
      <c r="MT32" s="150"/>
      <c r="MU32" s="150"/>
      <c r="MV32" s="150"/>
      <c r="MW32" s="150"/>
      <c r="MX32" s="150"/>
      <c r="MY32" s="150"/>
      <c r="MZ32" s="150"/>
      <c r="NA32" s="150"/>
      <c r="NB32" s="150"/>
      <c r="NC32" s="150"/>
      <c r="ND32" s="150"/>
      <c r="NE32" s="150"/>
      <c r="NF32" s="150"/>
      <c r="NG32" s="150"/>
      <c r="NH32" s="150"/>
      <c r="NI32" s="150"/>
      <c r="NJ32" s="150"/>
      <c r="NK32" s="150"/>
      <c r="NL32" s="150"/>
      <c r="NM32" s="150"/>
      <c r="NN32" s="150"/>
      <c r="NO32" s="150"/>
      <c r="NP32" s="150"/>
      <c r="NQ32" s="150"/>
      <c r="NR32" s="150"/>
      <c r="NS32" s="150"/>
      <c r="NT32" s="150"/>
      <c r="NU32" s="150"/>
      <c r="NV32" s="150"/>
      <c r="NW32" s="150"/>
      <c r="NX32" s="150"/>
      <c r="NY32" s="150"/>
      <c r="NZ32" s="150"/>
      <c r="OA32" s="150"/>
      <c r="OB32" s="150"/>
      <c r="OC32" s="150"/>
      <c r="OD32" s="150"/>
      <c r="OE32" s="150"/>
    </row>
    <row r="33" spans="1:395">
      <c r="A33" s="19"/>
      <c r="B33" s="17"/>
      <c r="C33" s="48">
        <v>2048</v>
      </c>
      <c r="D33" s="114">
        <v>0</v>
      </c>
      <c r="E33" s="114">
        <v>0.81043865595042119</v>
      </c>
      <c r="F33" s="114">
        <f t="shared" si="0"/>
        <v>42.333333333333336</v>
      </c>
      <c r="G33" s="114">
        <f t="shared" si="1"/>
        <v>38.666666666666664</v>
      </c>
      <c r="H33" s="114">
        <f t="shared" si="2"/>
        <v>52</v>
      </c>
      <c r="I33" s="114">
        <f t="shared" si="3"/>
        <v>104</v>
      </c>
      <c r="J33" s="17"/>
      <c r="K33" s="48">
        <v>2048</v>
      </c>
      <c r="L33" s="114">
        <v>0</v>
      </c>
      <c r="M33" s="114">
        <v>0.81043865595042119</v>
      </c>
      <c r="N33" s="114">
        <f t="shared" si="4"/>
        <v>51.666666666666664</v>
      </c>
      <c r="O33" s="114">
        <f t="shared" si="5"/>
        <v>43.333333333333329</v>
      </c>
      <c r="P33" s="114">
        <f t="shared" si="6"/>
        <v>78</v>
      </c>
      <c r="Q33" s="114">
        <f t="shared" si="7"/>
        <v>156</v>
      </c>
      <c r="R33" s="17"/>
      <c r="S33" s="48">
        <v>2048</v>
      </c>
      <c r="T33" s="114">
        <v>0</v>
      </c>
      <c r="U33" s="114">
        <v>0.81043865595042119</v>
      </c>
      <c r="V33" s="114">
        <f t="shared" si="8"/>
        <v>41.666666666666664</v>
      </c>
      <c r="W33" s="114">
        <f t="shared" si="9"/>
        <v>36.333333333333336</v>
      </c>
      <c r="X33" s="114">
        <f t="shared" si="10"/>
        <v>58</v>
      </c>
      <c r="Y33" s="114">
        <f t="shared" si="11"/>
        <v>116</v>
      </c>
      <c r="Z33" s="17"/>
      <c r="AA33" s="48">
        <v>2048</v>
      </c>
      <c r="AB33" s="114">
        <v>0</v>
      </c>
      <c r="AC33" s="114">
        <v>0.81043865595042119</v>
      </c>
      <c r="AD33" s="114">
        <f t="shared" si="12"/>
        <v>46.666666666666664</v>
      </c>
      <c r="AE33" s="114">
        <f t="shared" si="13"/>
        <v>69.833333333333329</v>
      </c>
      <c r="AF33" s="114">
        <f t="shared" si="14"/>
        <v>64</v>
      </c>
      <c r="AG33" s="114">
        <f t="shared" si="15"/>
        <v>128</v>
      </c>
      <c r="AH33" s="150"/>
      <c r="AI33" s="48">
        <v>2048</v>
      </c>
      <c r="AJ33" s="114">
        <v>0</v>
      </c>
      <c r="AK33" s="114">
        <v>0.81043865595042119</v>
      </c>
      <c r="AL33" s="114">
        <f t="shared" si="16"/>
        <v>41.666666666666664</v>
      </c>
      <c r="AM33" s="114">
        <f t="shared" si="17"/>
        <v>36.333333333333336</v>
      </c>
      <c r="AN33" s="114">
        <f t="shared" si="18"/>
        <v>57</v>
      </c>
      <c r="AO33" s="114">
        <f t="shared" si="19"/>
        <v>114</v>
      </c>
      <c r="AP33" s="150"/>
      <c r="AQ33" s="48">
        <v>2048</v>
      </c>
      <c r="AR33" s="114">
        <v>0</v>
      </c>
      <c r="AS33" s="114">
        <v>0.81043865595042119</v>
      </c>
      <c r="AT33" s="114">
        <f t="shared" si="20"/>
        <v>46.666666666666664</v>
      </c>
      <c r="AU33" s="114">
        <f t="shared" si="21"/>
        <v>40.833333333333336</v>
      </c>
      <c r="AV33" s="114">
        <f t="shared" si="22"/>
        <v>64</v>
      </c>
      <c r="AW33" s="114">
        <f t="shared" si="23"/>
        <v>128</v>
      </c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  <c r="IU33" s="150"/>
      <c r="IV33" s="150"/>
      <c r="IW33" s="150"/>
      <c r="IX33" s="150"/>
      <c r="IY33" s="150"/>
      <c r="IZ33" s="150"/>
      <c r="JA33" s="150"/>
      <c r="JB33" s="150"/>
      <c r="JC33" s="150"/>
      <c r="JD33" s="150"/>
      <c r="JE33" s="150"/>
      <c r="JF33" s="150"/>
      <c r="JG33" s="150"/>
      <c r="JH33" s="150"/>
      <c r="JI33" s="150"/>
      <c r="JJ33" s="150"/>
      <c r="JK33" s="150"/>
      <c r="JL33" s="150"/>
      <c r="JM33" s="150"/>
      <c r="JN33" s="150"/>
      <c r="JO33" s="150"/>
      <c r="JP33" s="150"/>
      <c r="JQ33" s="150"/>
      <c r="JR33" s="150"/>
      <c r="JS33" s="150"/>
      <c r="JT33" s="150"/>
      <c r="JU33" s="150"/>
      <c r="JV33" s="150"/>
      <c r="JW33" s="150"/>
      <c r="JX33" s="150"/>
      <c r="JY33" s="150"/>
      <c r="JZ33" s="150"/>
      <c r="KA33" s="150"/>
      <c r="KB33" s="150"/>
      <c r="KC33" s="150"/>
      <c r="KD33" s="150"/>
      <c r="KE33" s="150"/>
      <c r="KF33" s="150"/>
      <c r="KG33" s="150"/>
      <c r="KH33" s="150"/>
      <c r="KI33" s="150"/>
      <c r="KJ33" s="150"/>
      <c r="KK33" s="150"/>
      <c r="KL33" s="150"/>
      <c r="KM33" s="150"/>
      <c r="KN33" s="150"/>
      <c r="KO33" s="150"/>
      <c r="KP33" s="150"/>
      <c r="KQ33" s="150"/>
      <c r="KR33" s="150"/>
      <c r="KS33" s="150"/>
      <c r="KT33" s="150"/>
      <c r="KU33" s="150"/>
      <c r="KV33" s="150"/>
      <c r="KW33" s="150"/>
      <c r="KX33" s="150"/>
      <c r="KY33" s="150"/>
      <c r="KZ33" s="150"/>
      <c r="LA33" s="150"/>
      <c r="LB33" s="150"/>
      <c r="LC33" s="150"/>
      <c r="LD33" s="150"/>
      <c r="LE33" s="150"/>
      <c r="LF33" s="150"/>
      <c r="LG33" s="150"/>
      <c r="LH33" s="150"/>
      <c r="LI33" s="150"/>
      <c r="LJ33" s="150"/>
      <c r="LK33" s="150"/>
      <c r="LL33" s="150"/>
      <c r="LM33" s="150"/>
      <c r="LN33" s="150"/>
      <c r="LO33" s="150"/>
      <c r="LP33" s="150"/>
      <c r="LQ33" s="150"/>
      <c r="LR33" s="150"/>
      <c r="LS33" s="150"/>
      <c r="LT33" s="150"/>
      <c r="LU33" s="150"/>
      <c r="LV33" s="150"/>
      <c r="LW33" s="150"/>
      <c r="LX33" s="150"/>
      <c r="LY33" s="150"/>
      <c r="LZ33" s="150"/>
      <c r="MA33" s="150"/>
      <c r="MB33" s="150"/>
      <c r="MC33" s="150"/>
      <c r="MD33" s="150"/>
      <c r="ME33" s="150"/>
      <c r="MF33" s="150"/>
      <c r="MG33" s="150"/>
      <c r="MH33" s="150"/>
      <c r="MI33" s="150"/>
      <c r="MJ33" s="150"/>
      <c r="MK33" s="150"/>
      <c r="ML33" s="150"/>
      <c r="MM33" s="150"/>
      <c r="MN33" s="150"/>
      <c r="MO33" s="150"/>
      <c r="MP33" s="150"/>
      <c r="MQ33" s="150"/>
      <c r="MR33" s="150"/>
      <c r="MS33" s="150"/>
      <c r="MT33" s="150"/>
      <c r="MU33" s="150"/>
      <c r="MV33" s="150"/>
      <c r="MW33" s="150"/>
      <c r="MX33" s="150"/>
      <c r="MY33" s="150"/>
      <c r="MZ33" s="150"/>
      <c r="NA33" s="150"/>
      <c r="NB33" s="150"/>
      <c r="NC33" s="150"/>
      <c r="ND33" s="150"/>
      <c r="NE33" s="150"/>
      <c r="NF33" s="150"/>
      <c r="NG33" s="150"/>
      <c r="NH33" s="150"/>
      <c r="NI33" s="150"/>
      <c r="NJ33" s="150"/>
      <c r="NK33" s="150"/>
      <c r="NL33" s="150"/>
      <c r="NM33" s="150"/>
      <c r="NN33" s="150"/>
      <c r="NO33" s="150"/>
      <c r="NP33" s="150"/>
      <c r="NQ33" s="150"/>
      <c r="NR33" s="150"/>
      <c r="NS33" s="150"/>
      <c r="NT33" s="150"/>
      <c r="NU33" s="150"/>
      <c r="NV33" s="150"/>
      <c r="NW33" s="150"/>
      <c r="NX33" s="150"/>
      <c r="NY33" s="150"/>
      <c r="NZ33" s="150"/>
      <c r="OA33" s="150"/>
      <c r="OB33" s="150"/>
      <c r="OC33" s="150"/>
      <c r="OD33" s="150"/>
      <c r="OE33" s="150"/>
    </row>
    <row r="34" spans="1:395">
      <c r="A34" s="19"/>
      <c r="B34" s="17"/>
      <c r="C34" s="48">
        <v>2049</v>
      </c>
      <c r="D34" s="114">
        <v>0</v>
      </c>
      <c r="E34" s="114">
        <v>0.67017042703592533</v>
      </c>
      <c r="F34" s="114">
        <f t="shared" si="0"/>
        <v>36.333333333333336</v>
      </c>
      <c r="G34" s="114">
        <f t="shared" si="1"/>
        <v>33.166666666666664</v>
      </c>
      <c r="H34" s="114">
        <f t="shared" si="2"/>
        <v>44</v>
      </c>
      <c r="I34" s="114">
        <f t="shared" si="3"/>
        <v>88</v>
      </c>
      <c r="J34" s="17"/>
      <c r="K34" s="48">
        <v>2049</v>
      </c>
      <c r="L34" s="114">
        <v>0</v>
      </c>
      <c r="M34" s="114">
        <v>0.67017042703592533</v>
      </c>
      <c r="N34" s="114">
        <f t="shared" si="4"/>
        <v>44.333333333333329</v>
      </c>
      <c r="O34" s="114">
        <f t="shared" si="5"/>
        <v>37.166666666666664</v>
      </c>
      <c r="P34" s="114">
        <f t="shared" si="6"/>
        <v>67</v>
      </c>
      <c r="Q34" s="114">
        <f t="shared" si="7"/>
        <v>134</v>
      </c>
      <c r="R34" s="17"/>
      <c r="S34" s="48">
        <v>2049</v>
      </c>
      <c r="T34" s="114">
        <v>0</v>
      </c>
      <c r="U34" s="114">
        <v>0.67017042703592533</v>
      </c>
      <c r="V34" s="114">
        <f t="shared" si="8"/>
        <v>36.333333333333329</v>
      </c>
      <c r="W34" s="114">
        <f t="shared" si="9"/>
        <v>31.666666666666664</v>
      </c>
      <c r="X34" s="114">
        <f t="shared" si="10"/>
        <v>49</v>
      </c>
      <c r="Y34" s="114">
        <f t="shared" si="11"/>
        <v>98</v>
      </c>
      <c r="Z34" s="17"/>
      <c r="AA34" s="48">
        <v>2049</v>
      </c>
      <c r="AB34" s="114">
        <v>0</v>
      </c>
      <c r="AC34" s="114">
        <v>0.67017042703592533</v>
      </c>
      <c r="AD34" s="114">
        <f t="shared" si="12"/>
        <v>40</v>
      </c>
      <c r="AE34" s="114">
        <f t="shared" si="13"/>
        <v>60</v>
      </c>
      <c r="AF34" s="114">
        <f t="shared" si="14"/>
        <v>55</v>
      </c>
      <c r="AG34" s="114">
        <f t="shared" si="15"/>
        <v>110</v>
      </c>
      <c r="AH34" s="150"/>
      <c r="AI34" s="48">
        <v>2049</v>
      </c>
      <c r="AJ34" s="114">
        <v>0</v>
      </c>
      <c r="AK34" s="114">
        <v>0.67017042703592533</v>
      </c>
      <c r="AL34" s="114">
        <f t="shared" si="16"/>
        <v>36</v>
      </c>
      <c r="AM34" s="114">
        <f t="shared" si="17"/>
        <v>31.5</v>
      </c>
      <c r="AN34" s="114">
        <f t="shared" si="18"/>
        <v>49</v>
      </c>
      <c r="AO34" s="114">
        <f t="shared" si="19"/>
        <v>98</v>
      </c>
      <c r="AP34" s="150"/>
      <c r="AQ34" s="48">
        <v>2049</v>
      </c>
      <c r="AR34" s="114">
        <v>0</v>
      </c>
      <c r="AS34" s="114">
        <v>0.67017042703592533</v>
      </c>
      <c r="AT34" s="114">
        <f t="shared" si="20"/>
        <v>40</v>
      </c>
      <c r="AU34" s="114">
        <f t="shared" si="21"/>
        <v>35</v>
      </c>
      <c r="AV34" s="114">
        <f t="shared" si="22"/>
        <v>55</v>
      </c>
      <c r="AW34" s="114">
        <f t="shared" si="23"/>
        <v>110</v>
      </c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  <c r="IK34" s="150"/>
      <c r="IL34" s="150"/>
      <c r="IM34" s="150"/>
      <c r="IN34" s="150"/>
      <c r="IO34" s="150"/>
      <c r="IP34" s="150"/>
      <c r="IQ34" s="150"/>
      <c r="IR34" s="150"/>
      <c r="IS34" s="150"/>
      <c r="IT34" s="150"/>
      <c r="IU34" s="150"/>
      <c r="IV34" s="150"/>
      <c r="IW34" s="150"/>
      <c r="IX34" s="150"/>
      <c r="IY34" s="150"/>
      <c r="IZ34" s="150"/>
      <c r="JA34" s="150"/>
      <c r="JB34" s="150"/>
      <c r="JC34" s="150"/>
      <c r="JD34" s="150"/>
      <c r="JE34" s="150"/>
      <c r="JF34" s="150"/>
      <c r="JG34" s="150"/>
      <c r="JH34" s="150"/>
      <c r="JI34" s="150"/>
      <c r="JJ34" s="150"/>
      <c r="JK34" s="150"/>
      <c r="JL34" s="150"/>
      <c r="JM34" s="150"/>
      <c r="JN34" s="150"/>
      <c r="JO34" s="150"/>
      <c r="JP34" s="150"/>
      <c r="JQ34" s="150"/>
      <c r="JR34" s="150"/>
      <c r="JS34" s="150"/>
      <c r="JT34" s="150"/>
      <c r="JU34" s="150"/>
      <c r="JV34" s="150"/>
      <c r="JW34" s="150"/>
      <c r="JX34" s="150"/>
      <c r="JY34" s="150"/>
      <c r="JZ34" s="150"/>
      <c r="KA34" s="150"/>
      <c r="KB34" s="150"/>
      <c r="KC34" s="150"/>
      <c r="KD34" s="150"/>
      <c r="KE34" s="150"/>
      <c r="KF34" s="150"/>
      <c r="KG34" s="150"/>
      <c r="KH34" s="150"/>
      <c r="KI34" s="150"/>
      <c r="KJ34" s="150"/>
      <c r="KK34" s="150"/>
      <c r="KL34" s="150"/>
      <c r="KM34" s="150"/>
      <c r="KN34" s="150"/>
      <c r="KO34" s="150"/>
      <c r="KP34" s="150"/>
      <c r="KQ34" s="150"/>
      <c r="KR34" s="150"/>
      <c r="KS34" s="150"/>
      <c r="KT34" s="150"/>
      <c r="KU34" s="150"/>
      <c r="KV34" s="150"/>
      <c r="KW34" s="150"/>
      <c r="KX34" s="150"/>
      <c r="KY34" s="150"/>
      <c r="KZ34" s="150"/>
      <c r="LA34" s="150"/>
      <c r="LB34" s="150"/>
      <c r="LC34" s="150"/>
      <c r="LD34" s="150"/>
      <c r="LE34" s="150"/>
      <c r="LF34" s="150"/>
      <c r="LG34" s="150"/>
      <c r="LH34" s="150"/>
      <c r="LI34" s="150"/>
      <c r="LJ34" s="150"/>
      <c r="LK34" s="150"/>
      <c r="LL34" s="150"/>
      <c r="LM34" s="150"/>
      <c r="LN34" s="150"/>
      <c r="LO34" s="150"/>
      <c r="LP34" s="150"/>
      <c r="LQ34" s="150"/>
      <c r="LR34" s="150"/>
      <c r="LS34" s="150"/>
      <c r="LT34" s="150"/>
      <c r="LU34" s="150"/>
      <c r="LV34" s="150"/>
      <c r="LW34" s="150"/>
      <c r="LX34" s="150"/>
      <c r="LY34" s="150"/>
      <c r="LZ34" s="150"/>
      <c r="MA34" s="150"/>
      <c r="MB34" s="150"/>
      <c r="MC34" s="150"/>
      <c r="MD34" s="150"/>
      <c r="ME34" s="150"/>
      <c r="MF34" s="150"/>
      <c r="MG34" s="150"/>
      <c r="MH34" s="150"/>
      <c r="MI34" s="150"/>
      <c r="MJ34" s="150"/>
      <c r="MK34" s="150"/>
      <c r="ML34" s="150"/>
      <c r="MM34" s="150"/>
      <c r="MN34" s="150"/>
      <c r="MO34" s="150"/>
      <c r="MP34" s="150"/>
      <c r="MQ34" s="150"/>
      <c r="MR34" s="150"/>
      <c r="MS34" s="150"/>
      <c r="MT34" s="150"/>
      <c r="MU34" s="150"/>
      <c r="MV34" s="150"/>
      <c r="MW34" s="150"/>
      <c r="MX34" s="150"/>
      <c r="MY34" s="150"/>
      <c r="MZ34" s="150"/>
      <c r="NA34" s="150"/>
      <c r="NB34" s="150"/>
      <c r="NC34" s="150"/>
      <c r="ND34" s="150"/>
      <c r="NE34" s="150"/>
      <c r="NF34" s="150"/>
      <c r="NG34" s="150"/>
      <c r="NH34" s="150"/>
      <c r="NI34" s="150"/>
      <c r="NJ34" s="150"/>
      <c r="NK34" s="150"/>
      <c r="NL34" s="150"/>
      <c r="NM34" s="150"/>
      <c r="NN34" s="150"/>
      <c r="NO34" s="150"/>
      <c r="NP34" s="150"/>
      <c r="NQ34" s="150"/>
      <c r="NR34" s="150"/>
      <c r="NS34" s="150"/>
      <c r="NT34" s="150"/>
      <c r="NU34" s="150"/>
      <c r="NV34" s="150"/>
      <c r="NW34" s="150"/>
      <c r="NX34" s="150"/>
      <c r="NY34" s="150"/>
      <c r="NZ34" s="150"/>
      <c r="OA34" s="150"/>
      <c r="OB34" s="150"/>
      <c r="OC34" s="150"/>
      <c r="OD34" s="150"/>
      <c r="OE34" s="150"/>
    </row>
    <row r="35" spans="1:395">
      <c r="A35" s="19"/>
      <c r="B35" s="17"/>
      <c r="C35" s="48">
        <v>2050</v>
      </c>
      <c r="D35" s="114">
        <v>0</v>
      </c>
      <c r="E35" s="114">
        <v>0.52990219812142936</v>
      </c>
      <c r="F35" s="114">
        <f t="shared" si="0"/>
        <v>30.333333333333332</v>
      </c>
      <c r="G35" s="114">
        <f t="shared" si="1"/>
        <v>27.666666666666668</v>
      </c>
      <c r="H35" s="114">
        <f t="shared" si="2"/>
        <v>37</v>
      </c>
      <c r="I35" s="114">
        <f t="shared" si="3"/>
        <v>74</v>
      </c>
      <c r="J35" s="17"/>
      <c r="K35" s="48">
        <v>2050</v>
      </c>
      <c r="L35" s="114">
        <v>0</v>
      </c>
      <c r="M35" s="114">
        <v>0.52990219812142936</v>
      </c>
      <c r="N35" s="114">
        <f t="shared" si="4"/>
        <v>37</v>
      </c>
      <c r="O35" s="114">
        <f t="shared" si="5"/>
        <v>31</v>
      </c>
      <c r="P35" s="114">
        <f t="shared" si="6"/>
        <v>56</v>
      </c>
      <c r="Q35" s="114">
        <f t="shared" si="7"/>
        <v>112</v>
      </c>
      <c r="R35" s="17"/>
      <c r="S35" s="48">
        <v>2050</v>
      </c>
      <c r="T35" s="114">
        <v>0</v>
      </c>
      <c r="U35" s="114">
        <v>0.52990219812142936</v>
      </c>
      <c r="V35" s="114">
        <f t="shared" si="8"/>
        <v>29.666666666666664</v>
      </c>
      <c r="W35" s="114">
        <f t="shared" si="9"/>
        <v>25.833333333333332</v>
      </c>
      <c r="X35" s="114">
        <f t="shared" si="10"/>
        <v>41</v>
      </c>
      <c r="Y35" s="114">
        <f t="shared" si="11"/>
        <v>82</v>
      </c>
      <c r="Z35" s="17"/>
      <c r="AA35" s="48">
        <v>2050</v>
      </c>
      <c r="AB35" s="114">
        <v>0</v>
      </c>
      <c r="AC35" s="114">
        <v>0.52990219812142936</v>
      </c>
      <c r="AD35" s="114">
        <f t="shared" si="12"/>
        <v>33.333333333333329</v>
      </c>
      <c r="AE35" s="114">
        <f t="shared" si="13"/>
        <v>50.166666666666664</v>
      </c>
      <c r="AF35" s="114">
        <f t="shared" si="14"/>
        <v>46</v>
      </c>
      <c r="AG35" s="114">
        <f t="shared" si="15"/>
        <v>92</v>
      </c>
      <c r="AH35" s="150"/>
      <c r="AI35" s="48">
        <v>2050</v>
      </c>
      <c r="AJ35" s="114">
        <v>0</v>
      </c>
      <c r="AK35" s="114">
        <v>0.52990219812142936</v>
      </c>
      <c r="AL35" s="114">
        <f t="shared" si="16"/>
        <v>29.666666666666664</v>
      </c>
      <c r="AM35" s="114">
        <f t="shared" si="17"/>
        <v>25.833333333333332</v>
      </c>
      <c r="AN35" s="114">
        <f t="shared" si="18"/>
        <v>41</v>
      </c>
      <c r="AO35" s="114">
        <f t="shared" si="19"/>
        <v>82</v>
      </c>
      <c r="AP35" s="150"/>
      <c r="AQ35" s="48">
        <v>2050</v>
      </c>
      <c r="AR35" s="114">
        <v>0</v>
      </c>
      <c r="AS35" s="114">
        <v>0.52990219812142936</v>
      </c>
      <c r="AT35" s="114">
        <f t="shared" si="20"/>
        <v>33.333333333333329</v>
      </c>
      <c r="AU35" s="114">
        <f t="shared" si="21"/>
        <v>29.166666666666664</v>
      </c>
      <c r="AV35" s="114">
        <f t="shared" si="22"/>
        <v>46</v>
      </c>
      <c r="AW35" s="114">
        <f t="shared" si="23"/>
        <v>92</v>
      </c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  <c r="IP35" s="150"/>
      <c r="IQ35" s="150"/>
      <c r="IR35" s="150"/>
      <c r="IS35" s="150"/>
      <c r="IT35" s="150"/>
      <c r="IU35" s="150"/>
      <c r="IV35" s="150"/>
      <c r="IW35" s="150"/>
      <c r="IX35" s="150"/>
      <c r="IY35" s="150"/>
      <c r="IZ35" s="150"/>
      <c r="JA35" s="150"/>
      <c r="JB35" s="150"/>
      <c r="JC35" s="150"/>
      <c r="JD35" s="150"/>
      <c r="JE35" s="150"/>
      <c r="JF35" s="150"/>
      <c r="JG35" s="150"/>
      <c r="JH35" s="150"/>
      <c r="JI35" s="150"/>
      <c r="JJ35" s="150"/>
      <c r="JK35" s="150"/>
      <c r="JL35" s="150"/>
      <c r="JM35" s="150"/>
      <c r="JN35" s="150"/>
      <c r="JO35" s="150"/>
      <c r="JP35" s="150"/>
      <c r="JQ35" s="150"/>
      <c r="JR35" s="150"/>
      <c r="JS35" s="150"/>
      <c r="JT35" s="150"/>
      <c r="JU35" s="150"/>
      <c r="JV35" s="150"/>
      <c r="JW35" s="150"/>
      <c r="JX35" s="150"/>
      <c r="JY35" s="150"/>
      <c r="JZ35" s="150"/>
      <c r="KA35" s="150"/>
      <c r="KB35" s="150"/>
      <c r="KC35" s="150"/>
      <c r="KD35" s="150"/>
      <c r="KE35" s="150"/>
      <c r="KF35" s="150"/>
      <c r="KG35" s="150"/>
      <c r="KH35" s="150"/>
      <c r="KI35" s="150"/>
      <c r="KJ35" s="150"/>
      <c r="KK35" s="150"/>
      <c r="KL35" s="150"/>
      <c r="KM35" s="150"/>
      <c r="KN35" s="150"/>
      <c r="KO35" s="150"/>
      <c r="KP35" s="150"/>
      <c r="KQ35" s="150"/>
      <c r="KR35" s="150"/>
      <c r="KS35" s="150"/>
      <c r="KT35" s="150"/>
      <c r="KU35" s="150"/>
      <c r="KV35" s="150"/>
      <c r="KW35" s="150"/>
      <c r="KX35" s="150"/>
      <c r="KY35" s="150"/>
      <c r="KZ35" s="150"/>
      <c r="LA35" s="150"/>
      <c r="LB35" s="150"/>
      <c r="LC35" s="150"/>
      <c r="LD35" s="150"/>
      <c r="LE35" s="150"/>
      <c r="LF35" s="150"/>
      <c r="LG35" s="150"/>
      <c r="LH35" s="150"/>
      <c r="LI35" s="150"/>
      <c r="LJ35" s="150"/>
      <c r="LK35" s="150"/>
      <c r="LL35" s="150"/>
      <c r="LM35" s="150"/>
      <c r="LN35" s="150"/>
      <c r="LO35" s="150"/>
      <c r="LP35" s="150"/>
      <c r="LQ35" s="150"/>
      <c r="LR35" s="150"/>
      <c r="LS35" s="150"/>
      <c r="LT35" s="150"/>
      <c r="LU35" s="150"/>
      <c r="LV35" s="150"/>
      <c r="LW35" s="150"/>
      <c r="LX35" s="150"/>
      <c r="LY35" s="150"/>
      <c r="LZ35" s="150"/>
      <c r="MA35" s="150"/>
      <c r="MB35" s="150"/>
      <c r="MC35" s="150"/>
      <c r="MD35" s="150"/>
      <c r="ME35" s="150"/>
      <c r="MF35" s="150"/>
      <c r="MG35" s="150"/>
      <c r="MH35" s="150"/>
      <c r="MI35" s="150"/>
      <c r="MJ35" s="150"/>
      <c r="MK35" s="150"/>
      <c r="ML35" s="150"/>
      <c r="MM35" s="150"/>
      <c r="MN35" s="150"/>
      <c r="MO35" s="150"/>
      <c r="MP35" s="150"/>
      <c r="MQ35" s="150"/>
      <c r="MR35" s="150"/>
      <c r="MS35" s="150"/>
      <c r="MT35" s="150"/>
      <c r="MU35" s="150"/>
      <c r="MV35" s="150"/>
      <c r="MW35" s="150"/>
      <c r="MX35" s="150"/>
      <c r="MY35" s="150"/>
      <c r="MZ35" s="150"/>
      <c r="NA35" s="150"/>
      <c r="NB35" s="150"/>
      <c r="NC35" s="150"/>
      <c r="ND35" s="150"/>
      <c r="NE35" s="150"/>
      <c r="NF35" s="150"/>
      <c r="NG35" s="150"/>
      <c r="NH35" s="150"/>
      <c r="NI35" s="150"/>
      <c r="NJ35" s="150"/>
      <c r="NK35" s="150"/>
      <c r="NL35" s="150"/>
      <c r="NM35" s="150"/>
      <c r="NN35" s="150"/>
      <c r="NO35" s="150"/>
      <c r="NP35" s="150"/>
      <c r="NQ35" s="150"/>
      <c r="NR35" s="150"/>
      <c r="NS35" s="150"/>
      <c r="NT35" s="150"/>
      <c r="NU35" s="150"/>
      <c r="NV35" s="150"/>
      <c r="NW35" s="150"/>
      <c r="NX35" s="150"/>
      <c r="NY35" s="150"/>
      <c r="NZ35" s="150"/>
      <c r="OA35" s="150"/>
      <c r="OB35" s="150"/>
      <c r="OC35" s="150"/>
      <c r="OD35" s="150"/>
      <c r="OE35" s="150"/>
    </row>
    <row r="36" spans="1:395">
      <c r="A36" s="19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50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  <c r="IK36" s="150"/>
      <c r="IL36" s="150"/>
      <c r="IM36" s="150"/>
      <c r="IN36" s="150"/>
      <c r="IO36" s="150"/>
      <c r="IP36" s="150"/>
      <c r="IQ36" s="150"/>
      <c r="IR36" s="150"/>
      <c r="IS36" s="150"/>
      <c r="IT36" s="150"/>
      <c r="IU36" s="150"/>
      <c r="IV36" s="150"/>
      <c r="IW36" s="150"/>
      <c r="IX36" s="150"/>
      <c r="IY36" s="150"/>
      <c r="IZ36" s="150"/>
      <c r="JA36" s="150"/>
      <c r="JB36" s="150"/>
      <c r="JC36" s="150"/>
      <c r="JD36" s="150"/>
      <c r="JE36" s="150"/>
      <c r="JF36" s="150"/>
      <c r="JG36" s="150"/>
      <c r="JH36" s="150"/>
      <c r="JI36" s="150"/>
      <c r="JJ36" s="150"/>
      <c r="JK36" s="150"/>
      <c r="JL36" s="150"/>
      <c r="JM36" s="150"/>
      <c r="JN36" s="150"/>
      <c r="JO36" s="150"/>
      <c r="JP36" s="150"/>
      <c r="JQ36" s="150"/>
      <c r="JR36" s="150"/>
      <c r="JS36" s="150"/>
      <c r="JT36" s="150"/>
      <c r="JU36" s="150"/>
      <c r="JV36" s="150"/>
      <c r="JW36" s="150"/>
      <c r="JX36" s="150"/>
      <c r="JY36" s="150"/>
      <c r="JZ36" s="150"/>
      <c r="KA36" s="150"/>
      <c r="KB36" s="150"/>
      <c r="KC36" s="150"/>
      <c r="KD36" s="150"/>
      <c r="KE36" s="150"/>
      <c r="KF36" s="150"/>
      <c r="KG36" s="150"/>
      <c r="KH36" s="150"/>
      <c r="KI36" s="150"/>
      <c r="KJ36" s="150"/>
      <c r="KK36" s="150"/>
      <c r="KL36" s="150"/>
      <c r="KM36" s="150"/>
      <c r="KN36" s="150"/>
      <c r="KO36" s="150"/>
      <c r="KP36" s="150"/>
      <c r="KQ36" s="150"/>
      <c r="KR36" s="150"/>
      <c r="KS36" s="150"/>
      <c r="KT36" s="150"/>
      <c r="KU36" s="150"/>
      <c r="KV36" s="150"/>
      <c r="KW36" s="150"/>
      <c r="KX36" s="150"/>
      <c r="KY36" s="150"/>
      <c r="KZ36" s="150"/>
      <c r="LA36" s="150"/>
      <c r="LB36" s="150"/>
      <c r="LC36" s="150"/>
      <c r="LD36" s="150"/>
      <c r="LE36" s="150"/>
      <c r="LF36" s="150"/>
      <c r="LG36" s="150"/>
      <c r="LH36" s="150"/>
      <c r="LI36" s="150"/>
      <c r="LJ36" s="150"/>
      <c r="LK36" s="150"/>
      <c r="LL36" s="150"/>
      <c r="LM36" s="150"/>
      <c r="LN36" s="150"/>
      <c r="LO36" s="150"/>
      <c r="LP36" s="150"/>
      <c r="LQ36" s="150"/>
      <c r="LR36" s="150"/>
      <c r="LS36" s="150"/>
      <c r="LT36" s="150"/>
      <c r="LU36" s="150"/>
      <c r="LV36" s="150"/>
      <c r="LW36" s="150"/>
      <c r="LX36" s="150"/>
      <c r="LY36" s="150"/>
      <c r="LZ36" s="150"/>
      <c r="MA36" s="150"/>
      <c r="MB36" s="150"/>
      <c r="MC36" s="150"/>
      <c r="MD36" s="150"/>
      <c r="ME36" s="150"/>
      <c r="MF36" s="150"/>
      <c r="MG36" s="150"/>
      <c r="MH36" s="150"/>
      <c r="MI36" s="150"/>
      <c r="MJ36" s="150"/>
      <c r="MK36" s="150"/>
      <c r="ML36" s="150"/>
      <c r="MM36" s="150"/>
      <c r="MN36" s="150"/>
      <c r="MO36" s="150"/>
      <c r="MP36" s="150"/>
      <c r="MQ36" s="150"/>
      <c r="MR36" s="150"/>
      <c r="MS36" s="150"/>
      <c r="MT36" s="150"/>
      <c r="MU36" s="150"/>
      <c r="MV36" s="150"/>
      <c r="MW36" s="150"/>
      <c r="MX36" s="150"/>
      <c r="MY36" s="150"/>
      <c r="MZ36" s="150"/>
      <c r="NA36" s="150"/>
      <c r="NB36" s="150"/>
      <c r="NC36" s="150"/>
      <c r="ND36" s="150"/>
      <c r="NE36" s="150"/>
      <c r="NF36" s="150"/>
      <c r="NG36" s="150"/>
      <c r="NH36" s="150"/>
      <c r="NI36" s="150"/>
      <c r="NJ36" s="150"/>
      <c r="NK36" s="150"/>
      <c r="NL36" s="150"/>
      <c r="NM36" s="150"/>
      <c r="NN36" s="150"/>
      <c r="NO36" s="150"/>
      <c r="NP36" s="150"/>
      <c r="NQ36" s="150"/>
      <c r="NR36" s="150"/>
      <c r="NS36" s="150"/>
      <c r="NT36" s="150"/>
      <c r="NU36" s="150"/>
      <c r="NV36" s="150"/>
      <c r="NW36" s="150"/>
      <c r="NX36" s="150"/>
      <c r="NY36" s="150"/>
      <c r="NZ36" s="150"/>
      <c r="OA36" s="150"/>
      <c r="OB36" s="150"/>
      <c r="OC36" s="150"/>
      <c r="OD36" s="150"/>
      <c r="OE36" s="150"/>
    </row>
    <row r="37" spans="1:395">
      <c r="A37" s="19"/>
      <c r="B37" s="17"/>
      <c r="C37" s="17" t="s">
        <v>420</v>
      </c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50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  <c r="IK37" s="150"/>
      <c r="IL37" s="150"/>
      <c r="IM37" s="150"/>
      <c r="IN37" s="150"/>
      <c r="IO37" s="150"/>
      <c r="IP37" s="150"/>
      <c r="IQ37" s="150"/>
      <c r="IR37" s="150"/>
      <c r="IS37" s="150"/>
      <c r="IT37" s="150"/>
      <c r="IU37" s="150"/>
      <c r="IV37" s="150"/>
      <c r="IW37" s="150"/>
      <c r="IX37" s="150"/>
      <c r="IY37" s="150"/>
      <c r="IZ37" s="150"/>
      <c r="JA37" s="150"/>
      <c r="JB37" s="150"/>
      <c r="JC37" s="150"/>
      <c r="JD37" s="150"/>
      <c r="JE37" s="150"/>
      <c r="JF37" s="150"/>
      <c r="JG37" s="150"/>
      <c r="JH37" s="150"/>
      <c r="JI37" s="150"/>
      <c r="JJ37" s="150"/>
      <c r="JK37" s="150"/>
      <c r="JL37" s="150"/>
      <c r="JM37" s="150"/>
      <c r="JN37" s="150"/>
      <c r="JO37" s="150"/>
      <c r="JP37" s="150"/>
      <c r="JQ37" s="150"/>
      <c r="JR37" s="150"/>
      <c r="JS37" s="150"/>
      <c r="JT37" s="150"/>
      <c r="JU37" s="150"/>
      <c r="JV37" s="150"/>
      <c r="JW37" s="150"/>
      <c r="JX37" s="150"/>
      <c r="JY37" s="150"/>
      <c r="JZ37" s="150"/>
      <c r="KA37" s="150"/>
      <c r="KB37" s="150"/>
      <c r="KC37" s="150"/>
      <c r="KD37" s="150"/>
      <c r="KE37" s="150"/>
      <c r="KF37" s="150"/>
      <c r="KG37" s="150"/>
      <c r="KH37" s="150"/>
      <c r="KI37" s="150"/>
      <c r="KJ37" s="150"/>
      <c r="KK37" s="150"/>
      <c r="KL37" s="150"/>
      <c r="KM37" s="150"/>
      <c r="KN37" s="150"/>
      <c r="KO37" s="150"/>
      <c r="KP37" s="150"/>
      <c r="KQ37" s="150"/>
      <c r="KR37" s="150"/>
      <c r="KS37" s="150"/>
      <c r="KT37" s="150"/>
      <c r="KU37" s="150"/>
      <c r="KV37" s="150"/>
      <c r="KW37" s="150"/>
      <c r="KX37" s="150"/>
      <c r="KY37" s="150"/>
      <c r="KZ37" s="150"/>
      <c r="LA37" s="150"/>
      <c r="LB37" s="150"/>
      <c r="LC37" s="150"/>
      <c r="LD37" s="150"/>
      <c r="LE37" s="150"/>
      <c r="LF37" s="150"/>
      <c r="LG37" s="150"/>
      <c r="LH37" s="150"/>
      <c r="LI37" s="150"/>
      <c r="LJ37" s="150"/>
      <c r="LK37" s="150"/>
      <c r="LL37" s="150"/>
      <c r="LM37" s="150"/>
      <c r="LN37" s="150"/>
      <c r="LO37" s="150"/>
      <c r="LP37" s="150"/>
      <c r="LQ37" s="150"/>
      <c r="LR37" s="150"/>
      <c r="LS37" s="150"/>
      <c r="LT37" s="150"/>
      <c r="LU37" s="150"/>
      <c r="LV37" s="150"/>
      <c r="LW37" s="150"/>
      <c r="LX37" s="150"/>
      <c r="LY37" s="150"/>
      <c r="LZ37" s="150"/>
      <c r="MA37" s="150"/>
      <c r="MB37" s="150"/>
      <c r="MC37" s="150"/>
      <c r="MD37" s="150"/>
      <c r="ME37" s="150"/>
      <c r="MF37" s="150"/>
      <c r="MG37" s="150"/>
      <c r="MH37" s="150"/>
      <c r="MI37" s="150"/>
      <c r="MJ37" s="150"/>
      <c r="MK37" s="150"/>
      <c r="ML37" s="150"/>
      <c r="MM37" s="150"/>
      <c r="MN37" s="150"/>
      <c r="MO37" s="150"/>
      <c r="MP37" s="150"/>
      <c r="MQ37" s="150"/>
      <c r="MR37" s="150"/>
      <c r="MS37" s="150"/>
      <c r="MT37" s="150"/>
      <c r="MU37" s="150"/>
      <c r="MV37" s="150"/>
      <c r="MW37" s="150"/>
      <c r="MX37" s="150"/>
      <c r="MY37" s="150"/>
      <c r="MZ37" s="150"/>
      <c r="NA37" s="150"/>
      <c r="NB37" s="150"/>
      <c r="NC37" s="150"/>
      <c r="ND37" s="150"/>
      <c r="NE37" s="150"/>
      <c r="NF37" s="150"/>
      <c r="NG37" s="150"/>
      <c r="NH37" s="150"/>
      <c r="NI37" s="150"/>
      <c r="NJ37" s="150"/>
      <c r="NK37" s="150"/>
      <c r="NL37" s="150"/>
      <c r="NM37" s="150"/>
      <c r="NN37" s="150"/>
      <c r="NO37" s="150"/>
      <c r="NP37" s="150"/>
      <c r="NQ37" s="150"/>
      <c r="NR37" s="150"/>
      <c r="NS37" s="150"/>
      <c r="NT37" s="150"/>
      <c r="NU37" s="150"/>
      <c r="NV37" s="150"/>
      <c r="NW37" s="150"/>
      <c r="NX37" s="150"/>
      <c r="NY37" s="150"/>
      <c r="NZ37" s="150"/>
      <c r="OA37" s="150"/>
      <c r="OB37" s="150"/>
      <c r="OC37" s="150"/>
      <c r="OD37" s="150"/>
      <c r="OE37" s="150"/>
    </row>
    <row r="38" spans="1:395" ht="15">
      <c r="A38" s="19"/>
      <c r="B38" s="17"/>
      <c r="C38" s="17" t="s">
        <v>387</v>
      </c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50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  <c r="IK38" s="150"/>
      <c r="IL38" s="150"/>
      <c r="IM38" s="150"/>
      <c r="IN38" s="150"/>
      <c r="IO38" s="150"/>
      <c r="IP38" s="150"/>
      <c r="IQ38" s="150"/>
      <c r="IR38" s="150"/>
      <c r="IS38" s="150"/>
      <c r="IT38" s="150"/>
      <c r="IU38" s="150"/>
      <c r="IV38" s="150"/>
      <c r="IW38" s="150"/>
      <c r="IX38" s="150"/>
      <c r="IY38" s="150"/>
      <c r="IZ38" s="150"/>
      <c r="JA38" s="150"/>
      <c r="JB38" s="150"/>
      <c r="JC38" s="150"/>
      <c r="JD38" s="150"/>
      <c r="JE38" s="150"/>
      <c r="JF38" s="150"/>
      <c r="JG38" s="150"/>
      <c r="JH38" s="150"/>
      <c r="JI38" s="150"/>
      <c r="JJ38" s="150"/>
      <c r="JK38" s="150"/>
      <c r="JL38" s="150"/>
      <c r="JM38" s="150"/>
      <c r="JN38" s="150"/>
      <c r="JO38" s="150"/>
      <c r="JP38" s="150"/>
      <c r="JQ38" s="150"/>
      <c r="JR38" s="150"/>
      <c r="JS38" s="150"/>
      <c r="JT38" s="150"/>
      <c r="JU38" s="150"/>
      <c r="JV38" s="150"/>
      <c r="JW38" s="150"/>
      <c r="JX38" s="150"/>
      <c r="JY38" s="150"/>
      <c r="JZ38" s="150"/>
      <c r="KA38" s="150"/>
      <c r="KB38" s="150"/>
      <c r="KC38" s="150"/>
      <c r="KD38" s="150"/>
      <c r="KE38" s="150"/>
      <c r="KF38" s="150"/>
      <c r="KG38" s="150"/>
      <c r="KH38" s="150"/>
      <c r="KI38" s="150"/>
      <c r="KJ38" s="150"/>
      <c r="KK38" s="150"/>
      <c r="KL38" s="150"/>
      <c r="KM38" s="150"/>
      <c r="KN38" s="150"/>
      <c r="KO38" s="150"/>
      <c r="KP38" s="150"/>
      <c r="KQ38" s="150"/>
      <c r="KR38" s="150"/>
      <c r="KS38" s="150"/>
      <c r="KT38" s="150"/>
      <c r="KU38" s="150"/>
      <c r="KV38" s="150"/>
      <c r="KW38" s="150"/>
      <c r="KX38" s="150"/>
      <c r="KY38" s="150"/>
      <c r="KZ38" s="150"/>
      <c r="LA38" s="150"/>
      <c r="LB38" s="150"/>
      <c r="LC38" s="150"/>
      <c r="LD38" s="150"/>
      <c r="LE38" s="150"/>
      <c r="LF38" s="150"/>
      <c r="LG38" s="150"/>
      <c r="LH38" s="150"/>
      <c r="LI38" s="150"/>
      <c r="LJ38" s="150"/>
      <c r="LK38" s="150"/>
      <c r="LL38" s="150"/>
      <c r="LM38" s="150"/>
      <c r="LN38" s="150"/>
      <c r="LO38" s="150"/>
      <c r="LP38" s="150"/>
      <c r="LQ38" s="150"/>
      <c r="LR38" s="150"/>
      <c r="LS38" s="150"/>
      <c r="LT38" s="150"/>
      <c r="LU38" s="150"/>
      <c r="LV38" s="150"/>
      <c r="LW38" s="150"/>
      <c r="LX38" s="150"/>
      <c r="LY38" s="150"/>
      <c r="LZ38" s="150"/>
      <c r="MA38" s="150"/>
      <c r="MB38" s="150"/>
      <c r="MC38" s="150"/>
      <c r="MD38" s="150"/>
      <c r="ME38" s="150"/>
      <c r="MF38" s="150"/>
      <c r="MG38" s="150"/>
      <c r="MH38" s="150"/>
      <c r="MI38" s="150"/>
      <c r="MJ38" s="150"/>
      <c r="MK38" s="150"/>
      <c r="ML38" s="150"/>
      <c r="MM38" s="150"/>
      <c r="MN38" s="150"/>
      <c r="MO38" s="150"/>
      <c r="MP38" s="150"/>
      <c r="MQ38" s="150"/>
      <c r="MR38" s="150"/>
      <c r="MS38" s="150"/>
      <c r="MT38" s="150"/>
      <c r="MU38" s="150"/>
      <c r="MV38" s="150"/>
      <c r="MW38" s="150"/>
      <c r="MX38" s="150"/>
      <c r="MY38" s="150"/>
      <c r="MZ38" s="150"/>
      <c r="NA38" s="150"/>
      <c r="NB38" s="150"/>
      <c r="NC38" s="150"/>
      <c r="ND38" s="150"/>
      <c r="NE38" s="150"/>
      <c r="NF38" s="150"/>
      <c r="NG38" s="150"/>
      <c r="NH38" s="150"/>
      <c r="NI38" s="150"/>
      <c r="NJ38" s="150"/>
      <c r="NK38" s="150"/>
      <c r="NL38" s="150"/>
      <c r="NM38" s="150"/>
      <c r="NN38" s="150"/>
      <c r="NO38" s="150"/>
      <c r="NP38" s="150"/>
      <c r="NQ38" s="150"/>
      <c r="NR38" s="150"/>
      <c r="NS38" s="150"/>
      <c r="NT38" s="150"/>
      <c r="NU38" s="150"/>
      <c r="NV38" s="150"/>
      <c r="NW38" s="150"/>
      <c r="NX38" s="150"/>
      <c r="NY38" s="150"/>
      <c r="NZ38" s="150"/>
      <c r="OA38" s="150"/>
      <c r="OB38" s="150"/>
      <c r="OC38" s="150"/>
      <c r="OD38" s="150"/>
      <c r="OE38" s="150"/>
    </row>
    <row r="39" spans="1:395">
      <c r="A39" s="19"/>
      <c r="B39" s="17"/>
      <c r="C39" s="17" t="s">
        <v>386</v>
      </c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50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  <c r="IK39" s="150"/>
      <c r="IL39" s="150"/>
      <c r="IM39" s="150"/>
      <c r="IN39" s="150"/>
      <c r="IO39" s="150"/>
      <c r="IP39" s="150"/>
      <c r="IQ39" s="150"/>
      <c r="IR39" s="150"/>
      <c r="IS39" s="150"/>
      <c r="IT39" s="150"/>
      <c r="IU39" s="150"/>
      <c r="IV39" s="150"/>
      <c r="IW39" s="150"/>
      <c r="IX39" s="150"/>
      <c r="IY39" s="150"/>
      <c r="IZ39" s="150"/>
      <c r="JA39" s="150"/>
      <c r="JB39" s="150"/>
      <c r="JC39" s="150"/>
      <c r="JD39" s="150"/>
      <c r="JE39" s="150"/>
      <c r="JF39" s="150"/>
      <c r="JG39" s="150"/>
      <c r="JH39" s="150"/>
      <c r="JI39" s="150"/>
      <c r="JJ39" s="150"/>
      <c r="JK39" s="150"/>
      <c r="JL39" s="150"/>
      <c r="JM39" s="150"/>
      <c r="JN39" s="150"/>
      <c r="JO39" s="150"/>
      <c r="JP39" s="150"/>
      <c r="JQ39" s="150"/>
      <c r="JR39" s="150"/>
      <c r="JS39" s="150"/>
      <c r="JT39" s="150"/>
      <c r="JU39" s="150"/>
      <c r="JV39" s="150"/>
      <c r="JW39" s="150"/>
      <c r="JX39" s="150"/>
      <c r="JY39" s="150"/>
      <c r="JZ39" s="150"/>
      <c r="KA39" s="150"/>
      <c r="KB39" s="150"/>
      <c r="KC39" s="150"/>
      <c r="KD39" s="150"/>
      <c r="KE39" s="150"/>
      <c r="KF39" s="150"/>
      <c r="KG39" s="150"/>
      <c r="KH39" s="150"/>
      <c r="KI39" s="150"/>
      <c r="KJ39" s="150"/>
      <c r="KK39" s="150"/>
      <c r="KL39" s="150"/>
      <c r="KM39" s="150"/>
      <c r="KN39" s="150"/>
      <c r="KO39" s="150"/>
      <c r="KP39" s="150"/>
      <c r="KQ39" s="150"/>
      <c r="KR39" s="150"/>
      <c r="KS39" s="150"/>
      <c r="KT39" s="150"/>
      <c r="KU39" s="150"/>
      <c r="KV39" s="150"/>
      <c r="KW39" s="150"/>
      <c r="KX39" s="150"/>
      <c r="KY39" s="150"/>
      <c r="KZ39" s="150"/>
      <c r="LA39" s="150"/>
      <c r="LB39" s="150"/>
      <c r="LC39" s="150"/>
      <c r="LD39" s="150"/>
      <c r="LE39" s="150"/>
      <c r="LF39" s="150"/>
      <c r="LG39" s="150"/>
      <c r="LH39" s="150"/>
      <c r="LI39" s="150"/>
      <c r="LJ39" s="150"/>
      <c r="LK39" s="150"/>
      <c r="LL39" s="150"/>
      <c r="LM39" s="150"/>
      <c r="LN39" s="150"/>
      <c r="LO39" s="150"/>
      <c r="LP39" s="150"/>
      <c r="LQ39" s="150"/>
      <c r="LR39" s="150"/>
      <c r="LS39" s="150"/>
      <c r="LT39" s="150"/>
      <c r="LU39" s="150"/>
      <c r="LV39" s="150"/>
      <c r="LW39" s="150"/>
      <c r="LX39" s="150"/>
      <c r="LY39" s="150"/>
      <c r="LZ39" s="150"/>
      <c r="MA39" s="150"/>
      <c r="MB39" s="150"/>
      <c r="MC39" s="150"/>
      <c r="MD39" s="150"/>
      <c r="ME39" s="150"/>
      <c r="MF39" s="150"/>
      <c r="MG39" s="150"/>
      <c r="MH39" s="150"/>
      <c r="MI39" s="150"/>
      <c r="MJ39" s="150"/>
      <c r="MK39" s="150"/>
      <c r="ML39" s="150"/>
      <c r="MM39" s="150"/>
      <c r="MN39" s="150"/>
      <c r="MO39" s="150"/>
      <c r="MP39" s="150"/>
      <c r="MQ39" s="150"/>
      <c r="MR39" s="150"/>
      <c r="MS39" s="150"/>
      <c r="MT39" s="150"/>
      <c r="MU39" s="150"/>
      <c r="MV39" s="150"/>
      <c r="MW39" s="150"/>
      <c r="MX39" s="150"/>
      <c r="MY39" s="150"/>
      <c r="MZ39" s="150"/>
      <c r="NA39" s="150"/>
      <c r="NB39" s="150"/>
      <c r="NC39" s="150"/>
      <c r="ND39" s="150"/>
      <c r="NE39" s="150"/>
      <c r="NF39" s="150"/>
      <c r="NG39" s="150"/>
      <c r="NH39" s="150"/>
      <c r="NI39" s="150"/>
      <c r="NJ39" s="150"/>
      <c r="NK39" s="150"/>
      <c r="NL39" s="150"/>
      <c r="NM39" s="150"/>
      <c r="NN39" s="150"/>
      <c r="NO39" s="150"/>
      <c r="NP39" s="150"/>
      <c r="NQ39" s="150"/>
      <c r="NR39" s="150"/>
      <c r="NS39" s="150"/>
      <c r="NT39" s="150"/>
      <c r="NU39" s="150"/>
      <c r="NV39" s="150"/>
      <c r="NW39" s="150"/>
      <c r="NX39" s="150"/>
      <c r="NY39" s="150"/>
      <c r="NZ39" s="150"/>
      <c r="OA39" s="150"/>
      <c r="OB39" s="150"/>
      <c r="OC39" s="150"/>
      <c r="OD39" s="150"/>
      <c r="OE39" s="150"/>
    </row>
    <row r="40" spans="1:395">
      <c r="A40" s="19"/>
      <c r="B40" s="17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0"/>
      <c r="EO40" s="150"/>
      <c r="EP40" s="150"/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50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  <c r="II40" s="150"/>
      <c r="IJ40" s="150"/>
      <c r="IK40" s="150"/>
      <c r="IL40" s="150"/>
      <c r="IM40" s="150"/>
      <c r="IN40" s="150"/>
      <c r="IO40" s="150"/>
      <c r="IP40" s="150"/>
      <c r="IQ40" s="150"/>
      <c r="IR40" s="150"/>
      <c r="IS40" s="150"/>
      <c r="IT40" s="150"/>
      <c r="IU40" s="150"/>
      <c r="IV40" s="150"/>
      <c r="IW40" s="150"/>
      <c r="IX40" s="150"/>
      <c r="IY40" s="150"/>
      <c r="IZ40" s="150"/>
      <c r="JA40" s="150"/>
      <c r="JB40" s="150"/>
      <c r="JC40" s="150"/>
      <c r="JD40" s="150"/>
      <c r="JE40" s="150"/>
      <c r="JF40" s="150"/>
      <c r="JG40" s="150"/>
      <c r="JH40" s="150"/>
      <c r="JI40" s="150"/>
      <c r="JJ40" s="150"/>
      <c r="JK40" s="150"/>
      <c r="JL40" s="150"/>
      <c r="JM40" s="150"/>
      <c r="JN40" s="150"/>
      <c r="JO40" s="150"/>
      <c r="JP40" s="150"/>
      <c r="JQ40" s="150"/>
      <c r="JR40" s="150"/>
      <c r="JS40" s="150"/>
      <c r="JT40" s="150"/>
      <c r="JU40" s="150"/>
      <c r="JV40" s="150"/>
      <c r="JW40" s="150"/>
      <c r="JX40" s="150"/>
      <c r="JY40" s="150"/>
      <c r="JZ40" s="150"/>
      <c r="KA40" s="150"/>
      <c r="KB40" s="150"/>
      <c r="KC40" s="150"/>
      <c r="KD40" s="150"/>
      <c r="KE40" s="150"/>
      <c r="KF40" s="150"/>
      <c r="KG40" s="150"/>
      <c r="KH40" s="150"/>
      <c r="KI40" s="150"/>
      <c r="KJ40" s="150"/>
      <c r="KK40" s="150"/>
      <c r="KL40" s="150"/>
      <c r="KM40" s="150"/>
      <c r="KN40" s="150"/>
      <c r="KO40" s="150"/>
      <c r="KP40" s="150"/>
      <c r="KQ40" s="150"/>
      <c r="KR40" s="150"/>
      <c r="KS40" s="150"/>
      <c r="KT40" s="150"/>
      <c r="KU40" s="150"/>
      <c r="KV40" s="150"/>
      <c r="KW40" s="150"/>
      <c r="KX40" s="150"/>
      <c r="KY40" s="150"/>
      <c r="KZ40" s="150"/>
      <c r="LA40" s="150"/>
      <c r="LB40" s="150"/>
      <c r="LC40" s="150"/>
      <c r="LD40" s="150"/>
      <c r="LE40" s="150"/>
      <c r="LF40" s="150"/>
      <c r="LG40" s="150"/>
      <c r="LH40" s="150"/>
      <c r="LI40" s="150"/>
      <c r="LJ40" s="150"/>
      <c r="LK40" s="150"/>
      <c r="LL40" s="150"/>
      <c r="LM40" s="150"/>
      <c r="LN40" s="150"/>
      <c r="LO40" s="150"/>
      <c r="LP40" s="150"/>
      <c r="LQ40" s="150"/>
      <c r="LR40" s="150"/>
      <c r="LS40" s="150"/>
      <c r="LT40" s="150"/>
      <c r="LU40" s="150"/>
      <c r="LV40" s="150"/>
      <c r="LW40" s="150"/>
      <c r="LX40" s="150"/>
      <c r="LY40" s="150"/>
      <c r="LZ40" s="150"/>
      <c r="MA40" s="150"/>
      <c r="MB40" s="150"/>
      <c r="MC40" s="150"/>
      <c r="MD40" s="150"/>
      <c r="ME40" s="150"/>
      <c r="MF40" s="150"/>
      <c r="MG40" s="150"/>
      <c r="MH40" s="150"/>
      <c r="MI40" s="150"/>
      <c r="MJ40" s="150"/>
      <c r="MK40" s="150"/>
      <c r="ML40" s="150"/>
      <c r="MM40" s="150"/>
      <c r="MN40" s="150"/>
      <c r="MO40" s="150"/>
      <c r="MP40" s="150"/>
      <c r="MQ40" s="150"/>
      <c r="MR40" s="150"/>
      <c r="MS40" s="150"/>
      <c r="MT40" s="150"/>
      <c r="MU40" s="150"/>
      <c r="MV40" s="150"/>
      <c r="MW40" s="150"/>
      <c r="MX40" s="150"/>
      <c r="MY40" s="150"/>
      <c r="MZ40" s="150"/>
      <c r="NA40" s="150"/>
      <c r="NB40" s="150"/>
      <c r="NC40" s="150"/>
      <c r="ND40" s="150"/>
      <c r="NE40" s="150"/>
      <c r="NF40" s="150"/>
      <c r="NG40" s="150"/>
      <c r="NH40" s="150"/>
      <c r="NI40" s="150"/>
      <c r="NJ40" s="150"/>
      <c r="NK40" s="150"/>
      <c r="NL40" s="150"/>
      <c r="NM40" s="150"/>
      <c r="NN40" s="150"/>
      <c r="NO40" s="150"/>
      <c r="NP40" s="150"/>
      <c r="NQ40" s="150"/>
      <c r="NR40" s="150"/>
      <c r="NS40" s="150"/>
      <c r="NT40" s="150"/>
      <c r="NU40" s="150"/>
      <c r="NV40" s="150"/>
      <c r="NW40" s="150"/>
      <c r="NX40" s="150"/>
      <c r="NY40" s="150"/>
      <c r="NZ40" s="150"/>
      <c r="OA40" s="150"/>
      <c r="OB40" s="150"/>
      <c r="OC40" s="150"/>
      <c r="OD40" s="150"/>
      <c r="OE40" s="150"/>
    </row>
    <row r="41" spans="1:395" ht="14.25">
      <c r="A41" s="19"/>
      <c r="B41" s="17"/>
      <c r="C41" s="218" t="s">
        <v>17</v>
      </c>
      <c r="D41" s="217" t="s">
        <v>411</v>
      </c>
      <c r="E41" s="217"/>
      <c r="F41" s="217"/>
      <c r="G41" s="217"/>
      <c r="H41" s="217"/>
      <c r="I41" s="217"/>
      <c r="J41" s="150"/>
      <c r="K41" s="218" t="s">
        <v>18</v>
      </c>
      <c r="L41" s="217" t="s">
        <v>411</v>
      </c>
      <c r="M41" s="217"/>
      <c r="N41" s="217"/>
      <c r="O41" s="217"/>
      <c r="P41" s="217"/>
      <c r="Q41" s="217"/>
      <c r="R41" s="150"/>
      <c r="S41" s="218" t="s">
        <v>19</v>
      </c>
      <c r="T41" s="217" t="s">
        <v>411</v>
      </c>
      <c r="U41" s="217"/>
      <c r="V41" s="217"/>
      <c r="W41" s="217"/>
      <c r="X41" s="217"/>
      <c r="Y41" s="217"/>
      <c r="Z41" s="150"/>
      <c r="AA41" s="218" t="s">
        <v>407</v>
      </c>
      <c r="AB41" s="217" t="s">
        <v>411</v>
      </c>
      <c r="AC41" s="217"/>
      <c r="AD41" s="217"/>
      <c r="AE41" s="217"/>
      <c r="AF41" s="217"/>
      <c r="AG41" s="217"/>
      <c r="AH41" s="150"/>
      <c r="AI41" s="218" t="s">
        <v>408</v>
      </c>
      <c r="AJ41" s="217" t="s">
        <v>411</v>
      </c>
      <c r="AK41" s="217"/>
      <c r="AL41" s="217"/>
      <c r="AM41" s="217"/>
      <c r="AN41" s="217"/>
      <c r="AO41" s="217"/>
      <c r="AP41" s="150"/>
      <c r="AQ41" s="218" t="s">
        <v>409</v>
      </c>
      <c r="AR41" s="217" t="s">
        <v>363</v>
      </c>
      <c r="AS41" s="217"/>
      <c r="AT41" s="217"/>
      <c r="AU41" s="217"/>
      <c r="AV41" s="217"/>
      <c r="AW41" s="217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50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  <c r="IK41" s="150"/>
      <c r="IL41" s="150"/>
      <c r="IM41" s="150"/>
      <c r="IN41" s="150"/>
      <c r="IO41" s="150"/>
      <c r="IP41" s="150"/>
      <c r="IQ41" s="150"/>
      <c r="IR41" s="150"/>
      <c r="IS41" s="150"/>
      <c r="IT41" s="150"/>
      <c r="IU41" s="150"/>
      <c r="IV41" s="150"/>
      <c r="IW41" s="150"/>
      <c r="IX41" s="150"/>
      <c r="IY41" s="150"/>
      <c r="IZ41" s="150"/>
      <c r="JA41" s="150"/>
      <c r="JB41" s="150"/>
      <c r="JC41" s="150"/>
      <c r="JD41" s="150"/>
      <c r="JE41" s="150"/>
      <c r="JF41" s="150"/>
      <c r="JG41" s="150"/>
      <c r="JH41" s="150"/>
      <c r="JI41" s="150"/>
      <c r="JJ41" s="150"/>
      <c r="JK41" s="150"/>
      <c r="JL41" s="150"/>
      <c r="JM41" s="150"/>
      <c r="JN41" s="150"/>
      <c r="JO41" s="150"/>
      <c r="JP41" s="150"/>
      <c r="JQ41" s="150"/>
      <c r="JR41" s="150"/>
      <c r="JS41" s="150"/>
      <c r="JT41" s="150"/>
      <c r="JU41" s="150"/>
      <c r="JV41" s="150"/>
      <c r="JW41" s="150"/>
      <c r="JX41" s="150"/>
      <c r="JY41" s="150"/>
      <c r="JZ41" s="150"/>
      <c r="KA41" s="150"/>
      <c r="KB41" s="150"/>
      <c r="KC41" s="150"/>
      <c r="KD41" s="150"/>
      <c r="KE41" s="150"/>
      <c r="KF41" s="150"/>
      <c r="KG41" s="150"/>
      <c r="KH41" s="150"/>
      <c r="KI41" s="150"/>
      <c r="KJ41" s="150"/>
      <c r="KK41" s="150"/>
      <c r="KL41" s="150"/>
      <c r="KM41" s="150"/>
      <c r="KN41" s="150"/>
      <c r="KO41" s="150"/>
      <c r="KP41" s="150"/>
      <c r="KQ41" s="150"/>
      <c r="KR41" s="150"/>
      <c r="KS41" s="150"/>
      <c r="KT41" s="150"/>
      <c r="KU41" s="150"/>
      <c r="KV41" s="150"/>
      <c r="KW41" s="150"/>
      <c r="KX41" s="150"/>
      <c r="KY41" s="150"/>
      <c r="KZ41" s="150"/>
      <c r="LA41" s="150"/>
      <c r="LB41" s="150"/>
      <c r="LC41" s="150"/>
      <c r="LD41" s="150"/>
      <c r="LE41" s="150"/>
      <c r="LF41" s="150"/>
      <c r="LG41" s="150"/>
      <c r="LH41" s="150"/>
      <c r="LI41" s="150"/>
      <c r="LJ41" s="150"/>
      <c r="LK41" s="150"/>
      <c r="LL41" s="150"/>
      <c r="LM41" s="150"/>
      <c r="LN41" s="150"/>
      <c r="LO41" s="150"/>
      <c r="LP41" s="150"/>
      <c r="LQ41" s="150"/>
      <c r="LR41" s="150"/>
      <c r="LS41" s="150"/>
      <c r="LT41" s="150"/>
      <c r="LU41" s="150"/>
      <c r="LV41" s="150"/>
      <c r="LW41" s="150"/>
      <c r="LX41" s="150"/>
      <c r="LY41" s="150"/>
      <c r="LZ41" s="150"/>
      <c r="MA41" s="150"/>
      <c r="MB41" s="150"/>
      <c r="MC41" s="150"/>
      <c r="MD41" s="150"/>
      <c r="ME41" s="150"/>
      <c r="MF41" s="150"/>
      <c r="MG41" s="150"/>
      <c r="MH41" s="150"/>
      <c r="MI41" s="150"/>
      <c r="MJ41" s="150"/>
      <c r="MK41" s="150"/>
      <c r="ML41" s="150"/>
      <c r="MM41" s="150"/>
      <c r="MN41" s="150"/>
      <c r="MO41" s="150"/>
      <c r="MP41" s="150"/>
      <c r="MQ41" s="150"/>
      <c r="MR41" s="150"/>
      <c r="MS41" s="150"/>
      <c r="MT41" s="150"/>
      <c r="MU41" s="150"/>
      <c r="MV41" s="150"/>
      <c r="MW41" s="150"/>
      <c r="MX41" s="150"/>
      <c r="MY41" s="150"/>
      <c r="MZ41" s="150"/>
      <c r="NA41" s="150"/>
      <c r="NB41" s="150"/>
      <c r="NC41" s="150"/>
      <c r="ND41" s="150"/>
      <c r="NE41" s="150"/>
      <c r="NF41" s="150"/>
      <c r="NG41" s="150"/>
      <c r="NH41" s="150"/>
      <c r="NI41" s="150"/>
      <c r="NJ41" s="150"/>
      <c r="NK41" s="150"/>
      <c r="NL41" s="150"/>
      <c r="NM41" s="150"/>
      <c r="NN41" s="150"/>
      <c r="NO41" s="150"/>
      <c r="NP41" s="150"/>
      <c r="NQ41" s="150"/>
      <c r="NR41" s="150"/>
      <c r="NS41" s="150"/>
      <c r="NT41" s="150"/>
      <c r="NU41" s="150"/>
      <c r="NV41" s="150"/>
      <c r="NW41" s="150"/>
      <c r="NX41" s="150"/>
      <c r="NY41" s="150"/>
      <c r="NZ41" s="150"/>
      <c r="OA41" s="150"/>
      <c r="OB41" s="150"/>
      <c r="OC41" s="150"/>
      <c r="OD41" s="150"/>
      <c r="OE41" s="150"/>
    </row>
    <row r="42" spans="1:395" ht="38.25">
      <c r="A42" s="19"/>
      <c r="B42" s="17"/>
      <c r="C42" s="219"/>
      <c r="D42" s="36" t="s">
        <v>31</v>
      </c>
      <c r="E42" s="36" t="s">
        <v>26</v>
      </c>
      <c r="F42" s="36" t="s">
        <v>27</v>
      </c>
      <c r="G42" s="36" t="s">
        <v>28</v>
      </c>
      <c r="H42" s="36" t="s">
        <v>199</v>
      </c>
      <c r="I42" s="36" t="s">
        <v>200</v>
      </c>
      <c r="J42" s="150"/>
      <c r="K42" s="219"/>
      <c r="L42" s="36" t="s">
        <v>31</v>
      </c>
      <c r="M42" s="36" t="s">
        <v>26</v>
      </c>
      <c r="N42" s="36" t="s">
        <v>27</v>
      </c>
      <c r="O42" s="36" t="s">
        <v>28</v>
      </c>
      <c r="P42" s="36" t="s">
        <v>199</v>
      </c>
      <c r="Q42" s="36" t="s">
        <v>200</v>
      </c>
      <c r="R42" s="150"/>
      <c r="S42" s="219"/>
      <c r="T42" s="36" t="s">
        <v>31</v>
      </c>
      <c r="U42" s="36" t="s">
        <v>26</v>
      </c>
      <c r="V42" s="36" t="s">
        <v>27</v>
      </c>
      <c r="W42" s="36" t="s">
        <v>28</v>
      </c>
      <c r="X42" s="36" t="s">
        <v>199</v>
      </c>
      <c r="Y42" s="36" t="s">
        <v>200</v>
      </c>
      <c r="Z42" s="150"/>
      <c r="AA42" s="219"/>
      <c r="AB42" s="36" t="s">
        <v>31</v>
      </c>
      <c r="AC42" s="36" t="s">
        <v>26</v>
      </c>
      <c r="AD42" s="36" t="s">
        <v>27</v>
      </c>
      <c r="AE42" s="36" t="s">
        <v>28</v>
      </c>
      <c r="AF42" s="36" t="s">
        <v>199</v>
      </c>
      <c r="AG42" s="36" t="s">
        <v>200</v>
      </c>
      <c r="AH42" s="150"/>
      <c r="AI42" s="219"/>
      <c r="AJ42" s="36" t="s">
        <v>31</v>
      </c>
      <c r="AK42" s="36" t="s">
        <v>26</v>
      </c>
      <c r="AL42" s="36" t="s">
        <v>27</v>
      </c>
      <c r="AM42" s="36" t="s">
        <v>28</v>
      </c>
      <c r="AN42" s="36" t="s">
        <v>199</v>
      </c>
      <c r="AO42" s="36" t="s">
        <v>200</v>
      </c>
      <c r="AP42" s="150"/>
      <c r="AQ42" s="219"/>
      <c r="AR42" s="36" t="s">
        <v>31</v>
      </c>
      <c r="AS42" s="36" t="s">
        <v>26</v>
      </c>
      <c r="AT42" s="36" t="s">
        <v>27</v>
      </c>
      <c r="AU42" s="36" t="s">
        <v>28</v>
      </c>
      <c r="AV42" s="36" t="s">
        <v>199</v>
      </c>
      <c r="AW42" s="36" t="s">
        <v>200</v>
      </c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50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  <c r="IK42" s="150"/>
      <c r="IL42" s="150"/>
      <c r="IM42" s="150"/>
      <c r="IN42" s="150"/>
      <c r="IO42" s="150"/>
      <c r="IP42" s="150"/>
      <c r="IQ42" s="150"/>
      <c r="IR42" s="150"/>
      <c r="IS42" s="150"/>
      <c r="IT42" s="150"/>
      <c r="IU42" s="150"/>
      <c r="IV42" s="150"/>
      <c r="IW42" s="150"/>
      <c r="IX42" s="150"/>
      <c r="IY42" s="150"/>
      <c r="IZ42" s="150"/>
      <c r="JA42" s="150"/>
      <c r="JB42" s="150"/>
      <c r="JC42" s="150"/>
      <c r="JD42" s="150"/>
      <c r="JE42" s="150"/>
      <c r="JF42" s="150"/>
      <c r="JG42" s="150"/>
      <c r="JH42" s="150"/>
      <c r="JI42" s="150"/>
      <c r="JJ42" s="150"/>
      <c r="JK42" s="150"/>
      <c r="JL42" s="150"/>
      <c r="JM42" s="150"/>
      <c r="JN42" s="150"/>
      <c r="JO42" s="150"/>
      <c r="JP42" s="150"/>
      <c r="JQ42" s="150"/>
      <c r="JR42" s="150"/>
      <c r="JS42" s="150"/>
      <c r="JT42" s="150"/>
      <c r="JU42" s="150"/>
      <c r="JV42" s="150"/>
      <c r="JW42" s="150"/>
      <c r="JX42" s="150"/>
      <c r="JY42" s="150"/>
      <c r="JZ42" s="150"/>
      <c r="KA42" s="150"/>
      <c r="KB42" s="150"/>
      <c r="KC42" s="150"/>
      <c r="KD42" s="150"/>
      <c r="KE42" s="150"/>
      <c r="KF42" s="150"/>
      <c r="KG42" s="150"/>
      <c r="KH42" s="150"/>
      <c r="KI42" s="150"/>
      <c r="KJ42" s="150"/>
      <c r="KK42" s="150"/>
      <c r="KL42" s="150"/>
      <c r="KM42" s="150"/>
      <c r="KN42" s="150"/>
      <c r="KO42" s="150"/>
      <c r="KP42" s="150"/>
      <c r="KQ42" s="150"/>
      <c r="KR42" s="150"/>
      <c r="KS42" s="150"/>
      <c r="KT42" s="150"/>
      <c r="KU42" s="150"/>
      <c r="KV42" s="150"/>
      <c r="KW42" s="150"/>
      <c r="KX42" s="150"/>
      <c r="KY42" s="150"/>
      <c r="KZ42" s="150"/>
      <c r="LA42" s="150"/>
      <c r="LB42" s="150"/>
      <c r="LC42" s="150"/>
      <c r="LD42" s="150"/>
      <c r="LE42" s="150"/>
      <c r="LF42" s="150"/>
      <c r="LG42" s="150"/>
      <c r="LH42" s="150"/>
      <c r="LI42" s="150"/>
      <c r="LJ42" s="150"/>
      <c r="LK42" s="150"/>
      <c r="LL42" s="150"/>
      <c r="LM42" s="150"/>
      <c r="LN42" s="150"/>
      <c r="LO42" s="150"/>
      <c r="LP42" s="150"/>
      <c r="LQ42" s="150"/>
      <c r="LR42" s="150"/>
      <c r="LS42" s="150"/>
      <c r="LT42" s="150"/>
      <c r="LU42" s="150"/>
      <c r="LV42" s="150"/>
      <c r="LW42" s="150"/>
      <c r="LX42" s="150"/>
      <c r="LY42" s="150"/>
      <c r="LZ42" s="150"/>
      <c r="MA42" s="150"/>
      <c r="MB42" s="150"/>
      <c r="MC42" s="150"/>
      <c r="MD42" s="150"/>
      <c r="ME42" s="150"/>
      <c r="MF42" s="150"/>
      <c r="MG42" s="150"/>
      <c r="MH42" s="150"/>
      <c r="MI42" s="150"/>
      <c r="MJ42" s="150"/>
      <c r="MK42" s="150"/>
      <c r="ML42" s="150"/>
      <c r="MM42" s="150"/>
      <c r="MN42" s="150"/>
      <c r="MO42" s="150"/>
      <c r="MP42" s="150"/>
      <c r="MQ42" s="150"/>
      <c r="MR42" s="150"/>
      <c r="MS42" s="150"/>
      <c r="MT42" s="150"/>
      <c r="MU42" s="150"/>
      <c r="MV42" s="150"/>
      <c r="MW42" s="150"/>
      <c r="MX42" s="150"/>
      <c r="MY42" s="150"/>
      <c r="MZ42" s="150"/>
      <c r="NA42" s="150"/>
      <c r="NB42" s="150"/>
      <c r="NC42" s="150"/>
      <c r="ND42" s="150"/>
      <c r="NE42" s="150"/>
      <c r="NF42" s="150"/>
      <c r="NG42" s="150"/>
      <c r="NH42" s="150"/>
      <c r="NI42" s="150"/>
      <c r="NJ42" s="150"/>
      <c r="NK42" s="150"/>
      <c r="NL42" s="150"/>
      <c r="NM42" s="150"/>
      <c r="NN42" s="150"/>
      <c r="NO42" s="150"/>
      <c r="NP42" s="150"/>
      <c r="NQ42" s="150"/>
      <c r="NR42" s="150"/>
      <c r="NS42" s="150"/>
      <c r="NT42" s="150"/>
      <c r="NU42" s="150"/>
      <c r="NV42" s="150"/>
      <c r="NW42" s="150"/>
      <c r="NX42" s="150"/>
      <c r="NY42" s="150"/>
      <c r="NZ42" s="150"/>
      <c r="OA42" s="150"/>
      <c r="OB42" s="150"/>
      <c r="OC42" s="150"/>
      <c r="OD42" s="150"/>
      <c r="OE42" s="150"/>
    </row>
    <row r="43" spans="1:395" ht="89.25">
      <c r="A43" s="19"/>
      <c r="B43" s="17"/>
      <c r="C43" s="46" t="s">
        <v>198</v>
      </c>
      <c r="D43" s="47" t="s">
        <v>410</v>
      </c>
      <c r="E43" s="47" t="s">
        <v>347</v>
      </c>
      <c r="F43" s="47" t="s">
        <v>343</v>
      </c>
      <c r="G43" s="47" t="s">
        <v>344</v>
      </c>
      <c r="H43" s="47" t="s">
        <v>345</v>
      </c>
      <c r="I43" s="47" t="s">
        <v>346</v>
      </c>
      <c r="J43" s="150"/>
      <c r="K43" s="46" t="s">
        <v>198</v>
      </c>
      <c r="L43" s="47" t="s">
        <v>410</v>
      </c>
      <c r="M43" s="47" t="s">
        <v>347</v>
      </c>
      <c r="N43" s="47" t="s">
        <v>343</v>
      </c>
      <c r="O43" s="47" t="s">
        <v>344</v>
      </c>
      <c r="P43" s="47" t="s">
        <v>345</v>
      </c>
      <c r="Q43" s="47" t="s">
        <v>346</v>
      </c>
      <c r="R43" s="150"/>
      <c r="S43" s="46" t="s">
        <v>198</v>
      </c>
      <c r="T43" s="47" t="s">
        <v>342</v>
      </c>
      <c r="U43" s="47" t="s">
        <v>347</v>
      </c>
      <c r="V43" s="47" t="s">
        <v>343</v>
      </c>
      <c r="W43" s="47" t="s">
        <v>344</v>
      </c>
      <c r="X43" s="47" t="s">
        <v>345</v>
      </c>
      <c r="Y43" s="47" t="s">
        <v>346</v>
      </c>
      <c r="Z43" s="150"/>
      <c r="AA43" s="46" t="s">
        <v>198</v>
      </c>
      <c r="AB43" s="47" t="s">
        <v>410</v>
      </c>
      <c r="AC43" s="47" t="s">
        <v>347</v>
      </c>
      <c r="AD43" s="47" t="s">
        <v>343</v>
      </c>
      <c r="AE43" s="47" t="s">
        <v>344</v>
      </c>
      <c r="AF43" s="47" t="s">
        <v>345</v>
      </c>
      <c r="AG43" s="47" t="s">
        <v>346</v>
      </c>
      <c r="AH43" s="150"/>
      <c r="AI43" s="46" t="s">
        <v>198</v>
      </c>
      <c r="AJ43" s="47" t="s">
        <v>342</v>
      </c>
      <c r="AK43" s="47" t="s">
        <v>347</v>
      </c>
      <c r="AL43" s="47" t="s">
        <v>343</v>
      </c>
      <c r="AM43" s="47" t="s">
        <v>344</v>
      </c>
      <c r="AN43" s="47" t="s">
        <v>345</v>
      </c>
      <c r="AO43" s="47" t="s">
        <v>346</v>
      </c>
      <c r="AP43" s="150"/>
      <c r="AQ43" s="46" t="s">
        <v>198</v>
      </c>
      <c r="AR43" s="47" t="s">
        <v>410</v>
      </c>
      <c r="AS43" s="47" t="s">
        <v>347</v>
      </c>
      <c r="AT43" s="47" t="s">
        <v>343</v>
      </c>
      <c r="AU43" s="47" t="s">
        <v>344</v>
      </c>
      <c r="AV43" s="47" t="s">
        <v>345</v>
      </c>
      <c r="AW43" s="47" t="s">
        <v>346</v>
      </c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50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  <c r="IK43" s="150"/>
      <c r="IL43" s="150"/>
      <c r="IM43" s="150"/>
      <c r="IN43" s="150"/>
      <c r="IO43" s="150"/>
      <c r="IP43" s="150"/>
      <c r="IQ43" s="150"/>
      <c r="IR43" s="150"/>
      <c r="IS43" s="150"/>
      <c r="IT43" s="150"/>
      <c r="IU43" s="150"/>
      <c r="IV43" s="150"/>
      <c r="IW43" s="150"/>
      <c r="IX43" s="150"/>
      <c r="IY43" s="150"/>
      <c r="IZ43" s="150"/>
      <c r="JA43" s="150"/>
      <c r="JB43" s="150"/>
      <c r="JC43" s="150"/>
      <c r="JD43" s="150"/>
      <c r="JE43" s="150"/>
      <c r="JF43" s="150"/>
      <c r="JG43" s="150"/>
      <c r="JH43" s="150"/>
      <c r="JI43" s="150"/>
      <c r="JJ43" s="150"/>
      <c r="JK43" s="150"/>
      <c r="JL43" s="150"/>
      <c r="JM43" s="150"/>
      <c r="JN43" s="150"/>
      <c r="JO43" s="150"/>
      <c r="JP43" s="150"/>
      <c r="JQ43" s="150"/>
      <c r="JR43" s="150"/>
      <c r="JS43" s="150"/>
      <c r="JT43" s="150"/>
      <c r="JU43" s="150"/>
      <c r="JV43" s="150"/>
      <c r="JW43" s="150"/>
      <c r="JX43" s="150"/>
      <c r="JY43" s="150"/>
      <c r="JZ43" s="150"/>
      <c r="KA43" s="150"/>
      <c r="KB43" s="150"/>
      <c r="KC43" s="150"/>
      <c r="KD43" s="150"/>
      <c r="KE43" s="150"/>
      <c r="KF43" s="150"/>
      <c r="KG43" s="150"/>
      <c r="KH43" s="150"/>
      <c r="KI43" s="150"/>
      <c r="KJ43" s="150"/>
      <c r="KK43" s="150"/>
      <c r="KL43" s="150"/>
      <c r="KM43" s="150"/>
      <c r="KN43" s="150"/>
      <c r="KO43" s="150"/>
      <c r="KP43" s="150"/>
      <c r="KQ43" s="150"/>
      <c r="KR43" s="150"/>
      <c r="KS43" s="150"/>
      <c r="KT43" s="150"/>
      <c r="KU43" s="150"/>
      <c r="KV43" s="150"/>
      <c r="KW43" s="150"/>
      <c r="KX43" s="150"/>
      <c r="KY43" s="150"/>
      <c r="KZ43" s="150"/>
      <c r="LA43" s="150"/>
      <c r="LB43" s="150"/>
      <c r="LC43" s="150"/>
      <c r="LD43" s="150"/>
      <c r="LE43" s="150"/>
      <c r="LF43" s="150"/>
      <c r="LG43" s="150"/>
      <c r="LH43" s="150"/>
      <c r="LI43" s="150"/>
      <c r="LJ43" s="150"/>
      <c r="LK43" s="150"/>
      <c r="LL43" s="150"/>
      <c r="LM43" s="150"/>
      <c r="LN43" s="150"/>
      <c r="LO43" s="150"/>
      <c r="LP43" s="150"/>
      <c r="LQ43" s="150"/>
      <c r="LR43" s="150"/>
      <c r="LS43" s="150"/>
      <c r="LT43" s="150"/>
      <c r="LU43" s="150"/>
      <c r="LV43" s="150"/>
      <c r="LW43" s="150"/>
      <c r="LX43" s="150"/>
      <c r="LY43" s="150"/>
      <c r="LZ43" s="150"/>
      <c r="MA43" s="150"/>
      <c r="MB43" s="150"/>
      <c r="MC43" s="150"/>
      <c r="MD43" s="150"/>
      <c r="ME43" s="150"/>
      <c r="MF43" s="150"/>
      <c r="MG43" s="150"/>
      <c r="MH43" s="150"/>
      <c r="MI43" s="150"/>
      <c r="MJ43" s="150"/>
      <c r="MK43" s="150"/>
      <c r="ML43" s="150"/>
      <c r="MM43" s="150"/>
      <c r="MN43" s="150"/>
      <c r="MO43" s="150"/>
      <c r="MP43" s="150"/>
      <c r="MQ43" s="150"/>
      <c r="MR43" s="150"/>
      <c r="MS43" s="150"/>
      <c r="MT43" s="150"/>
      <c r="MU43" s="150"/>
      <c r="MV43" s="150"/>
      <c r="MW43" s="150"/>
      <c r="MX43" s="150"/>
      <c r="MY43" s="150"/>
      <c r="MZ43" s="150"/>
      <c r="NA43" s="150"/>
      <c r="NB43" s="150"/>
      <c r="NC43" s="150"/>
      <c r="ND43" s="150"/>
      <c r="NE43" s="150"/>
      <c r="NF43" s="150"/>
      <c r="NG43" s="150"/>
      <c r="NH43" s="150"/>
      <c r="NI43" s="150"/>
      <c r="NJ43" s="150"/>
      <c r="NK43" s="150"/>
      <c r="NL43" s="150"/>
      <c r="NM43" s="150"/>
      <c r="NN43" s="150"/>
      <c r="NO43" s="150"/>
      <c r="NP43" s="150"/>
      <c r="NQ43" s="150"/>
      <c r="NR43" s="150"/>
      <c r="NS43" s="150"/>
      <c r="NT43" s="150"/>
      <c r="NU43" s="150"/>
      <c r="NV43" s="150"/>
      <c r="NW43" s="150"/>
      <c r="NX43" s="150"/>
      <c r="NY43" s="150"/>
      <c r="NZ43" s="150"/>
      <c r="OA43" s="150"/>
      <c r="OB43" s="150"/>
      <c r="OC43" s="150"/>
      <c r="OD43" s="150"/>
      <c r="OE43" s="150"/>
    </row>
    <row r="44" spans="1:395">
      <c r="A44" s="19"/>
      <c r="B44" s="17"/>
      <c r="C44" s="48">
        <v>2022</v>
      </c>
      <c r="D44" s="114">
        <v>0</v>
      </c>
      <c r="E44" s="114">
        <v>6.2497288660792103</v>
      </c>
      <c r="F44" s="114">
        <f>1/3*V113+W113</f>
        <v>770.33333333333337</v>
      </c>
      <c r="G44" s="114">
        <f>1/6*V113+W113</f>
        <v>726.66666666666663</v>
      </c>
      <c r="H44" s="114">
        <f>X113</f>
        <v>860</v>
      </c>
      <c r="I44" s="114">
        <f>H44*2</f>
        <v>1720</v>
      </c>
      <c r="J44" s="150"/>
      <c r="K44" s="48">
        <v>2022</v>
      </c>
      <c r="L44" s="114">
        <v>0</v>
      </c>
      <c r="M44" s="114">
        <v>6.2497288660792103</v>
      </c>
      <c r="N44" s="114">
        <f>1/3*Y113+Z113</f>
        <v>559.66666666666663</v>
      </c>
      <c r="O44" s="114">
        <f>1/6*Y113+Z113</f>
        <v>521.83333333333337</v>
      </c>
      <c r="P44" s="114">
        <f>AA113</f>
        <v>646</v>
      </c>
      <c r="Q44" s="114">
        <f>P44*2</f>
        <v>1292</v>
      </c>
      <c r="R44" s="150"/>
      <c r="S44" s="48">
        <v>2022</v>
      </c>
      <c r="T44" s="114">
        <v>0</v>
      </c>
      <c r="U44" s="114">
        <v>6.2497288660792103</v>
      </c>
      <c r="V44" s="114">
        <f>1/3*AB113+AC113</f>
        <v>421.33333333333331</v>
      </c>
      <c r="W44" s="114">
        <f>1/6*AB113+AC113</f>
        <v>381.66666666666669</v>
      </c>
      <c r="X44" s="114">
        <f>AD113</f>
        <v>527</v>
      </c>
      <c r="Y44" s="114">
        <f>X44*2</f>
        <v>1054</v>
      </c>
      <c r="Z44" s="150"/>
      <c r="AA44" s="48">
        <v>2022</v>
      </c>
      <c r="AB44" s="114">
        <v>0</v>
      </c>
      <c r="AC44" s="114">
        <v>6.2497288660792103</v>
      </c>
      <c r="AD44" s="114">
        <f>1/3*AE113+AF113</f>
        <v>226</v>
      </c>
      <c r="AE44" s="114">
        <f>1/6*AE113+AF113</f>
        <v>184</v>
      </c>
      <c r="AF44" s="114">
        <f>AG113</f>
        <v>358</v>
      </c>
      <c r="AG44" s="114">
        <f>AF44*2</f>
        <v>716</v>
      </c>
      <c r="AH44" s="150"/>
      <c r="AI44" s="48">
        <v>2022</v>
      </c>
      <c r="AJ44" s="114">
        <v>0</v>
      </c>
      <c r="AK44" s="114">
        <v>6.2497288660792103</v>
      </c>
      <c r="AL44" s="114">
        <f>1/3*AH113+AI113</f>
        <v>641</v>
      </c>
      <c r="AM44" s="114">
        <f>1/6*AH113+AI113</f>
        <v>605</v>
      </c>
      <c r="AN44" s="114">
        <f>AJ113</f>
        <v>714</v>
      </c>
      <c r="AO44" s="114">
        <f>AN44*2</f>
        <v>1428</v>
      </c>
      <c r="AP44" s="150"/>
      <c r="AQ44" s="48">
        <v>2022</v>
      </c>
      <c r="AR44" s="114">
        <v>0</v>
      </c>
      <c r="AS44" s="114">
        <v>6.2497288660792103</v>
      </c>
      <c r="AT44" s="114">
        <f>1/3*AK113+AL113</f>
        <v>299</v>
      </c>
      <c r="AU44" s="114">
        <f>1/6*AK113+AL113</f>
        <v>263.5</v>
      </c>
      <c r="AV44" s="114">
        <f>AM113</f>
        <v>401</v>
      </c>
      <c r="AW44" s="114">
        <f>AV44*2</f>
        <v>802</v>
      </c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  <c r="EN44" s="150"/>
      <c r="EO44" s="150"/>
      <c r="EP44" s="150"/>
      <c r="EQ44" s="150"/>
      <c r="ER44" s="150"/>
      <c r="ES44" s="150"/>
      <c r="ET44" s="150"/>
      <c r="EU44" s="150"/>
      <c r="EV44" s="150"/>
      <c r="EW44" s="150"/>
      <c r="EX44" s="150"/>
      <c r="EY44" s="150"/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50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  <c r="II44" s="150"/>
      <c r="IJ44" s="150"/>
      <c r="IK44" s="150"/>
      <c r="IL44" s="150"/>
      <c r="IM44" s="150"/>
      <c r="IN44" s="150"/>
      <c r="IO44" s="150"/>
      <c r="IP44" s="150"/>
      <c r="IQ44" s="150"/>
      <c r="IR44" s="150"/>
      <c r="IS44" s="150"/>
      <c r="IT44" s="150"/>
      <c r="IU44" s="150"/>
      <c r="IV44" s="150"/>
      <c r="IW44" s="150"/>
      <c r="IX44" s="150"/>
      <c r="IY44" s="150"/>
      <c r="IZ44" s="150"/>
      <c r="JA44" s="150"/>
      <c r="JB44" s="150"/>
      <c r="JC44" s="150"/>
      <c r="JD44" s="150"/>
      <c r="JE44" s="150"/>
      <c r="JF44" s="150"/>
      <c r="JG44" s="150"/>
      <c r="JH44" s="150"/>
      <c r="JI44" s="150"/>
      <c r="JJ44" s="150"/>
      <c r="JK44" s="150"/>
      <c r="JL44" s="150"/>
      <c r="JM44" s="150"/>
      <c r="JN44" s="150"/>
      <c r="JO44" s="150"/>
      <c r="JP44" s="150"/>
      <c r="JQ44" s="150"/>
      <c r="JR44" s="150"/>
      <c r="JS44" s="150"/>
      <c r="JT44" s="150"/>
      <c r="JU44" s="150"/>
      <c r="JV44" s="150"/>
      <c r="JW44" s="150"/>
      <c r="JX44" s="150"/>
      <c r="JY44" s="150"/>
      <c r="JZ44" s="150"/>
      <c r="KA44" s="150"/>
      <c r="KB44" s="150"/>
      <c r="KC44" s="150"/>
      <c r="KD44" s="150"/>
      <c r="KE44" s="150"/>
      <c r="KF44" s="150"/>
      <c r="KG44" s="150"/>
      <c r="KH44" s="150"/>
      <c r="KI44" s="150"/>
      <c r="KJ44" s="150"/>
      <c r="KK44" s="150"/>
      <c r="KL44" s="150"/>
      <c r="KM44" s="150"/>
      <c r="KN44" s="150"/>
      <c r="KO44" s="150"/>
      <c r="KP44" s="150"/>
      <c r="KQ44" s="150"/>
      <c r="KR44" s="150"/>
      <c r="KS44" s="150"/>
      <c r="KT44" s="150"/>
      <c r="KU44" s="150"/>
      <c r="KV44" s="150"/>
      <c r="KW44" s="150"/>
      <c r="KX44" s="150"/>
      <c r="KY44" s="150"/>
      <c r="KZ44" s="150"/>
      <c r="LA44" s="150"/>
      <c r="LB44" s="150"/>
      <c r="LC44" s="150"/>
      <c r="LD44" s="150"/>
      <c r="LE44" s="150"/>
      <c r="LF44" s="150"/>
      <c r="LG44" s="150"/>
      <c r="LH44" s="150"/>
      <c r="LI44" s="150"/>
      <c r="LJ44" s="150"/>
      <c r="LK44" s="150"/>
      <c r="LL44" s="150"/>
      <c r="LM44" s="150"/>
      <c r="LN44" s="150"/>
      <c r="LO44" s="150"/>
      <c r="LP44" s="150"/>
      <c r="LQ44" s="150"/>
      <c r="LR44" s="150"/>
      <c r="LS44" s="150"/>
      <c r="LT44" s="150"/>
      <c r="LU44" s="150"/>
      <c r="LV44" s="150"/>
      <c r="LW44" s="150"/>
      <c r="LX44" s="150"/>
      <c r="LY44" s="150"/>
      <c r="LZ44" s="150"/>
      <c r="MA44" s="150"/>
      <c r="MB44" s="150"/>
      <c r="MC44" s="150"/>
      <c r="MD44" s="150"/>
      <c r="ME44" s="150"/>
      <c r="MF44" s="150"/>
      <c r="MG44" s="150"/>
      <c r="MH44" s="150"/>
      <c r="MI44" s="150"/>
      <c r="MJ44" s="150"/>
      <c r="MK44" s="150"/>
      <c r="ML44" s="150"/>
      <c r="MM44" s="150"/>
      <c r="MN44" s="150"/>
      <c r="MO44" s="150"/>
      <c r="MP44" s="150"/>
      <c r="MQ44" s="150"/>
      <c r="MR44" s="150"/>
      <c r="MS44" s="150"/>
      <c r="MT44" s="150"/>
      <c r="MU44" s="150"/>
      <c r="MV44" s="150"/>
      <c r="MW44" s="150"/>
      <c r="MX44" s="150"/>
      <c r="MY44" s="150"/>
      <c r="MZ44" s="150"/>
      <c r="NA44" s="150"/>
      <c r="NB44" s="150"/>
      <c r="NC44" s="150"/>
      <c r="ND44" s="150"/>
      <c r="NE44" s="150"/>
      <c r="NF44" s="150"/>
      <c r="NG44" s="150"/>
      <c r="NH44" s="150"/>
      <c r="NI44" s="150"/>
      <c r="NJ44" s="150"/>
      <c r="NK44" s="150"/>
      <c r="NL44" s="150"/>
      <c r="NM44" s="150"/>
      <c r="NN44" s="150"/>
      <c r="NO44" s="150"/>
      <c r="NP44" s="150"/>
      <c r="NQ44" s="150"/>
      <c r="NR44" s="150"/>
      <c r="NS44" s="150"/>
      <c r="NT44" s="150"/>
      <c r="NU44" s="150"/>
      <c r="NV44" s="150"/>
      <c r="NW44" s="150"/>
      <c r="NX44" s="150"/>
      <c r="NY44" s="150"/>
      <c r="NZ44" s="150"/>
      <c r="OA44" s="150"/>
      <c r="OB44" s="150"/>
      <c r="OC44" s="150"/>
      <c r="OD44" s="150"/>
      <c r="OE44" s="150"/>
    </row>
    <row r="45" spans="1:395">
      <c r="A45" s="19"/>
      <c r="B45" s="17"/>
      <c r="C45" s="48">
        <v>2023</v>
      </c>
      <c r="D45" s="114">
        <v>0</v>
      </c>
      <c r="E45" s="114">
        <v>5.8912656144088329</v>
      </c>
      <c r="F45" s="114">
        <f t="shared" ref="F45:F72" si="24">1/3*V114+W114</f>
        <v>727.66666666666663</v>
      </c>
      <c r="G45" s="114">
        <f t="shared" ref="G45:G72" si="25">1/6*V114+W114</f>
        <v>686.33333333333337</v>
      </c>
      <c r="H45" s="114">
        <f t="shared" ref="H45:H72" si="26">X114</f>
        <v>812</v>
      </c>
      <c r="I45" s="114">
        <f>H45*2</f>
        <v>1624</v>
      </c>
      <c r="J45" s="150"/>
      <c r="K45" s="48">
        <v>2023</v>
      </c>
      <c r="L45" s="114">
        <v>0</v>
      </c>
      <c r="M45" s="114">
        <v>5.8912656144088329</v>
      </c>
      <c r="N45" s="114">
        <f t="shared" ref="N45:N72" si="27">1/3*Y114+Z114</f>
        <v>528.33333333333337</v>
      </c>
      <c r="O45" s="114">
        <f t="shared" ref="O45:O71" si="28">1/6*Y114+Z114</f>
        <v>492.66666666666669</v>
      </c>
      <c r="P45" s="114">
        <f t="shared" ref="P45:P72" si="29">AA114</f>
        <v>610</v>
      </c>
      <c r="Q45" s="114">
        <f t="shared" ref="Q45:Q72" si="30">P45*2</f>
        <v>1220</v>
      </c>
      <c r="R45" s="150"/>
      <c r="S45" s="48">
        <v>2023</v>
      </c>
      <c r="T45" s="114">
        <v>0</v>
      </c>
      <c r="U45" s="114">
        <v>5.8912656144088329</v>
      </c>
      <c r="V45" s="114">
        <f t="shared" ref="V45:V72" si="31">1/3*AB114+AC114</f>
        <v>398</v>
      </c>
      <c r="W45" s="114">
        <f t="shared" ref="W45:W72" si="32">1/6*AB114+AC114</f>
        <v>360.5</v>
      </c>
      <c r="X45" s="114">
        <f t="shared" ref="X45:X72" si="33">AD114</f>
        <v>498</v>
      </c>
      <c r="Y45" s="114">
        <f t="shared" ref="Y45:Y72" si="34">X45*2</f>
        <v>996</v>
      </c>
      <c r="Z45" s="150"/>
      <c r="AA45" s="48">
        <v>2023</v>
      </c>
      <c r="AB45" s="114">
        <v>0</v>
      </c>
      <c r="AC45" s="114">
        <v>5.8912656144088329</v>
      </c>
      <c r="AD45" s="114">
        <f t="shared" ref="AD45:AD72" si="35">1/3*AE114+AF114</f>
        <v>213.33333333333331</v>
      </c>
      <c r="AE45" s="114">
        <f t="shared" ref="AE45:AE72" si="36">1/6*AE114+AF114</f>
        <v>173.66666666666666</v>
      </c>
      <c r="AF45" s="114">
        <f t="shared" ref="AF45:AF72" si="37">AG114</f>
        <v>338</v>
      </c>
      <c r="AG45" s="114">
        <f t="shared" ref="AG45:AG72" si="38">AF45*2</f>
        <v>676</v>
      </c>
      <c r="AH45" s="150"/>
      <c r="AI45" s="48">
        <v>2023</v>
      </c>
      <c r="AJ45" s="114">
        <v>0</v>
      </c>
      <c r="AK45" s="114">
        <v>5.8912656144088329</v>
      </c>
      <c r="AL45" s="114">
        <f t="shared" ref="AL45:AL72" si="39">1/3*AH114+AI114</f>
        <v>606</v>
      </c>
      <c r="AM45" s="114">
        <f t="shared" ref="AM45:AM72" si="40">1/6*AH114+AI114</f>
        <v>572</v>
      </c>
      <c r="AN45" s="114">
        <f t="shared" ref="AN45:AN72" si="41">AJ114</f>
        <v>674</v>
      </c>
      <c r="AO45" s="114">
        <f t="shared" ref="AO45:AO72" si="42">AN45*2</f>
        <v>1348</v>
      </c>
      <c r="AP45" s="150"/>
      <c r="AQ45" s="48">
        <v>2023</v>
      </c>
      <c r="AR45" s="114">
        <v>0</v>
      </c>
      <c r="AS45" s="114">
        <v>5.8912656144088329</v>
      </c>
      <c r="AT45" s="114">
        <f t="shared" ref="AT45:AT72" si="43">1/3*AK114+AL114</f>
        <v>282</v>
      </c>
      <c r="AU45" s="114">
        <f t="shared" ref="AU45:AU72" si="44">1/6*AK114+AL114</f>
        <v>248.5</v>
      </c>
      <c r="AV45" s="114">
        <f t="shared" ref="AV45:AV72" si="45">AM114</f>
        <v>378</v>
      </c>
      <c r="AW45" s="114">
        <f t="shared" ref="AW45:AW72" si="46">AV45*2</f>
        <v>756</v>
      </c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  <c r="EK45" s="150"/>
      <c r="EL45" s="150"/>
      <c r="EM45" s="150"/>
      <c r="EN45" s="150"/>
      <c r="EO45" s="150"/>
      <c r="EP45" s="150"/>
      <c r="EQ45" s="150"/>
      <c r="ER45" s="150"/>
      <c r="ES45" s="150"/>
      <c r="ET45" s="150"/>
      <c r="EU45" s="150"/>
      <c r="EV45" s="150"/>
      <c r="EW45" s="150"/>
      <c r="EX45" s="150"/>
      <c r="EY45" s="150"/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50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0"/>
      <c r="HQ45" s="150"/>
      <c r="HR45" s="150"/>
      <c r="HS45" s="150"/>
      <c r="HT45" s="150"/>
      <c r="HU45" s="150"/>
      <c r="HV45" s="150"/>
      <c r="HW45" s="150"/>
      <c r="HX45" s="150"/>
      <c r="HY45" s="150"/>
      <c r="HZ45" s="150"/>
      <c r="IA45" s="150"/>
      <c r="IB45" s="150"/>
      <c r="IC45" s="150"/>
      <c r="ID45" s="150"/>
      <c r="IE45" s="150"/>
      <c r="IF45" s="150"/>
      <c r="IG45" s="150"/>
      <c r="IH45" s="150"/>
      <c r="II45" s="150"/>
      <c r="IJ45" s="150"/>
      <c r="IK45" s="150"/>
      <c r="IL45" s="150"/>
      <c r="IM45" s="150"/>
      <c r="IN45" s="150"/>
      <c r="IO45" s="150"/>
      <c r="IP45" s="150"/>
      <c r="IQ45" s="150"/>
      <c r="IR45" s="150"/>
      <c r="IS45" s="150"/>
      <c r="IT45" s="150"/>
      <c r="IU45" s="150"/>
      <c r="IV45" s="150"/>
      <c r="IW45" s="150"/>
      <c r="IX45" s="150"/>
      <c r="IY45" s="150"/>
      <c r="IZ45" s="150"/>
      <c r="JA45" s="150"/>
      <c r="JB45" s="150"/>
      <c r="JC45" s="150"/>
      <c r="JD45" s="150"/>
      <c r="JE45" s="150"/>
      <c r="JF45" s="150"/>
      <c r="JG45" s="150"/>
      <c r="JH45" s="150"/>
      <c r="JI45" s="150"/>
      <c r="JJ45" s="150"/>
      <c r="JK45" s="150"/>
      <c r="JL45" s="150"/>
      <c r="JM45" s="150"/>
      <c r="JN45" s="150"/>
      <c r="JO45" s="150"/>
      <c r="JP45" s="150"/>
      <c r="JQ45" s="150"/>
      <c r="JR45" s="150"/>
      <c r="JS45" s="150"/>
      <c r="JT45" s="150"/>
      <c r="JU45" s="150"/>
      <c r="JV45" s="150"/>
      <c r="JW45" s="150"/>
      <c r="JX45" s="150"/>
      <c r="JY45" s="150"/>
      <c r="JZ45" s="150"/>
      <c r="KA45" s="150"/>
      <c r="KB45" s="150"/>
      <c r="KC45" s="150"/>
      <c r="KD45" s="150"/>
      <c r="KE45" s="150"/>
      <c r="KF45" s="150"/>
      <c r="KG45" s="150"/>
      <c r="KH45" s="150"/>
      <c r="KI45" s="150"/>
      <c r="KJ45" s="150"/>
      <c r="KK45" s="150"/>
      <c r="KL45" s="150"/>
      <c r="KM45" s="150"/>
      <c r="KN45" s="150"/>
      <c r="KO45" s="150"/>
      <c r="KP45" s="150"/>
      <c r="KQ45" s="150"/>
      <c r="KR45" s="150"/>
      <c r="KS45" s="150"/>
      <c r="KT45" s="150"/>
      <c r="KU45" s="150"/>
      <c r="KV45" s="150"/>
      <c r="KW45" s="150"/>
      <c r="KX45" s="150"/>
      <c r="KY45" s="150"/>
      <c r="KZ45" s="150"/>
      <c r="LA45" s="150"/>
      <c r="LB45" s="150"/>
      <c r="LC45" s="150"/>
      <c r="LD45" s="150"/>
      <c r="LE45" s="150"/>
      <c r="LF45" s="150"/>
      <c r="LG45" s="150"/>
      <c r="LH45" s="150"/>
      <c r="LI45" s="150"/>
      <c r="LJ45" s="150"/>
      <c r="LK45" s="150"/>
      <c r="LL45" s="150"/>
      <c r="LM45" s="150"/>
      <c r="LN45" s="150"/>
      <c r="LO45" s="150"/>
      <c r="LP45" s="150"/>
      <c r="LQ45" s="150"/>
      <c r="LR45" s="150"/>
      <c r="LS45" s="150"/>
      <c r="LT45" s="150"/>
      <c r="LU45" s="150"/>
      <c r="LV45" s="150"/>
      <c r="LW45" s="150"/>
      <c r="LX45" s="150"/>
      <c r="LY45" s="150"/>
      <c r="LZ45" s="150"/>
      <c r="MA45" s="150"/>
      <c r="MB45" s="150"/>
      <c r="MC45" s="150"/>
      <c r="MD45" s="150"/>
      <c r="ME45" s="150"/>
      <c r="MF45" s="150"/>
      <c r="MG45" s="150"/>
      <c r="MH45" s="150"/>
      <c r="MI45" s="150"/>
      <c r="MJ45" s="150"/>
      <c r="MK45" s="150"/>
      <c r="ML45" s="150"/>
      <c r="MM45" s="150"/>
      <c r="MN45" s="150"/>
      <c r="MO45" s="150"/>
      <c r="MP45" s="150"/>
      <c r="MQ45" s="150"/>
      <c r="MR45" s="150"/>
      <c r="MS45" s="150"/>
      <c r="MT45" s="150"/>
      <c r="MU45" s="150"/>
      <c r="MV45" s="150"/>
      <c r="MW45" s="150"/>
      <c r="MX45" s="150"/>
      <c r="MY45" s="150"/>
      <c r="MZ45" s="150"/>
      <c r="NA45" s="150"/>
      <c r="NB45" s="150"/>
      <c r="NC45" s="150"/>
      <c r="ND45" s="150"/>
      <c r="NE45" s="150"/>
      <c r="NF45" s="150"/>
      <c r="NG45" s="150"/>
      <c r="NH45" s="150"/>
      <c r="NI45" s="150"/>
      <c r="NJ45" s="150"/>
      <c r="NK45" s="150"/>
      <c r="NL45" s="150"/>
      <c r="NM45" s="150"/>
      <c r="NN45" s="150"/>
      <c r="NO45" s="150"/>
      <c r="NP45" s="150"/>
      <c r="NQ45" s="150"/>
      <c r="NR45" s="150"/>
      <c r="NS45" s="150"/>
      <c r="NT45" s="150"/>
      <c r="NU45" s="150"/>
      <c r="NV45" s="150"/>
      <c r="NW45" s="150"/>
      <c r="NX45" s="150"/>
      <c r="NY45" s="150"/>
      <c r="NZ45" s="150"/>
      <c r="OA45" s="150"/>
      <c r="OB45" s="150"/>
      <c r="OC45" s="150"/>
      <c r="OD45" s="150"/>
      <c r="OE45" s="150"/>
    </row>
    <row r="46" spans="1:395">
      <c r="A46" s="19"/>
      <c r="B46" s="17"/>
      <c r="C46" s="48">
        <v>2024</v>
      </c>
      <c r="D46" s="114">
        <v>0</v>
      </c>
      <c r="E46" s="114">
        <v>5.5172170039701758</v>
      </c>
      <c r="F46" s="114">
        <f t="shared" si="24"/>
        <v>684.66666666666663</v>
      </c>
      <c r="G46" s="114">
        <f t="shared" si="25"/>
        <v>645.83333333333337</v>
      </c>
      <c r="H46" s="114">
        <f t="shared" si="26"/>
        <v>764</v>
      </c>
      <c r="I46" s="114">
        <f t="shared" ref="I46:I72" si="47">H46*2</f>
        <v>1528</v>
      </c>
      <c r="J46" s="150"/>
      <c r="K46" s="48">
        <v>2024</v>
      </c>
      <c r="L46" s="114">
        <v>0</v>
      </c>
      <c r="M46" s="114">
        <v>5.5172170039701758</v>
      </c>
      <c r="N46" s="114">
        <f t="shared" si="27"/>
        <v>497.33333333333331</v>
      </c>
      <c r="O46" s="114">
        <f t="shared" si="28"/>
        <v>463.66666666666669</v>
      </c>
      <c r="P46" s="114">
        <f t="shared" si="29"/>
        <v>574</v>
      </c>
      <c r="Q46" s="114">
        <f t="shared" si="30"/>
        <v>1148</v>
      </c>
      <c r="R46" s="150"/>
      <c r="S46" s="48">
        <v>2024</v>
      </c>
      <c r="T46" s="114">
        <v>0</v>
      </c>
      <c r="U46" s="114">
        <v>5.5172170039701758</v>
      </c>
      <c r="V46" s="114">
        <f t="shared" si="31"/>
        <v>374.66666666666663</v>
      </c>
      <c r="W46" s="114">
        <f t="shared" si="32"/>
        <v>339.33333333333331</v>
      </c>
      <c r="X46" s="114">
        <f t="shared" si="33"/>
        <v>469</v>
      </c>
      <c r="Y46" s="114">
        <f t="shared" si="34"/>
        <v>938</v>
      </c>
      <c r="Z46" s="150"/>
      <c r="AA46" s="48">
        <v>2024</v>
      </c>
      <c r="AB46" s="114">
        <v>0</v>
      </c>
      <c r="AC46" s="114">
        <v>5.5172170039701758</v>
      </c>
      <c r="AD46" s="114">
        <f t="shared" si="35"/>
        <v>200.66666666666666</v>
      </c>
      <c r="AE46" s="114">
        <f t="shared" si="36"/>
        <v>163.33333333333331</v>
      </c>
      <c r="AF46" s="114">
        <f t="shared" si="37"/>
        <v>318</v>
      </c>
      <c r="AG46" s="114">
        <f t="shared" si="38"/>
        <v>636</v>
      </c>
      <c r="AH46" s="150"/>
      <c r="AI46" s="48">
        <v>2024</v>
      </c>
      <c r="AJ46" s="114">
        <v>0</v>
      </c>
      <c r="AK46" s="114">
        <v>5.5172170039701758</v>
      </c>
      <c r="AL46" s="114">
        <f t="shared" si="39"/>
        <v>570</v>
      </c>
      <c r="AM46" s="114">
        <f t="shared" si="40"/>
        <v>538</v>
      </c>
      <c r="AN46" s="114">
        <f t="shared" si="41"/>
        <v>635</v>
      </c>
      <c r="AO46" s="114">
        <f t="shared" si="42"/>
        <v>1270</v>
      </c>
      <c r="AP46" s="150"/>
      <c r="AQ46" s="48">
        <v>2024</v>
      </c>
      <c r="AR46" s="114">
        <v>0</v>
      </c>
      <c r="AS46" s="114">
        <v>5.5172170039701758</v>
      </c>
      <c r="AT46" s="114">
        <f t="shared" si="43"/>
        <v>265.33333333333331</v>
      </c>
      <c r="AU46" s="114">
        <f t="shared" si="44"/>
        <v>233.66666666666666</v>
      </c>
      <c r="AV46" s="114">
        <f t="shared" si="45"/>
        <v>356</v>
      </c>
      <c r="AW46" s="114">
        <f t="shared" si="46"/>
        <v>712</v>
      </c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150"/>
      <c r="EV46" s="150"/>
      <c r="EW46" s="150"/>
      <c r="EX46" s="150"/>
      <c r="EY46" s="150"/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50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  <c r="IF46" s="150"/>
      <c r="IG46" s="150"/>
      <c r="IH46" s="150"/>
      <c r="II46" s="150"/>
      <c r="IJ46" s="150"/>
      <c r="IK46" s="150"/>
      <c r="IL46" s="150"/>
      <c r="IM46" s="150"/>
      <c r="IN46" s="150"/>
      <c r="IO46" s="150"/>
      <c r="IP46" s="150"/>
      <c r="IQ46" s="150"/>
      <c r="IR46" s="150"/>
      <c r="IS46" s="150"/>
      <c r="IT46" s="150"/>
      <c r="IU46" s="150"/>
      <c r="IV46" s="150"/>
      <c r="IW46" s="150"/>
      <c r="IX46" s="150"/>
      <c r="IY46" s="150"/>
      <c r="IZ46" s="150"/>
      <c r="JA46" s="150"/>
      <c r="JB46" s="150"/>
      <c r="JC46" s="150"/>
      <c r="JD46" s="150"/>
      <c r="JE46" s="150"/>
      <c r="JF46" s="150"/>
      <c r="JG46" s="150"/>
      <c r="JH46" s="150"/>
      <c r="JI46" s="150"/>
      <c r="JJ46" s="150"/>
      <c r="JK46" s="150"/>
      <c r="JL46" s="150"/>
      <c r="JM46" s="150"/>
      <c r="JN46" s="150"/>
      <c r="JO46" s="150"/>
      <c r="JP46" s="150"/>
      <c r="JQ46" s="150"/>
      <c r="JR46" s="150"/>
      <c r="JS46" s="150"/>
      <c r="JT46" s="150"/>
      <c r="JU46" s="150"/>
      <c r="JV46" s="150"/>
      <c r="JW46" s="150"/>
      <c r="JX46" s="150"/>
      <c r="JY46" s="150"/>
      <c r="JZ46" s="150"/>
      <c r="KA46" s="150"/>
      <c r="KB46" s="150"/>
      <c r="KC46" s="150"/>
      <c r="KD46" s="150"/>
      <c r="KE46" s="150"/>
      <c r="KF46" s="150"/>
      <c r="KG46" s="150"/>
      <c r="KH46" s="150"/>
      <c r="KI46" s="150"/>
      <c r="KJ46" s="150"/>
      <c r="KK46" s="150"/>
      <c r="KL46" s="150"/>
      <c r="KM46" s="150"/>
      <c r="KN46" s="150"/>
      <c r="KO46" s="150"/>
      <c r="KP46" s="150"/>
      <c r="KQ46" s="150"/>
      <c r="KR46" s="150"/>
      <c r="KS46" s="150"/>
      <c r="KT46" s="150"/>
      <c r="KU46" s="150"/>
      <c r="KV46" s="150"/>
      <c r="KW46" s="150"/>
      <c r="KX46" s="150"/>
      <c r="KY46" s="150"/>
      <c r="KZ46" s="150"/>
      <c r="LA46" s="150"/>
      <c r="LB46" s="150"/>
      <c r="LC46" s="150"/>
      <c r="LD46" s="150"/>
      <c r="LE46" s="150"/>
      <c r="LF46" s="150"/>
      <c r="LG46" s="150"/>
      <c r="LH46" s="150"/>
      <c r="LI46" s="150"/>
      <c r="LJ46" s="150"/>
      <c r="LK46" s="150"/>
      <c r="LL46" s="150"/>
      <c r="LM46" s="150"/>
      <c r="LN46" s="150"/>
      <c r="LO46" s="150"/>
      <c r="LP46" s="150"/>
      <c r="LQ46" s="150"/>
      <c r="LR46" s="150"/>
      <c r="LS46" s="150"/>
      <c r="LT46" s="150"/>
      <c r="LU46" s="150"/>
      <c r="LV46" s="150"/>
      <c r="LW46" s="150"/>
      <c r="LX46" s="150"/>
      <c r="LY46" s="150"/>
      <c r="LZ46" s="150"/>
      <c r="MA46" s="150"/>
      <c r="MB46" s="150"/>
      <c r="MC46" s="150"/>
      <c r="MD46" s="150"/>
      <c r="ME46" s="150"/>
      <c r="MF46" s="150"/>
      <c r="MG46" s="150"/>
      <c r="MH46" s="150"/>
      <c r="MI46" s="150"/>
      <c r="MJ46" s="150"/>
      <c r="MK46" s="150"/>
      <c r="ML46" s="150"/>
      <c r="MM46" s="150"/>
      <c r="MN46" s="150"/>
      <c r="MO46" s="150"/>
      <c r="MP46" s="150"/>
      <c r="MQ46" s="150"/>
      <c r="MR46" s="150"/>
      <c r="MS46" s="150"/>
      <c r="MT46" s="150"/>
      <c r="MU46" s="150"/>
      <c r="MV46" s="150"/>
      <c r="MW46" s="150"/>
      <c r="MX46" s="150"/>
      <c r="MY46" s="150"/>
      <c r="MZ46" s="150"/>
      <c r="NA46" s="150"/>
      <c r="NB46" s="150"/>
      <c r="NC46" s="150"/>
      <c r="ND46" s="150"/>
      <c r="NE46" s="150"/>
      <c r="NF46" s="150"/>
      <c r="NG46" s="150"/>
      <c r="NH46" s="150"/>
      <c r="NI46" s="150"/>
      <c r="NJ46" s="150"/>
      <c r="NK46" s="150"/>
      <c r="NL46" s="150"/>
      <c r="NM46" s="150"/>
      <c r="NN46" s="150"/>
      <c r="NO46" s="150"/>
      <c r="NP46" s="150"/>
      <c r="NQ46" s="150"/>
      <c r="NR46" s="150"/>
      <c r="NS46" s="150"/>
      <c r="NT46" s="150"/>
      <c r="NU46" s="150"/>
      <c r="NV46" s="150"/>
      <c r="NW46" s="150"/>
      <c r="NX46" s="150"/>
      <c r="NY46" s="150"/>
      <c r="NZ46" s="150"/>
      <c r="OA46" s="150"/>
      <c r="OB46" s="150"/>
      <c r="OC46" s="150"/>
      <c r="OD46" s="150"/>
      <c r="OE46" s="150"/>
    </row>
    <row r="47" spans="1:395">
      <c r="A47" s="19"/>
      <c r="B47" s="17"/>
      <c r="C47" s="48">
        <v>2025</v>
      </c>
      <c r="D47" s="114">
        <v>0</v>
      </c>
      <c r="E47" s="114">
        <v>5.1587537522997966</v>
      </c>
      <c r="F47" s="114">
        <f t="shared" si="24"/>
        <v>642</v>
      </c>
      <c r="G47" s="114">
        <f t="shared" si="25"/>
        <v>605.5</v>
      </c>
      <c r="H47" s="114">
        <f t="shared" si="26"/>
        <v>716</v>
      </c>
      <c r="I47" s="114">
        <f t="shared" si="47"/>
        <v>1432</v>
      </c>
      <c r="J47" s="150"/>
      <c r="K47" s="48">
        <v>2025</v>
      </c>
      <c r="L47" s="114">
        <v>0</v>
      </c>
      <c r="M47" s="114">
        <v>5.1587537522997966</v>
      </c>
      <c r="N47" s="114">
        <f t="shared" si="27"/>
        <v>466</v>
      </c>
      <c r="O47" s="114">
        <f t="shared" si="28"/>
        <v>434.5</v>
      </c>
      <c r="P47" s="114">
        <f t="shared" si="29"/>
        <v>538</v>
      </c>
      <c r="Q47" s="114">
        <f t="shared" si="30"/>
        <v>1076</v>
      </c>
      <c r="R47" s="150"/>
      <c r="S47" s="48">
        <v>2025</v>
      </c>
      <c r="T47" s="114">
        <v>0</v>
      </c>
      <c r="U47" s="114">
        <v>5.1587537522997966</v>
      </c>
      <c r="V47" s="114">
        <f t="shared" si="31"/>
        <v>351.33333333333331</v>
      </c>
      <c r="W47" s="114">
        <f t="shared" si="32"/>
        <v>318.16666666666669</v>
      </c>
      <c r="X47" s="114">
        <f t="shared" si="33"/>
        <v>439</v>
      </c>
      <c r="Y47" s="114">
        <f t="shared" si="34"/>
        <v>878</v>
      </c>
      <c r="Z47" s="150"/>
      <c r="AA47" s="48">
        <v>2025</v>
      </c>
      <c r="AB47" s="114">
        <v>0</v>
      </c>
      <c r="AC47" s="114">
        <v>5.1587537522997966</v>
      </c>
      <c r="AD47" s="114">
        <f t="shared" si="35"/>
        <v>189</v>
      </c>
      <c r="AE47" s="114">
        <f t="shared" si="36"/>
        <v>154</v>
      </c>
      <c r="AF47" s="114">
        <f t="shared" si="37"/>
        <v>298</v>
      </c>
      <c r="AG47" s="114">
        <f t="shared" si="38"/>
        <v>596</v>
      </c>
      <c r="AH47" s="150"/>
      <c r="AI47" s="48">
        <v>2025</v>
      </c>
      <c r="AJ47" s="114">
        <v>0</v>
      </c>
      <c r="AK47" s="114">
        <v>5.1587537522997966</v>
      </c>
      <c r="AL47" s="114">
        <f t="shared" si="39"/>
        <v>534</v>
      </c>
      <c r="AM47" s="114">
        <f t="shared" si="40"/>
        <v>504</v>
      </c>
      <c r="AN47" s="114">
        <f t="shared" si="41"/>
        <v>595</v>
      </c>
      <c r="AO47" s="114">
        <f t="shared" si="42"/>
        <v>1190</v>
      </c>
      <c r="AP47" s="150"/>
      <c r="AQ47" s="48">
        <v>2025</v>
      </c>
      <c r="AR47" s="114">
        <v>0</v>
      </c>
      <c r="AS47" s="114">
        <v>5.1587537522997966</v>
      </c>
      <c r="AT47" s="114">
        <f t="shared" si="43"/>
        <v>249.33333333333331</v>
      </c>
      <c r="AU47" s="114">
        <f t="shared" si="44"/>
        <v>219.66666666666666</v>
      </c>
      <c r="AV47" s="114">
        <f t="shared" si="45"/>
        <v>334</v>
      </c>
      <c r="AW47" s="114">
        <f t="shared" si="46"/>
        <v>668</v>
      </c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50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150"/>
      <c r="HQ47" s="150"/>
      <c r="HR47" s="150"/>
      <c r="HS47" s="150"/>
      <c r="HT47" s="150"/>
      <c r="HU47" s="150"/>
      <c r="HV47" s="150"/>
      <c r="HW47" s="150"/>
      <c r="HX47" s="150"/>
      <c r="HY47" s="150"/>
      <c r="HZ47" s="150"/>
      <c r="IA47" s="150"/>
      <c r="IB47" s="150"/>
      <c r="IC47" s="150"/>
      <c r="ID47" s="150"/>
      <c r="IE47" s="150"/>
      <c r="IF47" s="150"/>
      <c r="IG47" s="150"/>
      <c r="IH47" s="150"/>
      <c r="II47" s="150"/>
      <c r="IJ47" s="150"/>
      <c r="IK47" s="150"/>
      <c r="IL47" s="150"/>
      <c r="IM47" s="150"/>
      <c r="IN47" s="150"/>
      <c r="IO47" s="150"/>
      <c r="IP47" s="150"/>
      <c r="IQ47" s="150"/>
      <c r="IR47" s="150"/>
      <c r="IS47" s="150"/>
      <c r="IT47" s="150"/>
      <c r="IU47" s="150"/>
      <c r="IV47" s="150"/>
      <c r="IW47" s="150"/>
      <c r="IX47" s="150"/>
      <c r="IY47" s="150"/>
      <c r="IZ47" s="150"/>
      <c r="JA47" s="150"/>
      <c r="JB47" s="150"/>
      <c r="JC47" s="150"/>
      <c r="JD47" s="150"/>
      <c r="JE47" s="150"/>
      <c r="JF47" s="150"/>
      <c r="JG47" s="150"/>
      <c r="JH47" s="150"/>
      <c r="JI47" s="150"/>
      <c r="JJ47" s="150"/>
      <c r="JK47" s="150"/>
      <c r="JL47" s="150"/>
      <c r="JM47" s="150"/>
      <c r="JN47" s="150"/>
      <c r="JO47" s="150"/>
      <c r="JP47" s="150"/>
      <c r="JQ47" s="150"/>
      <c r="JR47" s="150"/>
      <c r="JS47" s="150"/>
      <c r="JT47" s="150"/>
      <c r="JU47" s="150"/>
      <c r="JV47" s="150"/>
      <c r="JW47" s="150"/>
      <c r="JX47" s="150"/>
      <c r="JY47" s="150"/>
      <c r="JZ47" s="150"/>
      <c r="KA47" s="150"/>
      <c r="KB47" s="150"/>
      <c r="KC47" s="150"/>
      <c r="KD47" s="150"/>
      <c r="KE47" s="150"/>
      <c r="KF47" s="150"/>
      <c r="KG47" s="150"/>
      <c r="KH47" s="150"/>
      <c r="KI47" s="150"/>
      <c r="KJ47" s="150"/>
      <c r="KK47" s="150"/>
      <c r="KL47" s="150"/>
      <c r="KM47" s="150"/>
      <c r="KN47" s="150"/>
      <c r="KO47" s="150"/>
      <c r="KP47" s="150"/>
      <c r="KQ47" s="150"/>
      <c r="KR47" s="150"/>
      <c r="KS47" s="150"/>
      <c r="KT47" s="150"/>
      <c r="KU47" s="150"/>
      <c r="KV47" s="150"/>
      <c r="KW47" s="150"/>
      <c r="KX47" s="150"/>
      <c r="KY47" s="150"/>
      <c r="KZ47" s="150"/>
      <c r="LA47" s="150"/>
      <c r="LB47" s="150"/>
      <c r="LC47" s="150"/>
      <c r="LD47" s="150"/>
      <c r="LE47" s="150"/>
      <c r="LF47" s="150"/>
      <c r="LG47" s="150"/>
      <c r="LH47" s="150"/>
      <c r="LI47" s="150"/>
      <c r="LJ47" s="150"/>
      <c r="LK47" s="150"/>
      <c r="LL47" s="150"/>
      <c r="LM47" s="150"/>
      <c r="LN47" s="150"/>
      <c r="LO47" s="150"/>
      <c r="LP47" s="150"/>
      <c r="LQ47" s="150"/>
      <c r="LR47" s="150"/>
      <c r="LS47" s="150"/>
      <c r="LT47" s="150"/>
      <c r="LU47" s="150"/>
      <c r="LV47" s="150"/>
      <c r="LW47" s="150"/>
      <c r="LX47" s="150"/>
      <c r="LY47" s="150"/>
      <c r="LZ47" s="150"/>
      <c r="MA47" s="150"/>
      <c r="MB47" s="150"/>
      <c r="MC47" s="150"/>
      <c r="MD47" s="150"/>
      <c r="ME47" s="150"/>
      <c r="MF47" s="150"/>
      <c r="MG47" s="150"/>
      <c r="MH47" s="150"/>
      <c r="MI47" s="150"/>
      <c r="MJ47" s="150"/>
      <c r="MK47" s="150"/>
      <c r="ML47" s="150"/>
      <c r="MM47" s="150"/>
      <c r="MN47" s="150"/>
      <c r="MO47" s="150"/>
      <c r="MP47" s="150"/>
      <c r="MQ47" s="150"/>
      <c r="MR47" s="150"/>
      <c r="MS47" s="150"/>
      <c r="MT47" s="150"/>
      <c r="MU47" s="150"/>
      <c r="MV47" s="150"/>
      <c r="MW47" s="150"/>
      <c r="MX47" s="150"/>
      <c r="MY47" s="150"/>
      <c r="MZ47" s="150"/>
      <c r="NA47" s="150"/>
      <c r="NB47" s="150"/>
      <c r="NC47" s="150"/>
      <c r="ND47" s="150"/>
      <c r="NE47" s="150"/>
      <c r="NF47" s="150"/>
      <c r="NG47" s="150"/>
      <c r="NH47" s="150"/>
      <c r="NI47" s="150"/>
      <c r="NJ47" s="150"/>
      <c r="NK47" s="150"/>
      <c r="NL47" s="150"/>
      <c r="NM47" s="150"/>
      <c r="NN47" s="150"/>
      <c r="NO47" s="150"/>
      <c r="NP47" s="150"/>
      <c r="NQ47" s="150"/>
      <c r="NR47" s="150"/>
      <c r="NS47" s="150"/>
      <c r="NT47" s="150"/>
      <c r="NU47" s="150"/>
      <c r="NV47" s="150"/>
      <c r="NW47" s="150"/>
      <c r="NX47" s="150"/>
      <c r="NY47" s="150"/>
      <c r="NZ47" s="150"/>
      <c r="OA47" s="150"/>
      <c r="OB47" s="150"/>
      <c r="OC47" s="150"/>
      <c r="OD47" s="150"/>
      <c r="OE47" s="150"/>
    </row>
    <row r="48" spans="1:395">
      <c r="A48" s="19"/>
      <c r="B48" s="17"/>
      <c r="C48" s="48">
        <v>2026</v>
      </c>
      <c r="D48" s="114">
        <v>0</v>
      </c>
      <c r="E48" s="114">
        <v>4.7847051418611413</v>
      </c>
      <c r="F48" s="114">
        <f t="shared" si="24"/>
        <v>599</v>
      </c>
      <c r="G48" s="114">
        <f t="shared" si="25"/>
        <v>565</v>
      </c>
      <c r="H48" s="114">
        <f t="shared" si="26"/>
        <v>668</v>
      </c>
      <c r="I48" s="114">
        <f t="shared" si="47"/>
        <v>1336</v>
      </c>
      <c r="J48" s="150"/>
      <c r="K48" s="48">
        <v>2026</v>
      </c>
      <c r="L48" s="114">
        <v>0</v>
      </c>
      <c r="M48" s="114">
        <v>4.7847051418611413</v>
      </c>
      <c r="N48" s="114">
        <f t="shared" si="27"/>
        <v>434.66666666666669</v>
      </c>
      <c r="O48" s="114">
        <f t="shared" si="28"/>
        <v>405.33333333333331</v>
      </c>
      <c r="P48" s="114">
        <f t="shared" si="29"/>
        <v>502</v>
      </c>
      <c r="Q48" s="114">
        <f t="shared" si="30"/>
        <v>1004</v>
      </c>
      <c r="R48" s="150"/>
      <c r="S48" s="48">
        <v>2026</v>
      </c>
      <c r="T48" s="114">
        <v>0</v>
      </c>
      <c r="U48" s="114">
        <v>4.7847051418611413</v>
      </c>
      <c r="V48" s="114">
        <f t="shared" si="31"/>
        <v>327.66666666666669</v>
      </c>
      <c r="W48" s="114">
        <f t="shared" si="32"/>
        <v>296.83333333333331</v>
      </c>
      <c r="X48" s="114">
        <f t="shared" si="33"/>
        <v>410</v>
      </c>
      <c r="Y48" s="114">
        <f t="shared" si="34"/>
        <v>820</v>
      </c>
      <c r="Z48" s="150"/>
      <c r="AA48" s="48">
        <v>2026</v>
      </c>
      <c r="AB48" s="114">
        <v>0</v>
      </c>
      <c r="AC48" s="114">
        <v>4.7847051418611413</v>
      </c>
      <c r="AD48" s="114">
        <f t="shared" si="35"/>
        <v>176.33333333333331</v>
      </c>
      <c r="AE48" s="114">
        <f t="shared" si="36"/>
        <v>143.66666666666666</v>
      </c>
      <c r="AF48" s="114">
        <f t="shared" si="37"/>
        <v>279</v>
      </c>
      <c r="AG48" s="114">
        <f t="shared" si="38"/>
        <v>558</v>
      </c>
      <c r="AH48" s="150"/>
      <c r="AI48" s="48">
        <v>2026</v>
      </c>
      <c r="AJ48" s="114">
        <v>0</v>
      </c>
      <c r="AK48" s="114">
        <v>4.7847051418611413</v>
      </c>
      <c r="AL48" s="114">
        <f t="shared" si="39"/>
        <v>499</v>
      </c>
      <c r="AM48" s="114">
        <f t="shared" si="40"/>
        <v>471</v>
      </c>
      <c r="AN48" s="114">
        <f t="shared" si="41"/>
        <v>555</v>
      </c>
      <c r="AO48" s="114">
        <f t="shared" si="42"/>
        <v>1110</v>
      </c>
      <c r="AP48" s="150"/>
      <c r="AQ48" s="48">
        <v>2026</v>
      </c>
      <c r="AR48" s="114">
        <v>0</v>
      </c>
      <c r="AS48" s="114">
        <v>4.7847051418611413</v>
      </c>
      <c r="AT48" s="114">
        <f t="shared" si="43"/>
        <v>232.33333333333331</v>
      </c>
      <c r="AU48" s="114">
        <f t="shared" si="44"/>
        <v>204.66666666666666</v>
      </c>
      <c r="AV48" s="114">
        <f t="shared" si="45"/>
        <v>312</v>
      </c>
      <c r="AW48" s="114">
        <f t="shared" si="46"/>
        <v>624</v>
      </c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50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  <c r="IE48" s="150"/>
      <c r="IF48" s="150"/>
      <c r="IG48" s="150"/>
      <c r="IH48" s="150"/>
      <c r="II48" s="150"/>
      <c r="IJ48" s="150"/>
      <c r="IK48" s="150"/>
      <c r="IL48" s="150"/>
      <c r="IM48" s="150"/>
      <c r="IN48" s="150"/>
      <c r="IO48" s="150"/>
      <c r="IP48" s="150"/>
      <c r="IQ48" s="150"/>
      <c r="IR48" s="150"/>
      <c r="IS48" s="150"/>
      <c r="IT48" s="150"/>
      <c r="IU48" s="150"/>
      <c r="IV48" s="150"/>
      <c r="IW48" s="150"/>
      <c r="IX48" s="150"/>
      <c r="IY48" s="150"/>
      <c r="IZ48" s="150"/>
      <c r="JA48" s="150"/>
      <c r="JB48" s="150"/>
      <c r="JC48" s="150"/>
      <c r="JD48" s="150"/>
      <c r="JE48" s="150"/>
      <c r="JF48" s="150"/>
      <c r="JG48" s="150"/>
      <c r="JH48" s="150"/>
      <c r="JI48" s="150"/>
      <c r="JJ48" s="150"/>
      <c r="JK48" s="150"/>
      <c r="JL48" s="150"/>
      <c r="JM48" s="150"/>
      <c r="JN48" s="150"/>
      <c r="JO48" s="150"/>
      <c r="JP48" s="150"/>
      <c r="JQ48" s="150"/>
      <c r="JR48" s="150"/>
      <c r="JS48" s="150"/>
      <c r="JT48" s="150"/>
      <c r="JU48" s="150"/>
      <c r="JV48" s="150"/>
      <c r="JW48" s="150"/>
      <c r="JX48" s="150"/>
      <c r="JY48" s="150"/>
      <c r="JZ48" s="150"/>
      <c r="KA48" s="150"/>
      <c r="KB48" s="150"/>
      <c r="KC48" s="150"/>
      <c r="KD48" s="150"/>
      <c r="KE48" s="150"/>
      <c r="KF48" s="150"/>
      <c r="KG48" s="150"/>
      <c r="KH48" s="150"/>
      <c r="KI48" s="150"/>
      <c r="KJ48" s="150"/>
      <c r="KK48" s="150"/>
      <c r="KL48" s="150"/>
      <c r="KM48" s="150"/>
      <c r="KN48" s="150"/>
      <c r="KO48" s="150"/>
      <c r="KP48" s="150"/>
      <c r="KQ48" s="150"/>
      <c r="KR48" s="150"/>
      <c r="KS48" s="150"/>
      <c r="KT48" s="150"/>
      <c r="KU48" s="150"/>
      <c r="KV48" s="150"/>
      <c r="KW48" s="150"/>
      <c r="KX48" s="150"/>
      <c r="KY48" s="150"/>
      <c r="KZ48" s="150"/>
      <c r="LA48" s="150"/>
      <c r="LB48" s="150"/>
      <c r="LC48" s="150"/>
      <c r="LD48" s="150"/>
      <c r="LE48" s="150"/>
      <c r="LF48" s="150"/>
      <c r="LG48" s="150"/>
      <c r="LH48" s="150"/>
      <c r="LI48" s="150"/>
      <c r="LJ48" s="150"/>
      <c r="LK48" s="150"/>
      <c r="LL48" s="150"/>
      <c r="LM48" s="150"/>
      <c r="LN48" s="150"/>
      <c r="LO48" s="150"/>
      <c r="LP48" s="150"/>
      <c r="LQ48" s="150"/>
      <c r="LR48" s="150"/>
      <c r="LS48" s="150"/>
      <c r="LT48" s="150"/>
      <c r="LU48" s="150"/>
      <c r="LV48" s="150"/>
      <c r="LW48" s="150"/>
      <c r="LX48" s="150"/>
      <c r="LY48" s="150"/>
      <c r="LZ48" s="150"/>
      <c r="MA48" s="150"/>
      <c r="MB48" s="150"/>
      <c r="MC48" s="150"/>
      <c r="MD48" s="150"/>
      <c r="ME48" s="150"/>
      <c r="MF48" s="150"/>
      <c r="MG48" s="150"/>
      <c r="MH48" s="150"/>
      <c r="MI48" s="150"/>
      <c r="MJ48" s="150"/>
      <c r="MK48" s="150"/>
      <c r="ML48" s="150"/>
      <c r="MM48" s="150"/>
      <c r="MN48" s="150"/>
      <c r="MO48" s="150"/>
      <c r="MP48" s="150"/>
      <c r="MQ48" s="150"/>
      <c r="MR48" s="150"/>
      <c r="MS48" s="150"/>
      <c r="MT48" s="150"/>
      <c r="MU48" s="150"/>
      <c r="MV48" s="150"/>
      <c r="MW48" s="150"/>
      <c r="MX48" s="150"/>
      <c r="MY48" s="150"/>
      <c r="MZ48" s="150"/>
      <c r="NA48" s="150"/>
      <c r="NB48" s="150"/>
      <c r="NC48" s="150"/>
      <c r="ND48" s="150"/>
      <c r="NE48" s="150"/>
      <c r="NF48" s="150"/>
      <c r="NG48" s="150"/>
      <c r="NH48" s="150"/>
      <c r="NI48" s="150"/>
      <c r="NJ48" s="150"/>
      <c r="NK48" s="150"/>
      <c r="NL48" s="150"/>
      <c r="NM48" s="150"/>
      <c r="NN48" s="150"/>
      <c r="NO48" s="150"/>
      <c r="NP48" s="150"/>
      <c r="NQ48" s="150"/>
      <c r="NR48" s="150"/>
      <c r="NS48" s="150"/>
      <c r="NT48" s="150"/>
      <c r="NU48" s="150"/>
      <c r="NV48" s="150"/>
      <c r="NW48" s="150"/>
      <c r="NX48" s="150"/>
      <c r="NY48" s="150"/>
      <c r="NZ48" s="150"/>
      <c r="OA48" s="150"/>
      <c r="OB48" s="150"/>
      <c r="OC48" s="150"/>
      <c r="OD48" s="150"/>
      <c r="OE48" s="150"/>
    </row>
    <row r="49" spans="1:395">
      <c r="A49" s="19"/>
      <c r="B49" s="17"/>
      <c r="C49" s="48">
        <v>2027</v>
      </c>
      <c r="D49" s="114">
        <v>0</v>
      </c>
      <c r="E49" s="114">
        <v>4.4262418901907621</v>
      </c>
      <c r="F49" s="114">
        <f t="shared" si="24"/>
        <v>556.33333333333337</v>
      </c>
      <c r="G49" s="114">
        <f t="shared" si="25"/>
        <v>524.66666666666663</v>
      </c>
      <c r="H49" s="114">
        <f t="shared" si="26"/>
        <v>621</v>
      </c>
      <c r="I49" s="114">
        <f t="shared" si="47"/>
        <v>1242</v>
      </c>
      <c r="J49" s="150"/>
      <c r="K49" s="48">
        <v>2027</v>
      </c>
      <c r="L49" s="114">
        <v>0</v>
      </c>
      <c r="M49" s="114">
        <v>4.4262418901907621</v>
      </c>
      <c r="N49" s="114">
        <f t="shared" si="27"/>
        <v>403.66666666666669</v>
      </c>
      <c r="O49" s="114">
        <f t="shared" si="28"/>
        <v>376.33333333333331</v>
      </c>
      <c r="P49" s="114">
        <f t="shared" si="29"/>
        <v>466</v>
      </c>
      <c r="Q49" s="114">
        <f t="shared" si="30"/>
        <v>932</v>
      </c>
      <c r="R49" s="150"/>
      <c r="S49" s="48">
        <v>2027</v>
      </c>
      <c r="T49" s="114">
        <v>0</v>
      </c>
      <c r="U49" s="114">
        <v>4.4262418901907621</v>
      </c>
      <c r="V49" s="114">
        <f t="shared" si="31"/>
        <v>304.33333333333331</v>
      </c>
      <c r="W49" s="114">
        <f t="shared" si="32"/>
        <v>275.66666666666669</v>
      </c>
      <c r="X49" s="114">
        <f t="shared" si="33"/>
        <v>381</v>
      </c>
      <c r="Y49" s="114">
        <f t="shared" si="34"/>
        <v>762</v>
      </c>
      <c r="Z49" s="150"/>
      <c r="AA49" s="48">
        <v>2027</v>
      </c>
      <c r="AB49" s="114">
        <v>0</v>
      </c>
      <c r="AC49" s="114">
        <v>4.4262418901907621</v>
      </c>
      <c r="AD49" s="114">
        <f t="shared" si="35"/>
        <v>163.66666666666666</v>
      </c>
      <c r="AE49" s="114">
        <f t="shared" si="36"/>
        <v>133.33333333333334</v>
      </c>
      <c r="AF49" s="114">
        <f t="shared" si="37"/>
        <v>259</v>
      </c>
      <c r="AG49" s="114">
        <f t="shared" si="38"/>
        <v>518</v>
      </c>
      <c r="AH49" s="150"/>
      <c r="AI49" s="48">
        <v>2027</v>
      </c>
      <c r="AJ49" s="114">
        <v>0</v>
      </c>
      <c r="AK49" s="114">
        <v>4.4262418901907621</v>
      </c>
      <c r="AL49" s="114">
        <f t="shared" si="39"/>
        <v>463</v>
      </c>
      <c r="AM49" s="114">
        <f t="shared" si="40"/>
        <v>437</v>
      </c>
      <c r="AN49" s="114">
        <f t="shared" si="41"/>
        <v>516</v>
      </c>
      <c r="AO49" s="114">
        <f t="shared" si="42"/>
        <v>1032</v>
      </c>
      <c r="AP49" s="150"/>
      <c r="AQ49" s="48">
        <v>2027</v>
      </c>
      <c r="AR49" s="114">
        <v>0</v>
      </c>
      <c r="AS49" s="114">
        <v>4.4262418901907621</v>
      </c>
      <c r="AT49" s="114">
        <f t="shared" si="43"/>
        <v>215.33333333333331</v>
      </c>
      <c r="AU49" s="114">
        <f t="shared" si="44"/>
        <v>189.66666666666666</v>
      </c>
      <c r="AV49" s="114">
        <f t="shared" si="45"/>
        <v>289</v>
      </c>
      <c r="AW49" s="114">
        <f t="shared" si="46"/>
        <v>578</v>
      </c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50"/>
      <c r="EV49" s="150"/>
      <c r="EW49" s="150"/>
      <c r="EX49" s="150"/>
      <c r="EY49" s="150"/>
      <c r="EZ49" s="150"/>
      <c r="FA49" s="150"/>
      <c r="FB49" s="150"/>
      <c r="FC49" s="150"/>
      <c r="FD49" s="150"/>
      <c r="FE49" s="150"/>
      <c r="FF49" s="150"/>
      <c r="FG49" s="150"/>
      <c r="FH49" s="150"/>
      <c r="FI49" s="150"/>
      <c r="FJ49" s="150"/>
      <c r="FK49" s="150"/>
      <c r="FL49" s="150"/>
      <c r="FM49" s="150"/>
      <c r="FN49" s="150"/>
      <c r="FO49" s="150"/>
      <c r="FP49" s="150"/>
      <c r="FQ49" s="150"/>
      <c r="FR49" s="150"/>
      <c r="FS49" s="150"/>
      <c r="FT49" s="150"/>
      <c r="FU49" s="150"/>
      <c r="FV49" s="150"/>
      <c r="FW49" s="150"/>
      <c r="FX49" s="150"/>
      <c r="FY49" s="150"/>
      <c r="FZ49" s="150"/>
      <c r="GA49" s="150"/>
      <c r="GB49" s="150"/>
      <c r="GC49" s="150"/>
      <c r="GD49" s="150"/>
      <c r="GE49" s="150"/>
      <c r="GF49" s="150"/>
      <c r="GG49" s="150"/>
      <c r="GH49" s="150"/>
      <c r="GI49" s="150"/>
      <c r="GJ49" s="150"/>
      <c r="GK49" s="150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  <c r="GV49" s="150"/>
      <c r="GW49" s="150"/>
      <c r="GX49" s="150"/>
      <c r="GY49" s="150"/>
      <c r="GZ49" s="150"/>
      <c r="HA49" s="150"/>
      <c r="HB49" s="150"/>
      <c r="HC49" s="150"/>
      <c r="HD49" s="150"/>
      <c r="HE49" s="150"/>
      <c r="HF49" s="150"/>
      <c r="HG49" s="150"/>
      <c r="HH49" s="150"/>
      <c r="HI49" s="150"/>
      <c r="HJ49" s="150"/>
      <c r="HK49" s="150"/>
      <c r="HL49" s="150"/>
      <c r="HM49" s="150"/>
      <c r="HN49" s="150"/>
      <c r="HO49" s="150"/>
      <c r="HP49" s="150"/>
      <c r="HQ49" s="150"/>
      <c r="HR49" s="150"/>
      <c r="HS49" s="150"/>
      <c r="HT49" s="150"/>
      <c r="HU49" s="150"/>
      <c r="HV49" s="150"/>
      <c r="HW49" s="150"/>
      <c r="HX49" s="150"/>
      <c r="HY49" s="150"/>
      <c r="HZ49" s="150"/>
      <c r="IA49" s="150"/>
      <c r="IB49" s="150"/>
      <c r="IC49" s="150"/>
      <c r="ID49" s="150"/>
      <c r="IE49" s="150"/>
      <c r="IF49" s="150"/>
      <c r="IG49" s="150"/>
      <c r="IH49" s="150"/>
      <c r="II49" s="150"/>
      <c r="IJ49" s="150"/>
      <c r="IK49" s="150"/>
      <c r="IL49" s="150"/>
      <c r="IM49" s="150"/>
      <c r="IN49" s="150"/>
      <c r="IO49" s="150"/>
      <c r="IP49" s="150"/>
      <c r="IQ49" s="150"/>
      <c r="IR49" s="150"/>
      <c r="IS49" s="150"/>
      <c r="IT49" s="150"/>
      <c r="IU49" s="150"/>
      <c r="IV49" s="150"/>
      <c r="IW49" s="150"/>
      <c r="IX49" s="150"/>
      <c r="IY49" s="150"/>
      <c r="IZ49" s="150"/>
      <c r="JA49" s="150"/>
      <c r="JB49" s="150"/>
      <c r="JC49" s="150"/>
      <c r="JD49" s="150"/>
      <c r="JE49" s="150"/>
      <c r="JF49" s="150"/>
      <c r="JG49" s="150"/>
      <c r="JH49" s="150"/>
      <c r="JI49" s="150"/>
      <c r="JJ49" s="150"/>
      <c r="JK49" s="150"/>
      <c r="JL49" s="150"/>
      <c r="JM49" s="150"/>
      <c r="JN49" s="150"/>
      <c r="JO49" s="150"/>
      <c r="JP49" s="150"/>
      <c r="JQ49" s="150"/>
      <c r="JR49" s="150"/>
      <c r="JS49" s="150"/>
      <c r="JT49" s="150"/>
      <c r="JU49" s="150"/>
      <c r="JV49" s="150"/>
      <c r="JW49" s="150"/>
      <c r="JX49" s="150"/>
      <c r="JY49" s="150"/>
      <c r="JZ49" s="150"/>
      <c r="KA49" s="150"/>
      <c r="KB49" s="150"/>
      <c r="KC49" s="150"/>
      <c r="KD49" s="150"/>
      <c r="KE49" s="150"/>
      <c r="KF49" s="150"/>
      <c r="KG49" s="150"/>
      <c r="KH49" s="150"/>
      <c r="KI49" s="150"/>
      <c r="KJ49" s="150"/>
      <c r="KK49" s="150"/>
      <c r="KL49" s="150"/>
      <c r="KM49" s="150"/>
      <c r="KN49" s="150"/>
      <c r="KO49" s="150"/>
      <c r="KP49" s="150"/>
      <c r="KQ49" s="150"/>
      <c r="KR49" s="150"/>
      <c r="KS49" s="150"/>
      <c r="KT49" s="150"/>
      <c r="KU49" s="150"/>
      <c r="KV49" s="150"/>
      <c r="KW49" s="150"/>
      <c r="KX49" s="150"/>
      <c r="KY49" s="150"/>
      <c r="KZ49" s="150"/>
      <c r="LA49" s="150"/>
      <c r="LB49" s="150"/>
      <c r="LC49" s="150"/>
      <c r="LD49" s="150"/>
      <c r="LE49" s="150"/>
      <c r="LF49" s="150"/>
      <c r="LG49" s="150"/>
      <c r="LH49" s="150"/>
      <c r="LI49" s="150"/>
      <c r="LJ49" s="150"/>
      <c r="LK49" s="150"/>
      <c r="LL49" s="150"/>
      <c r="LM49" s="150"/>
      <c r="LN49" s="150"/>
      <c r="LO49" s="150"/>
      <c r="LP49" s="150"/>
      <c r="LQ49" s="150"/>
      <c r="LR49" s="150"/>
      <c r="LS49" s="150"/>
      <c r="LT49" s="150"/>
      <c r="LU49" s="150"/>
      <c r="LV49" s="150"/>
      <c r="LW49" s="150"/>
      <c r="LX49" s="150"/>
      <c r="LY49" s="150"/>
      <c r="LZ49" s="150"/>
      <c r="MA49" s="150"/>
      <c r="MB49" s="150"/>
      <c r="MC49" s="150"/>
      <c r="MD49" s="150"/>
      <c r="ME49" s="150"/>
      <c r="MF49" s="150"/>
      <c r="MG49" s="150"/>
      <c r="MH49" s="150"/>
      <c r="MI49" s="150"/>
      <c r="MJ49" s="150"/>
      <c r="MK49" s="150"/>
      <c r="ML49" s="150"/>
      <c r="MM49" s="150"/>
      <c r="MN49" s="150"/>
      <c r="MO49" s="150"/>
      <c r="MP49" s="150"/>
      <c r="MQ49" s="150"/>
      <c r="MR49" s="150"/>
      <c r="MS49" s="150"/>
      <c r="MT49" s="150"/>
      <c r="MU49" s="150"/>
      <c r="MV49" s="150"/>
      <c r="MW49" s="150"/>
      <c r="MX49" s="150"/>
      <c r="MY49" s="150"/>
      <c r="MZ49" s="150"/>
      <c r="NA49" s="150"/>
      <c r="NB49" s="150"/>
      <c r="NC49" s="150"/>
      <c r="ND49" s="150"/>
      <c r="NE49" s="150"/>
      <c r="NF49" s="150"/>
      <c r="NG49" s="150"/>
      <c r="NH49" s="150"/>
      <c r="NI49" s="150"/>
      <c r="NJ49" s="150"/>
      <c r="NK49" s="150"/>
      <c r="NL49" s="150"/>
      <c r="NM49" s="150"/>
      <c r="NN49" s="150"/>
      <c r="NO49" s="150"/>
      <c r="NP49" s="150"/>
      <c r="NQ49" s="150"/>
      <c r="NR49" s="150"/>
      <c r="NS49" s="150"/>
      <c r="NT49" s="150"/>
      <c r="NU49" s="150"/>
      <c r="NV49" s="150"/>
      <c r="NW49" s="150"/>
      <c r="NX49" s="150"/>
      <c r="NY49" s="150"/>
      <c r="NZ49" s="150"/>
      <c r="OA49" s="150"/>
      <c r="OB49" s="150"/>
      <c r="OC49" s="150"/>
      <c r="OD49" s="150"/>
      <c r="OE49" s="150"/>
    </row>
    <row r="50" spans="1:395">
      <c r="A50" s="19"/>
      <c r="B50" s="17"/>
      <c r="C50" s="48">
        <v>2028</v>
      </c>
      <c r="D50" s="114">
        <v>0</v>
      </c>
      <c r="E50" s="114">
        <v>4.0521932797521067</v>
      </c>
      <c r="F50" s="114">
        <f t="shared" si="24"/>
        <v>513.33333333333337</v>
      </c>
      <c r="G50" s="114">
        <f t="shared" si="25"/>
        <v>484.16666666666669</v>
      </c>
      <c r="H50" s="114">
        <f t="shared" si="26"/>
        <v>573</v>
      </c>
      <c r="I50" s="114">
        <f t="shared" si="47"/>
        <v>1146</v>
      </c>
      <c r="J50" s="150"/>
      <c r="K50" s="48">
        <v>2028</v>
      </c>
      <c r="L50" s="114">
        <v>0</v>
      </c>
      <c r="M50" s="114">
        <v>4.0521932797521067</v>
      </c>
      <c r="N50" s="114">
        <f t="shared" si="27"/>
        <v>373.33333333333331</v>
      </c>
      <c r="O50" s="114">
        <f t="shared" si="28"/>
        <v>348.16666666666669</v>
      </c>
      <c r="P50" s="114">
        <f t="shared" si="29"/>
        <v>431</v>
      </c>
      <c r="Q50" s="114">
        <f t="shared" si="30"/>
        <v>862</v>
      </c>
      <c r="R50" s="150"/>
      <c r="S50" s="48">
        <v>2028</v>
      </c>
      <c r="T50" s="114">
        <v>0</v>
      </c>
      <c r="U50" s="114">
        <v>4.0521932797521067</v>
      </c>
      <c r="V50" s="114">
        <f t="shared" si="31"/>
        <v>281</v>
      </c>
      <c r="W50" s="114">
        <f t="shared" si="32"/>
        <v>254.5</v>
      </c>
      <c r="X50" s="114">
        <f t="shared" si="33"/>
        <v>351</v>
      </c>
      <c r="Y50" s="114">
        <f t="shared" si="34"/>
        <v>702</v>
      </c>
      <c r="Z50" s="150"/>
      <c r="AA50" s="48">
        <v>2028</v>
      </c>
      <c r="AB50" s="114">
        <v>0</v>
      </c>
      <c r="AC50" s="114">
        <v>4.0521932797521067</v>
      </c>
      <c r="AD50" s="114">
        <f t="shared" si="35"/>
        <v>151</v>
      </c>
      <c r="AE50" s="114">
        <f t="shared" si="36"/>
        <v>123</v>
      </c>
      <c r="AF50" s="114">
        <f t="shared" si="37"/>
        <v>239</v>
      </c>
      <c r="AG50" s="114">
        <f t="shared" si="38"/>
        <v>478</v>
      </c>
      <c r="AH50" s="150"/>
      <c r="AI50" s="48">
        <v>2028</v>
      </c>
      <c r="AJ50" s="114">
        <v>0</v>
      </c>
      <c r="AK50" s="114">
        <v>4.0521932797521067</v>
      </c>
      <c r="AL50" s="114">
        <f t="shared" si="39"/>
        <v>428</v>
      </c>
      <c r="AM50" s="114">
        <f t="shared" si="40"/>
        <v>404</v>
      </c>
      <c r="AN50" s="114">
        <f t="shared" si="41"/>
        <v>476</v>
      </c>
      <c r="AO50" s="114">
        <f t="shared" si="42"/>
        <v>952</v>
      </c>
      <c r="AP50" s="150"/>
      <c r="AQ50" s="48">
        <v>2028</v>
      </c>
      <c r="AR50" s="114">
        <v>0</v>
      </c>
      <c r="AS50" s="114">
        <v>4.0521932797521067</v>
      </c>
      <c r="AT50" s="114">
        <f t="shared" si="43"/>
        <v>199.33333333333331</v>
      </c>
      <c r="AU50" s="114">
        <f t="shared" si="44"/>
        <v>175.66666666666666</v>
      </c>
      <c r="AV50" s="114">
        <f t="shared" si="45"/>
        <v>267</v>
      </c>
      <c r="AW50" s="114">
        <f t="shared" si="46"/>
        <v>534</v>
      </c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  <c r="FF50" s="150"/>
      <c r="FG50" s="150"/>
      <c r="FH50" s="150"/>
      <c r="FI50" s="150"/>
      <c r="FJ50" s="150"/>
      <c r="FK50" s="150"/>
      <c r="FL50" s="150"/>
      <c r="FM50" s="150"/>
      <c r="FN50" s="150"/>
      <c r="FO50" s="150"/>
      <c r="FP50" s="150"/>
      <c r="FQ50" s="150"/>
      <c r="FR50" s="150"/>
      <c r="FS50" s="150"/>
      <c r="FT50" s="150"/>
      <c r="FU50" s="150"/>
      <c r="FV50" s="150"/>
      <c r="FW50" s="150"/>
      <c r="FX50" s="150"/>
      <c r="FY50" s="150"/>
      <c r="FZ50" s="150"/>
      <c r="GA50" s="150"/>
      <c r="GB50" s="150"/>
      <c r="GC50" s="150"/>
      <c r="GD50" s="150"/>
      <c r="GE50" s="150"/>
      <c r="GF50" s="150"/>
      <c r="GG50" s="150"/>
      <c r="GH50" s="150"/>
      <c r="GI50" s="150"/>
      <c r="GJ50" s="150"/>
      <c r="GK50" s="150"/>
      <c r="GL50" s="150"/>
      <c r="GM50" s="150"/>
      <c r="GN50" s="150"/>
      <c r="GO50" s="150"/>
      <c r="GP50" s="150"/>
      <c r="GQ50" s="150"/>
      <c r="GR50" s="150"/>
      <c r="GS50" s="150"/>
      <c r="GT50" s="150"/>
      <c r="GU50" s="150"/>
      <c r="GV50" s="150"/>
      <c r="GW50" s="150"/>
      <c r="GX50" s="150"/>
      <c r="GY50" s="150"/>
      <c r="GZ50" s="150"/>
      <c r="HA50" s="150"/>
      <c r="HB50" s="150"/>
      <c r="HC50" s="150"/>
      <c r="HD50" s="150"/>
      <c r="HE50" s="150"/>
      <c r="HF50" s="150"/>
      <c r="HG50" s="150"/>
      <c r="HH50" s="150"/>
      <c r="HI50" s="150"/>
      <c r="HJ50" s="150"/>
      <c r="HK50" s="150"/>
      <c r="HL50" s="150"/>
      <c r="HM50" s="150"/>
      <c r="HN50" s="150"/>
      <c r="HO50" s="150"/>
      <c r="HP50" s="150"/>
      <c r="HQ50" s="150"/>
      <c r="HR50" s="150"/>
      <c r="HS50" s="150"/>
      <c r="HT50" s="150"/>
      <c r="HU50" s="150"/>
      <c r="HV50" s="150"/>
      <c r="HW50" s="150"/>
      <c r="HX50" s="150"/>
      <c r="HY50" s="150"/>
      <c r="HZ50" s="150"/>
      <c r="IA50" s="150"/>
      <c r="IB50" s="150"/>
      <c r="IC50" s="150"/>
      <c r="ID50" s="150"/>
      <c r="IE50" s="150"/>
      <c r="IF50" s="150"/>
      <c r="IG50" s="150"/>
      <c r="IH50" s="150"/>
      <c r="II50" s="150"/>
      <c r="IJ50" s="150"/>
      <c r="IK50" s="150"/>
      <c r="IL50" s="150"/>
      <c r="IM50" s="150"/>
      <c r="IN50" s="150"/>
      <c r="IO50" s="150"/>
      <c r="IP50" s="150"/>
      <c r="IQ50" s="150"/>
      <c r="IR50" s="150"/>
      <c r="IS50" s="150"/>
      <c r="IT50" s="150"/>
      <c r="IU50" s="150"/>
      <c r="IV50" s="150"/>
      <c r="IW50" s="150"/>
      <c r="IX50" s="150"/>
      <c r="IY50" s="150"/>
      <c r="IZ50" s="150"/>
      <c r="JA50" s="150"/>
      <c r="JB50" s="150"/>
      <c r="JC50" s="150"/>
      <c r="JD50" s="150"/>
      <c r="JE50" s="150"/>
      <c r="JF50" s="150"/>
      <c r="JG50" s="150"/>
      <c r="JH50" s="150"/>
      <c r="JI50" s="150"/>
      <c r="JJ50" s="150"/>
      <c r="JK50" s="150"/>
      <c r="JL50" s="150"/>
      <c r="JM50" s="150"/>
      <c r="JN50" s="150"/>
      <c r="JO50" s="150"/>
      <c r="JP50" s="150"/>
      <c r="JQ50" s="150"/>
      <c r="JR50" s="150"/>
      <c r="JS50" s="150"/>
      <c r="JT50" s="150"/>
      <c r="JU50" s="150"/>
      <c r="JV50" s="150"/>
      <c r="JW50" s="150"/>
      <c r="JX50" s="150"/>
      <c r="JY50" s="150"/>
      <c r="JZ50" s="150"/>
      <c r="KA50" s="150"/>
      <c r="KB50" s="150"/>
      <c r="KC50" s="150"/>
      <c r="KD50" s="150"/>
      <c r="KE50" s="150"/>
      <c r="KF50" s="150"/>
      <c r="KG50" s="150"/>
      <c r="KH50" s="150"/>
      <c r="KI50" s="150"/>
      <c r="KJ50" s="150"/>
      <c r="KK50" s="150"/>
      <c r="KL50" s="150"/>
      <c r="KM50" s="150"/>
      <c r="KN50" s="150"/>
      <c r="KO50" s="150"/>
      <c r="KP50" s="150"/>
      <c r="KQ50" s="150"/>
      <c r="KR50" s="150"/>
      <c r="KS50" s="150"/>
      <c r="KT50" s="150"/>
      <c r="KU50" s="150"/>
      <c r="KV50" s="150"/>
      <c r="KW50" s="150"/>
      <c r="KX50" s="150"/>
      <c r="KY50" s="150"/>
      <c r="KZ50" s="150"/>
      <c r="LA50" s="150"/>
      <c r="LB50" s="150"/>
      <c r="LC50" s="150"/>
      <c r="LD50" s="150"/>
      <c r="LE50" s="150"/>
      <c r="LF50" s="150"/>
      <c r="LG50" s="150"/>
      <c r="LH50" s="150"/>
      <c r="LI50" s="150"/>
      <c r="LJ50" s="150"/>
      <c r="LK50" s="150"/>
      <c r="LL50" s="150"/>
      <c r="LM50" s="150"/>
      <c r="LN50" s="150"/>
      <c r="LO50" s="150"/>
      <c r="LP50" s="150"/>
      <c r="LQ50" s="150"/>
      <c r="LR50" s="150"/>
      <c r="LS50" s="150"/>
      <c r="LT50" s="150"/>
      <c r="LU50" s="150"/>
      <c r="LV50" s="150"/>
      <c r="LW50" s="150"/>
      <c r="LX50" s="150"/>
      <c r="LY50" s="150"/>
      <c r="LZ50" s="150"/>
      <c r="MA50" s="150"/>
      <c r="MB50" s="150"/>
      <c r="MC50" s="150"/>
      <c r="MD50" s="150"/>
      <c r="ME50" s="150"/>
      <c r="MF50" s="150"/>
      <c r="MG50" s="150"/>
      <c r="MH50" s="150"/>
      <c r="MI50" s="150"/>
      <c r="MJ50" s="150"/>
      <c r="MK50" s="150"/>
      <c r="ML50" s="150"/>
      <c r="MM50" s="150"/>
      <c r="MN50" s="150"/>
      <c r="MO50" s="150"/>
      <c r="MP50" s="150"/>
      <c r="MQ50" s="150"/>
      <c r="MR50" s="150"/>
      <c r="MS50" s="150"/>
      <c r="MT50" s="150"/>
      <c r="MU50" s="150"/>
      <c r="MV50" s="150"/>
      <c r="MW50" s="150"/>
      <c r="MX50" s="150"/>
      <c r="MY50" s="150"/>
      <c r="MZ50" s="150"/>
      <c r="NA50" s="150"/>
      <c r="NB50" s="150"/>
      <c r="NC50" s="150"/>
      <c r="ND50" s="150"/>
      <c r="NE50" s="150"/>
      <c r="NF50" s="150"/>
      <c r="NG50" s="150"/>
      <c r="NH50" s="150"/>
      <c r="NI50" s="150"/>
      <c r="NJ50" s="150"/>
      <c r="NK50" s="150"/>
      <c r="NL50" s="150"/>
      <c r="NM50" s="150"/>
      <c r="NN50" s="150"/>
      <c r="NO50" s="150"/>
      <c r="NP50" s="150"/>
      <c r="NQ50" s="150"/>
      <c r="NR50" s="150"/>
      <c r="NS50" s="150"/>
      <c r="NT50" s="150"/>
      <c r="NU50" s="150"/>
      <c r="NV50" s="150"/>
      <c r="NW50" s="150"/>
      <c r="NX50" s="150"/>
      <c r="NY50" s="150"/>
      <c r="NZ50" s="150"/>
      <c r="OA50" s="150"/>
      <c r="OB50" s="150"/>
      <c r="OC50" s="150"/>
      <c r="OD50" s="150"/>
      <c r="OE50" s="150"/>
    </row>
    <row r="51" spans="1:395">
      <c r="A51" s="19"/>
      <c r="B51" s="17"/>
      <c r="C51" s="48">
        <v>2029</v>
      </c>
      <c r="D51" s="114">
        <v>0</v>
      </c>
      <c r="E51" s="114">
        <v>3.693730028081728</v>
      </c>
      <c r="F51" s="114">
        <f t="shared" si="24"/>
        <v>470.33333333333331</v>
      </c>
      <c r="G51" s="114">
        <f t="shared" si="25"/>
        <v>443.66666666666669</v>
      </c>
      <c r="H51" s="114">
        <f t="shared" si="26"/>
        <v>525</v>
      </c>
      <c r="I51" s="114">
        <f t="shared" si="47"/>
        <v>1050</v>
      </c>
      <c r="J51" s="150"/>
      <c r="K51" s="48">
        <v>2029</v>
      </c>
      <c r="L51" s="114">
        <v>0</v>
      </c>
      <c r="M51" s="114">
        <v>3.693730028081728</v>
      </c>
      <c r="N51" s="114">
        <f t="shared" si="27"/>
        <v>342</v>
      </c>
      <c r="O51" s="114">
        <f t="shared" si="28"/>
        <v>319</v>
      </c>
      <c r="P51" s="114">
        <f t="shared" si="29"/>
        <v>395</v>
      </c>
      <c r="Q51" s="114">
        <f t="shared" si="30"/>
        <v>790</v>
      </c>
      <c r="R51" s="150"/>
      <c r="S51" s="48">
        <v>2029</v>
      </c>
      <c r="T51" s="114">
        <v>0</v>
      </c>
      <c r="U51" s="114">
        <v>3.693730028081728</v>
      </c>
      <c r="V51" s="114">
        <f t="shared" si="31"/>
        <v>257.66666666666669</v>
      </c>
      <c r="W51" s="114">
        <f t="shared" si="32"/>
        <v>233.33333333333334</v>
      </c>
      <c r="X51" s="114">
        <f t="shared" si="33"/>
        <v>322</v>
      </c>
      <c r="Y51" s="114">
        <f t="shared" si="34"/>
        <v>644</v>
      </c>
      <c r="Z51" s="150"/>
      <c r="AA51" s="48">
        <v>2029</v>
      </c>
      <c r="AB51" s="114">
        <v>0</v>
      </c>
      <c r="AC51" s="114">
        <v>3.693730028081728</v>
      </c>
      <c r="AD51" s="114">
        <f t="shared" si="35"/>
        <v>138.33333333333331</v>
      </c>
      <c r="AE51" s="114">
        <f t="shared" si="36"/>
        <v>112.66666666666666</v>
      </c>
      <c r="AF51" s="114">
        <f t="shared" si="37"/>
        <v>219</v>
      </c>
      <c r="AG51" s="114">
        <f t="shared" si="38"/>
        <v>438</v>
      </c>
      <c r="AH51" s="150"/>
      <c r="AI51" s="48">
        <v>2029</v>
      </c>
      <c r="AJ51" s="114">
        <v>0</v>
      </c>
      <c r="AK51" s="114">
        <v>3.693730028081728</v>
      </c>
      <c r="AL51" s="114">
        <f t="shared" si="39"/>
        <v>392</v>
      </c>
      <c r="AM51" s="114">
        <f t="shared" si="40"/>
        <v>370</v>
      </c>
      <c r="AN51" s="114">
        <f t="shared" si="41"/>
        <v>436</v>
      </c>
      <c r="AO51" s="114">
        <f t="shared" si="42"/>
        <v>872</v>
      </c>
      <c r="AP51" s="150"/>
      <c r="AQ51" s="48">
        <v>2029</v>
      </c>
      <c r="AR51" s="114">
        <v>0</v>
      </c>
      <c r="AS51" s="114">
        <v>3.693730028081728</v>
      </c>
      <c r="AT51" s="114">
        <f t="shared" si="43"/>
        <v>182.33333333333331</v>
      </c>
      <c r="AU51" s="114">
        <f t="shared" si="44"/>
        <v>160.66666666666666</v>
      </c>
      <c r="AV51" s="114">
        <f t="shared" si="45"/>
        <v>245</v>
      </c>
      <c r="AW51" s="114">
        <f t="shared" si="46"/>
        <v>490</v>
      </c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50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0"/>
      <c r="IK51" s="150"/>
      <c r="IL51" s="150"/>
      <c r="IM51" s="150"/>
      <c r="IN51" s="150"/>
      <c r="IO51" s="150"/>
      <c r="IP51" s="150"/>
      <c r="IQ51" s="150"/>
      <c r="IR51" s="150"/>
      <c r="IS51" s="150"/>
      <c r="IT51" s="150"/>
      <c r="IU51" s="150"/>
      <c r="IV51" s="150"/>
      <c r="IW51" s="150"/>
      <c r="IX51" s="150"/>
      <c r="IY51" s="150"/>
      <c r="IZ51" s="150"/>
      <c r="JA51" s="150"/>
      <c r="JB51" s="150"/>
      <c r="JC51" s="150"/>
      <c r="JD51" s="150"/>
      <c r="JE51" s="150"/>
      <c r="JF51" s="150"/>
      <c r="JG51" s="150"/>
      <c r="JH51" s="150"/>
      <c r="JI51" s="150"/>
      <c r="JJ51" s="150"/>
      <c r="JK51" s="150"/>
      <c r="JL51" s="150"/>
      <c r="JM51" s="150"/>
      <c r="JN51" s="150"/>
      <c r="JO51" s="150"/>
      <c r="JP51" s="150"/>
      <c r="JQ51" s="150"/>
      <c r="JR51" s="150"/>
      <c r="JS51" s="150"/>
      <c r="JT51" s="150"/>
      <c r="JU51" s="150"/>
      <c r="JV51" s="150"/>
      <c r="JW51" s="150"/>
      <c r="JX51" s="150"/>
      <c r="JY51" s="150"/>
      <c r="JZ51" s="150"/>
      <c r="KA51" s="150"/>
      <c r="KB51" s="150"/>
      <c r="KC51" s="150"/>
      <c r="KD51" s="150"/>
      <c r="KE51" s="150"/>
      <c r="KF51" s="150"/>
      <c r="KG51" s="150"/>
      <c r="KH51" s="150"/>
      <c r="KI51" s="150"/>
      <c r="KJ51" s="150"/>
      <c r="KK51" s="150"/>
      <c r="KL51" s="150"/>
      <c r="KM51" s="150"/>
      <c r="KN51" s="150"/>
      <c r="KO51" s="150"/>
      <c r="KP51" s="150"/>
      <c r="KQ51" s="150"/>
      <c r="KR51" s="150"/>
      <c r="KS51" s="150"/>
      <c r="KT51" s="150"/>
      <c r="KU51" s="150"/>
      <c r="KV51" s="150"/>
      <c r="KW51" s="150"/>
      <c r="KX51" s="150"/>
      <c r="KY51" s="150"/>
      <c r="KZ51" s="150"/>
      <c r="LA51" s="150"/>
      <c r="LB51" s="150"/>
      <c r="LC51" s="150"/>
      <c r="LD51" s="150"/>
      <c r="LE51" s="150"/>
      <c r="LF51" s="150"/>
      <c r="LG51" s="150"/>
      <c r="LH51" s="150"/>
      <c r="LI51" s="150"/>
      <c r="LJ51" s="150"/>
      <c r="LK51" s="150"/>
      <c r="LL51" s="150"/>
      <c r="LM51" s="150"/>
      <c r="LN51" s="150"/>
      <c r="LO51" s="150"/>
      <c r="LP51" s="150"/>
      <c r="LQ51" s="150"/>
      <c r="LR51" s="150"/>
      <c r="LS51" s="150"/>
      <c r="LT51" s="150"/>
      <c r="LU51" s="150"/>
      <c r="LV51" s="150"/>
      <c r="LW51" s="150"/>
      <c r="LX51" s="150"/>
      <c r="LY51" s="150"/>
      <c r="LZ51" s="150"/>
      <c r="MA51" s="150"/>
      <c r="MB51" s="150"/>
      <c r="MC51" s="150"/>
      <c r="MD51" s="150"/>
      <c r="ME51" s="150"/>
      <c r="MF51" s="150"/>
      <c r="MG51" s="150"/>
      <c r="MH51" s="150"/>
      <c r="MI51" s="150"/>
      <c r="MJ51" s="150"/>
      <c r="MK51" s="150"/>
      <c r="ML51" s="150"/>
      <c r="MM51" s="150"/>
      <c r="MN51" s="150"/>
      <c r="MO51" s="150"/>
      <c r="MP51" s="150"/>
      <c r="MQ51" s="150"/>
      <c r="MR51" s="150"/>
      <c r="MS51" s="150"/>
      <c r="MT51" s="150"/>
      <c r="MU51" s="150"/>
      <c r="MV51" s="150"/>
      <c r="MW51" s="150"/>
      <c r="MX51" s="150"/>
      <c r="MY51" s="150"/>
      <c r="MZ51" s="150"/>
      <c r="NA51" s="150"/>
      <c r="NB51" s="150"/>
      <c r="NC51" s="150"/>
      <c r="ND51" s="150"/>
      <c r="NE51" s="150"/>
      <c r="NF51" s="150"/>
      <c r="NG51" s="150"/>
      <c r="NH51" s="150"/>
      <c r="NI51" s="150"/>
      <c r="NJ51" s="150"/>
      <c r="NK51" s="150"/>
      <c r="NL51" s="150"/>
      <c r="NM51" s="150"/>
      <c r="NN51" s="150"/>
      <c r="NO51" s="150"/>
      <c r="NP51" s="150"/>
      <c r="NQ51" s="150"/>
      <c r="NR51" s="150"/>
      <c r="NS51" s="150"/>
      <c r="NT51" s="150"/>
      <c r="NU51" s="150"/>
      <c r="NV51" s="150"/>
      <c r="NW51" s="150"/>
      <c r="NX51" s="150"/>
      <c r="NY51" s="150"/>
      <c r="NZ51" s="150"/>
      <c r="OA51" s="150"/>
      <c r="OB51" s="150"/>
      <c r="OC51" s="150"/>
      <c r="OD51" s="150"/>
      <c r="OE51" s="150"/>
    </row>
    <row r="52" spans="1:395">
      <c r="A52" s="19"/>
      <c r="B52" s="17"/>
      <c r="C52" s="48">
        <v>2030</v>
      </c>
      <c r="D52" s="114">
        <v>0</v>
      </c>
      <c r="E52" s="114">
        <v>3.3196814176430722</v>
      </c>
      <c r="F52" s="114">
        <f t="shared" si="24"/>
        <v>428.66666666666669</v>
      </c>
      <c r="G52" s="114">
        <f t="shared" si="25"/>
        <v>404.33333333333331</v>
      </c>
      <c r="H52" s="114">
        <f t="shared" si="26"/>
        <v>478</v>
      </c>
      <c r="I52" s="114">
        <f t="shared" si="47"/>
        <v>956</v>
      </c>
      <c r="J52" s="150"/>
      <c r="K52" s="48">
        <v>2030</v>
      </c>
      <c r="L52" s="114">
        <v>0</v>
      </c>
      <c r="M52" s="114">
        <v>3.3196814176430722</v>
      </c>
      <c r="N52" s="114">
        <f t="shared" si="27"/>
        <v>311</v>
      </c>
      <c r="O52" s="114">
        <f t="shared" si="28"/>
        <v>290</v>
      </c>
      <c r="P52" s="114">
        <f t="shared" si="29"/>
        <v>359</v>
      </c>
      <c r="Q52" s="114">
        <f t="shared" si="30"/>
        <v>718</v>
      </c>
      <c r="R52" s="150"/>
      <c r="S52" s="48">
        <v>2030</v>
      </c>
      <c r="T52" s="114">
        <v>0</v>
      </c>
      <c r="U52" s="114">
        <v>3.3196814176430722</v>
      </c>
      <c r="V52" s="114">
        <f t="shared" si="31"/>
        <v>234</v>
      </c>
      <c r="W52" s="114">
        <f t="shared" si="32"/>
        <v>212</v>
      </c>
      <c r="X52" s="114">
        <f t="shared" si="33"/>
        <v>293</v>
      </c>
      <c r="Y52" s="114">
        <f t="shared" si="34"/>
        <v>586</v>
      </c>
      <c r="Z52" s="150"/>
      <c r="AA52" s="48">
        <v>2030</v>
      </c>
      <c r="AB52" s="114">
        <v>0</v>
      </c>
      <c r="AC52" s="114">
        <v>3.3196814176430722</v>
      </c>
      <c r="AD52" s="114">
        <f t="shared" si="35"/>
        <v>125.66666666666666</v>
      </c>
      <c r="AE52" s="114">
        <f t="shared" si="36"/>
        <v>102.33333333333333</v>
      </c>
      <c r="AF52" s="114">
        <f t="shared" si="37"/>
        <v>199</v>
      </c>
      <c r="AG52" s="114">
        <f t="shared" si="38"/>
        <v>398</v>
      </c>
      <c r="AH52" s="150"/>
      <c r="AI52" s="48">
        <v>2030</v>
      </c>
      <c r="AJ52" s="114">
        <v>0</v>
      </c>
      <c r="AK52" s="114">
        <v>3.3196814176430722</v>
      </c>
      <c r="AL52" s="114">
        <f t="shared" si="39"/>
        <v>356</v>
      </c>
      <c r="AM52" s="114">
        <f t="shared" si="40"/>
        <v>336</v>
      </c>
      <c r="AN52" s="114">
        <f t="shared" si="41"/>
        <v>397</v>
      </c>
      <c r="AO52" s="114">
        <f t="shared" si="42"/>
        <v>794</v>
      </c>
      <c r="AP52" s="150"/>
      <c r="AQ52" s="48">
        <v>2030</v>
      </c>
      <c r="AR52" s="114">
        <v>0</v>
      </c>
      <c r="AS52" s="114">
        <v>3.3196814176430722</v>
      </c>
      <c r="AT52" s="114">
        <f t="shared" si="43"/>
        <v>165.33333333333331</v>
      </c>
      <c r="AU52" s="114">
        <f t="shared" si="44"/>
        <v>145.66666666666666</v>
      </c>
      <c r="AV52" s="114">
        <f t="shared" si="45"/>
        <v>223</v>
      </c>
      <c r="AW52" s="114">
        <f t="shared" si="46"/>
        <v>446</v>
      </c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/>
      <c r="EM52" s="150"/>
      <c r="EN52" s="150"/>
      <c r="EO52" s="150"/>
      <c r="EP52" s="150"/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0"/>
      <c r="FB52" s="150"/>
      <c r="FC52" s="150"/>
      <c r="FD52" s="150"/>
      <c r="FE52" s="150"/>
      <c r="FF52" s="150"/>
      <c r="FG52" s="150"/>
      <c r="FH52" s="150"/>
      <c r="FI52" s="150"/>
      <c r="FJ52" s="150"/>
      <c r="FK52" s="150"/>
      <c r="FL52" s="150"/>
      <c r="FM52" s="150"/>
      <c r="FN52" s="150"/>
      <c r="FO52" s="150"/>
      <c r="FP52" s="150"/>
      <c r="FQ52" s="150"/>
      <c r="FR52" s="150"/>
      <c r="FS52" s="150"/>
      <c r="FT52" s="150"/>
      <c r="FU52" s="150"/>
      <c r="FV52" s="150"/>
      <c r="FW52" s="150"/>
      <c r="FX52" s="150"/>
      <c r="FY52" s="150"/>
      <c r="FZ52" s="150"/>
      <c r="GA52" s="150"/>
      <c r="GB52" s="150"/>
      <c r="GC52" s="150"/>
      <c r="GD52" s="150"/>
      <c r="GE52" s="150"/>
      <c r="GF52" s="150"/>
      <c r="GG52" s="150"/>
      <c r="GH52" s="150"/>
      <c r="GI52" s="150"/>
      <c r="GJ52" s="150"/>
      <c r="GK52" s="150"/>
      <c r="GL52" s="150"/>
      <c r="GM52" s="150"/>
      <c r="GN52" s="150"/>
      <c r="GO52" s="150"/>
      <c r="GP52" s="150"/>
      <c r="GQ52" s="150"/>
      <c r="GR52" s="150"/>
      <c r="GS52" s="150"/>
      <c r="GT52" s="150"/>
      <c r="GU52" s="150"/>
      <c r="GV52" s="150"/>
      <c r="GW52" s="150"/>
      <c r="GX52" s="150"/>
      <c r="GY52" s="150"/>
      <c r="GZ52" s="150"/>
      <c r="HA52" s="150"/>
      <c r="HB52" s="150"/>
      <c r="HC52" s="150"/>
      <c r="HD52" s="150"/>
      <c r="HE52" s="150"/>
      <c r="HF52" s="150"/>
      <c r="HG52" s="150"/>
      <c r="HH52" s="150"/>
      <c r="HI52" s="150"/>
      <c r="HJ52" s="150"/>
      <c r="HK52" s="150"/>
      <c r="HL52" s="150"/>
      <c r="HM52" s="150"/>
      <c r="HN52" s="150"/>
      <c r="HO52" s="150"/>
      <c r="HP52" s="150"/>
      <c r="HQ52" s="150"/>
      <c r="HR52" s="150"/>
      <c r="HS52" s="150"/>
      <c r="HT52" s="150"/>
      <c r="HU52" s="150"/>
      <c r="HV52" s="150"/>
      <c r="HW52" s="150"/>
      <c r="HX52" s="150"/>
      <c r="HY52" s="150"/>
      <c r="HZ52" s="150"/>
      <c r="IA52" s="150"/>
      <c r="IB52" s="150"/>
      <c r="IC52" s="150"/>
      <c r="ID52" s="150"/>
      <c r="IE52" s="150"/>
      <c r="IF52" s="150"/>
      <c r="IG52" s="150"/>
      <c r="IH52" s="150"/>
      <c r="II52" s="150"/>
      <c r="IJ52" s="150"/>
      <c r="IK52" s="150"/>
      <c r="IL52" s="150"/>
      <c r="IM52" s="150"/>
      <c r="IN52" s="150"/>
      <c r="IO52" s="150"/>
      <c r="IP52" s="150"/>
      <c r="IQ52" s="150"/>
      <c r="IR52" s="150"/>
      <c r="IS52" s="150"/>
      <c r="IT52" s="150"/>
      <c r="IU52" s="150"/>
      <c r="IV52" s="150"/>
      <c r="IW52" s="150"/>
      <c r="IX52" s="150"/>
      <c r="IY52" s="150"/>
      <c r="IZ52" s="150"/>
      <c r="JA52" s="150"/>
      <c r="JB52" s="150"/>
      <c r="JC52" s="150"/>
      <c r="JD52" s="150"/>
      <c r="JE52" s="150"/>
      <c r="JF52" s="150"/>
      <c r="JG52" s="150"/>
      <c r="JH52" s="150"/>
      <c r="JI52" s="150"/>
      <c r="JJ52" s="150"/>
      <c r="JK52" s="150"/>
      <c r="JL52" s="150"/>
      <c r="JM52" s="150"/>
      <c r="JN52" s="150"/>
      <c r="JO52" s="150"/>
      <c r="JP52" s="150"/>
      <c r="JQ52" s="150"/>
      <c r="JR52" s="150"/>
      <c r="JS52" s="150"/>
      <c r="JT52" s="150"/>
      <c r="JU52" s="150"/>
      <c r="JV52" s="150"/>
      <c r="JW52" s="150"/>
      <c r="JX52" s="150"/>
      <c r="JY52" s="150"/>
      <c r="JZ52" s="150"/>
      <c r="KA52" s="150"/>
      <c r="KB52" s="150"/>
      <c r="KC52" s="150"/>
      <c r="KD52" s="150"/>
      <c r="KE52" s="150"/>
      <c r="KF52" s="150"/>
      <c r="KG52" s="150"/>
      <c r="KH52" s="150"/>
      <c r="KI52" s="150"/>
      <c r="KJ52" s="150"/>
      <c r="KK52" s="150"/>
      <c r="KL52" s="150"/>
      <c r="KM52" s="150"/>
      <c r="KN52" s="150"/>
      <c r="KO52" s="150"/>
      <c r="KP52" s="150"/>
      <c r="KQ52" s="150"/>
      <c r="KR52" s="150"/>
      <c r="KS52" s="150"/>
      <c r="KT52" s="150"/>
      <c r="KU52" s="150"/>
      <c r="KV52" s="150"/>
      <c r="KW52" s="150"/>
      <c r="KX52" s="150"/>
      <c r="KY52" s="150"/>
      <c r="KZ52" s="150"/>
      <c r="LA52" s="150"/>
      <c r="LB52" s="150"/>
      <c r="LC52" s="150"/>
      <c r="LD52" s="150"/>
      <c r="LE52" s="150"/>
      <c r="LF52" s="150"/>
      <c r="LG52" s="150"/>
      <c r="LH52" s="150"/>
      <c r="LI52" s="150"/>
      <c r="LJ52" s="150"/>
      <c r="LK52" s="150"/>
      <c r="LL52" s="150"/>
      <c r="LM52" s="150"/>
      <c r="LN52" s="150"/>
      <c r="LO52" s="150"/>
      <c r="LP52" s="150"/>
      <c r="LQ52" s="150"/>
      <c r="LR52" s="150"/>
      <c r="LS52" s="150"/>
      <c r="LT52" s="150"/>
      <c r="LU52" s="150"/>
      <c r="LV52" s="150"/>
      <c r="LW52" s="150"/>
      <c r="LX52" s="150"/>
      <c r="LY52" s="150"/>
      <c r="LZ52" s="150"/>
      <c r="MA52" s="150"/>
      <c r="MB52" s="150"/>
      <c r="MC52" s="150"/>
      <c r="MD52" s="150"/>
      <c r="ME52" s="150"/>
      <c r="MF52" s="150"/>
      <c r="MG52" s="150"/>
      <c r="MH52" s="150"/>
      <c r="MI52" s="150"/>
      <c r="MJ52" s="150"/>
      <c r="MK52" s="150"/>
      <c r="ML52" s="150"/>
      <c r="MM52" s="150"/>
      <c r="MN52" s="150"/>
      <c r="MO52" s="150"/>
      <c r="MP52" s="150"/>
      <c r="MQ52" s="150"/>
      <c r="MR52" s="150"/>
      <c r="MS52" s="150"/>
      <c r="MT52" s="150"/>
      <c r="MU52" s="150"/>
      <c r="MV52" s="150"/>
      <c r="MW52" s="150"/>
      <c r="MX52" s="150"/>
      <c r="MY52" s="150"/>
      <c r="MZ52" s="150"/>
      <c r="NA52" s="150"/>
      <c r="NB52" s="150"/>
      <c r="NC52" s="150"/>
      <c r="ND52" s="150"/>
      <c r="NE52" s="150"/>
      <c r="NF52" s="150"/>
      <c r="NG52" s="150"/>
      <c r="NH52" s="150"/>
      <c r="NI52" s="150"/>
      <c r="NJ52" s="150"/>
      <c r="NK52" s="150"/>
      <c r="NL52" s="150"/>
      <c r="NM52" s="150"/>
      <c r="NN52" s="150"/>
      <c r="NO52" s="150"/>
      <c r="NP52" s="150"/>
      <c r="NQ52" s="150"/>
      <c r="NR52" s="150"/>
      <c r="NS52" s="150"/>
      <c r="NT52" s="150"/>
      <c r="NU52" s="150"/>
      <c r="NV52" s="150"/>
      <c r="NW52" s="150"/>
      <c r="NX52" s="150"/>
      <c r="NY52" s="150"/>
      <c r="NZ52" s="150"/>
      <c r="OA52" s="150"/>
      <c r="OB52" s="150"/>
      <c r="OC52" s="150"/>
      <c r="OD52" s="150"/>
      <c r="OE52" s="150"/>
    </row>
    <row r="53" spans="1:395">
      <c r="A53" s="19"/>
      <c r="B53" s="17"/>
      <c r="C53" s="48">
        <v>2031</v>
      </c>
      <c r="D53" s="114">
        <v>0</v>
      </c>
      <c r="E53" s="114">
        <v>3.1794131887285757</v>
      </c>
      <c r="F53" s="114">
        <f t="shared" si="24"/>
        <v>410.66666666666669</v>
      </c>
      <c r="G53" s="114">
        <f t="shared" si="25"/>
        <v>387.33333333333331</v>
      </c>
      <c r="H53" s="114">
        <f t="shared" si="26"/>
        <v>458</v>
      </c>
      <c r="I53" s="114">
        <f t="shared" si="47"/>
        <v>916</v>
      </c>
      <c r="J53" s="150"/>
      <c r="K53" s="48">
        <v>2031</v>
      </c>
      <c r="L53" s="114">
        <v>0</v>
      </c>
      <c r="M53" s="114">
        <v>3.1794131887285757</v>
      </c>
      <c r="N53" s="114">
        <f t="shared" si="27"/>
        <v>298.33333333333331</v>
      </c>
      <c r="O53" s="114">
        <f t="shared" si="28"/>
        <v>278.16666666666669</v>
      </c>
      <c r="P53" s="114">
        <f t="shared" si="29"/>
        <v>344</v>
      </c>
      <c r="Q53" s="114">
        <f t="shared" si="30"/>
        <v>688</v>
      </c>
      <c r="R53" s="150"/>
      <c r="S53" s="48">
        <v>2031</v>
      </c>
      <c r="T53" s="114">
        <v>0</v>
      </c>
      <c r="U53" s="114">
        <v>3.1794131887285757</v>
      </c>
      <c r="V53" s="114">
        <f t="shared" si="31"/>
        <v>224.33333333333331</v>
      </c>
      <c r="W53" s="114">
        <f t="shared" si="32"/>
        <v>203.16666666666666</v>
      </c>
      <c r="X53" s="114">
        <f t="shared" si="33"/>
        <v>281</v>
      </c>
      <c r="Y53" s="114">
        <f t="shared" si="34"/>
        <v>562</v>
      </c>
      <c r="Z53" s="150"/>
      <c r="AA53" s="48">
        <v>2031</v>
      </c>
      <c r="AB53" s="114">
        <v>0</v>
      </c>
      <c r="AC53" s="114">
        <v>3.1794131887285757</v>
      </c>
      <c r="AD53" s="114">
        <f t="shared" si="35"/>
        <v>120.66666666666666</v>
      </c>
      <c r="AE53" s="114">
        <f t="shared" si="36"/>
        <v>98.333333333333329</v>
      </c>
      <c r="AF53" s="114">
        <f t="shared" si="37"/>
        <v>191</v>
      </c>
      <c r="AG53" s="114">
        <f t="shared" si="38"/>
        <v>382</v>
      </c>
      <c r="AH53" s="150"/>
      <c r="AI53" s="48">
        <v>2031</v>
      </c>
      <c r="AJ53" s="114">
        <v>0</v>
      </c>
      <c r="AK53" s="114">
        <v>3.1794131887285757</v>
      </c>
      <c r="AL53" s="114">
        <f t="shared" si="39"/>
        <v>342.33333333333331</v>
      </c>
      <c r="AM53" s="114">
        <f t="shared" si="40"/>
        <v>323.16666666666669</v>
      </c>
      <c r="AN53" s="114">
        <f t="shared" si="41"/>
        <v>381</v>
      </c>
      <c r="AO53" s="114">
        <f t="shared" si="42"/>
        <v>762</v>
      </c>
      <c r="AP53" s="150"/>
      <c r="AQ53" s="48">
        <v>2031</v>
      </c>
      <c r="AR53" s="114">
        <v>0</v>
      </c>
      <c r="AS53" s="114">
        <v>3.1794131887285757</v>
      </c>
      <c r="AT53" s="114">
        <f t="shared" si="43"/>
        <v>159</v>
      </c>
      <c r="AU53" s="114">
        <f t="shared" si="44"/>
        <v>140</v>
      </c>
      <c r="AV53" s="114">
        <f t="shared" si="45"/>
        <v>214</v>
      </c>
      <c r="AW53" s="114">
        <f t="shared" si="46"/>
        <v>428</v>
      </c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50"/>
      <c r="FN53" s="150"/>
      <c r="FO53" s="150"/>
      <c r="FP53" s="150"/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0"/>
      <c r="GB53" s="150"/>
      <c r="GC53" s="150"/>
      <c r="GD53" s="150"/>
      <c r="GE53" s="150"/>
      <c r="GF53" s="150"/>
      <c r="GG53" s="150"/>
      <c r="GH53" s="150"/>
      <c r="GI53" s="150"/>
      <c r="GJ53" s="150"/>
      <c r="GK53" s="150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150"/>
      <c r="HK53" s="150"/>
      <c r="HL53" s="150"/>
      <c r="HM53" s="150"/>
      <c r="HN53" s="150"/>
      <c r="HO53" s="150"/>
      <c r="HP53" s="150"/>
      <c r="HQ53" s="150"/>
      <c r="HR53" s="150"/>
      <c r="HS53" s="150"/>
      <c r="HT53" s="150"/>
      <c r="HU53" s="150"/>
      <c r="HV53" s="150"/>
      <c r="HW53" s="150"/>
      <c r="HX53" s="150"/>
      <c r="HY53" s="150"/>
      <c r="HZ53" s="150"/>
      <c r="IA53" s="150"/>
      <c r="IB53" s="150"/>
      <c r="IC53" s="150"/>
      <c r="ID53" s="150"/>
      <c r="IE53" s="150"/>
      <c r="IF53" s="150"/>
      <c r="IG53" s="150"/>
      <c r="IH53" s="150"/>
      <c r="II53" s="150"/>
      <c r="IJ53" s="150"/>
      <c r="IK53" s="150"/>
      <c r="IL53" s="150"/>
      <c r="IM53" s="150"/>
      <c r="IN53" s="150"/>
      <c r="IO53" s="150"/>
      <c r="IP53" s="150"/>
      <c r="IQ53" s="150"/>
      <c r="IR53" s="150"/>
      <c r="IS53" s="150"/>
      <c r="IT53" s="150"/>
      <c r="IU53" s="150"/>
      <c r="IV53" s="150"/>
      <c r="IW53" s="150"/>
      <c r="IX53" s="150"/>
      <c r="IY53" s="150"/>
      <c r="IZ53" s="150"/>
      <c r="JA53" s="150"/>
      <c r="JB53" s="150"/>
      <c r="JC53" s="150"/>
      <c r="JD53" s="150"/>
      <c r="JE53" s="150"/>
      <c r="JF53" s="150"/>
      <c r="JG53" s="150"/>
      <c r="JH53" s="150"/>
      <c r="JI53" s="150"/>
      <c r="JJ53" s="150"/>
      <c r="JK53" s="150"/>
      <c r="JL53" s="150"/>
      <c r="JM53" s="150"/>
      <c r="JN53" s="150"/>
      <c r="JO53" s="150"/>
      <c r="JP53" s="150"/>
      <c r="JQ53" s="150"/>
      <c r="JR53" s="150"/>
      <c r="JS53" s="150"/>
      <c r="JT53" s="150"/>
      <c r="JU53" s="150"/>
      <c r="JV53" s="150"/>
      <c r="JW53" s="150"/>
      <c r="JX53" s="150"/>
      <c r="JY53" s="150"/>
      <c r="JZ53" s="150"/>
      <c r="KA53" s="150"/>
      <c r="KB53" s="150"/>
      <c r="KC53" s="150"/>
      <c r="KD53" s="150"/>
      <c r="KE53" s="150"/>
      <c r="KF53" s="150"/>
      <c r="KG53" s="150"/>
      <c r="KH53" s="150"/>
      <c r="KI53" s="150"/>
      <c r="KJ53" s="150"/>
      <c r="KK53" s="150"/>
      <c r="KL53" s="150"/>
      <c r="KM53" s="150"/>
      <c r="KN53" s="150"/>
      <c r="KO53" s="150"/>
      <c r="KP53" s="150"/>
      <c r="KQ53" s="150"/>
      <c r="KR53" s="150"/>
      <c r="KS53" s="150"/>
      <c r="KT53" s="150"/>
      <c r="KU53" s="150"/>
      <c r="KV53" s="150"/>
      <c r="KW53" s="150"/>
      <c r="KX53" s="150"/>
      <c r="KY53" s="150"/>
      <c r="KZ53" s="150"/>
      <c r="LA53" s="150"/>
      <c r="LB53" s="150"/>
      <c r="LC53" s="150"/>
      <c r="LD53" s="150"/>
      <c r="LE53" s="150"/>
      <c r="LF53" s="150"/>
      <c r="LG53" s="150"/>
      <c r="LH53" s="150"/>
      <c r="LI53" s="150"/>
      <c r="LJ53" s="150"/>
      <c r="LK53" s="150"/>
      <c r="LL53" s="150"/>
      <c r="LM53" s="150"/>
      <c r="LN53" s="150"/>
      <c r="LO53" s="150"/>
      <c r="LP53" s="150"/>
      <c r="LQ53" s="150"/>
      <c r="LR53" s="150"/>
      <c r="LS53" s="150"/>
      <c r="LT53" s="150"/>
      <c r="LU53" s="150"/>
      <c r="LV53" s="150"/>
      <c r="LW53" s="150"/>
      <c r="LX53" s="150"/>
      <c r="LY53" s="150"/>
      <c r="LZ53" s="150"/>
      <c r="MA53" s="150"/>
      <c r="MB53" s="150"/>
      <c r="MC53" s="150"/>
      <c r="MD53" s="150"/>
      <c r="ME53" s="150"/>
      <c r="MF53" s="150"/>
      <c r="MG53" s="150"/>
      <c r="MH53" s="150"/>
      <c r="MI53" s="150"/>
      <c r="MJ53" s="150"/>
      <c r="MK53" s="150"/>
      <c r="ML53" s="150"/>
      <c r="MM53" s="150"/>
      <c r="MN53" s="150"/>
      <c r="MO53" s="150"/>
      <c r="MP53" s="150"/>
      <c r="MQ53" s="150"/>
      <c r="MR53" s="150"/>
      <c r="MS53" s="150"/>
      <c r="MT53" s="150"/>
      <c r="MU53" s="150"/>
      <c r="MV53" s="150"/>
      <c r="MW53" s="150"/>
      <c r="MX53" s="150"/>
      <c r="MY53" s="150"/>
      <c r="MZ53" s="150"/>
      <c r="NA53" s="150"/>
      <c r="NB53" s="150"/>
      <c r="NC53" s="150"/>
      <c r="ND53" s="150"/>
      <c r="NE53" s="150"/>
      <c r="NF53" s="150"/>
      <c r="NG53" s="150"/>
      <c r="NH53" s="150"/>
      <c r="NI53" s="150"/>
      <c r="NJ53" s="150"/>
      <c r="NK53" s="150"/>
      <c r="NL53" s="150"/>
      <c r="NM53" s="150"/>
      <c r="NN53" s="150"/>
      <c r="NO53" s="150"/>
      <c r="NP53" s="150"/>
      <c r="NQ53" s="150"/>
      <c r="NR53" s="150"/>
      <c r="NS53" s="150"/>
      <c r="NT53" s="150"/>
      <c r="NU53" s="150"/>
      <c r="NV53" s="150"/>
      <c r="NW53" s="150"/>
      <c r="NX53" s="150"/>
      <c r="NY53" s="150"/>
      <c r="NZ53" s="150"/>
      <c r="OA53" s="150"/>
      <c r="OB53" s="150"/>
      <c r="OC53" s="150"/>
      <c r="OD53" s="150"/>
      <c r="OE53" s="150"/>
    </row>
    <row r="54" spans="1:395">
      <c r="A54" s="19"/>
      <c r="B54" s="17"/>
      <c r="C54" s="48">
        <v>2032</v>
      </c>
      <c r="D54" s="114">
        <v>0</v>
      </c>
      <c r="E54" s="114">
        <v>3.0391449598140796</v>
      </c>
      <c r="F54" s="114">
        <f t="shared" si="24"/>
        <v>393.66666666666669</v>
      </c>
      <c r="G54" s="114">
        <f t="shared" si="25"/>
        <v>371.33333333333331</v>
      </c>
      <c r="H54" s="114">
        <f t="shared" si="26"/>
        <v>439</v>
      </c>
      <c r="I54" s="114">
        <f t="shared" si="47"/>
        <v>878</v>
      </c>
      <c r="J54" s="150"/>
      <c r="K54" s="48">
        <v>2032</v>
      </c>
      <c r="L54" s="114">
        <v>0</v>
      </c>
      <c r="M54" s="114">
        <v>3.0391449598140796</v>
      </c>
      <c r="N54" s="114">
        <f t="shared" si="27"/>
        <v>285.66666666666669</v>
      </c>
      <c r="O54" s="114">
        <f t="shared" si="28"/>
        <v>266.33333333333331</v>
      </c>
      <c r="P54" s="114">
        <f t="shared" si="29"/>
        <v>330</v>
      </c>
      <c r="Q54" s="114">
        <f t="shared" si="30"/>
        <v>660</v>
      </c>
      <c r="R54" s="150"/>
      <c r="S54" s="48">
        <v>2032</v>
      </c>
      <c r="T54" s="114">
        <v>0</v>
      </c>
      <c r="U54" s="114">
        <v>3.0391449598140796</v>
      </c>
      <c r="V54" s="114">
        <f t="shared" si="31"/>
        <v>215.66666666666666</v>
      </c>
      <c r="W54" s="114">
        <f t="shared" si="32"/>
        <v>195.33333333333334</v>
      </c>
      <c r="X54" s="114">
        <f t="shared" si="33"/>
        <v>269</v>
      </c>
      <c r="Y54" s="114">
        <f t="shared" si="34"/>
        <v>538</v>
      </c>
      <c r="Z54" s="150"/>
      <c r="AA54" s="48">
        <v>2032</v>
      </c>
      <c r="AB54" s="114">
        <v>0</v>
      </c>
      <c r="AC54" s="114">
        <v>3.0391449598140796</v>
      </c>
      <c r="AD54" s="114">
        <f t="shared" si="35"/>
        <v>116</v>
      </c>
      <c r="AE54" s="114">
        <f t="shared" si="36"/>
        <v>94.5</v>
      </c>
      <c r="AF54" s="114">
        <f t="shared" si="37"/>
        <v>183</v>
      </c>
      <c r="AG54" s="114">
        <f t="shared" si="38"/>
        <v>366</v>
      </c>
      <c r="AH54" s="150"/>
      <c r="AI54" s="48">
        <v>2032</v>
      </c>
      <c r="AJ54" s="114">
        <v>0</v>
      </c>
      <c r="AK54" s="114">
        <v>3.0391449598140796</v>
      </c>
      <c r="AL54" s="114">
        <f t="shared" si="39"/>
        <v>327.66666666666669</v>
      </c>
      <c r="AM54" s="114">
        <f t="shared" si="40"/>
        <v>309.33333333333331</v>
      </c>
      <c r="AN54" s="114">
        <f t="shared" si="41"/>
        <v>365</v>
      </c>
      <c r="AO54" s="114">
        <f t="shared" si="42"/>
        <v>730</v>
      </c>
      <c r="AP54" s="150"/>
      <c r="AQ54" s="48">
        <v>2032</v>
      </c>
      <c r="AR54" s="114">
        <v>0</v>
      </c>
      <c r="AS54" s="114">
        <v>3.0391449598140796</v>
      </c>
      <c r="AT54" s="114">
        <f t="shared" si="43"/>
        <v>152.33333333333331</v>
      </c>
      <c r="AU54" s="114">
        <f t="shared" si="44"/>
        <v>134.16666666666666</v>
      </c>
      <c r="AV54" s="114">
        <f t="shared" si="45"/>
        <v>205</v>
      </c>
      <c r="AW54" s="114">
        <f t="shared" si="46"/>
        <v>410</v>
      </c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50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  <c r="IF54" s="150"/>
      <c r="IG54" s="150"/>
      <c r="IH54" s="150"/>
      <c r="II54" s="150"/>
      <c r="IJ54" s="150"/>
      <c r="IK54" s="150"/>
      <c r="IL54" s="150"/>
      <c r="IM54" s="150"/>
      <c r="IN54" s="150"/>
      <c r="IO54" s="150"/>
      <c r="IP54" s="150"/>
      <c r="IQ54" s="150"/>
      <c r="IR54" s="150"/>
      <c r="IS54" s="150"/>
      <c r="IT54" s="150"/>
      <c r="IU54" s="150"/>
      <c r="IV54" s="150"/>
      <c r="IW54" s="150"/>
      <c r="IX54" s="150"/>
      <c r="IY54" s="150"/>
      <c r="IZ54" s="150"/>
      <c r="JA54" s="150"/>
      <c r="JB54" s="150"/>
      <c r="JC54" s="150"/>
      <c r="JD54" s="150"/>
      <c r="JE54" s="150"/>
      <c r="JF54" s="150"/>
      <c r="JG54" s="150"/>
      <c r="JH54" s="150"/>
      <c r="JI54" s="150"/>
      <c r="JJ54" s="150"/>
      <c r="JK54" s="150"/>
      <c r="JL54" s="150"/>
      <c r="JM54" s="150"/>
      <c r="JN54" s="150"/>
      <c r="JO54" s="150"/>
      <c r="JP54" s="150"/>
      <c r="JQ54" s="150"/>
      <c r="JR54" s="150"/>
      <c r="JS54" s="150"/>
      <c r="JT54" s="150"/>
      <c r="JU54" s="150"/>
      <c r="JV54" s="150"/>
      <c r="JW54" s="150"/>
      <c r="JX54" s="150"/>
      <c r="JY54" s="150"/>
      <c r="JZ54" s="150"/>
      <c r="KA54" s="150"/>
      <c r="KB54" s="150"/>
      <c r="KC54" s="150"/>
      <c r="KD54" s="150"/>
      <c r="KE54" s="150"/>
      <c r="KF54" s="150"/>
      <c r="KG54" s="150"/>
      <c r="KH54" s="150"/>
      <c r="KI54" s="150"/>
      <c r="KJ54" s="150"/>
      <c r="KK54" s="150"/>
      <c r="KL54" s="150"/>
      <c r="KM54" s="150"/>
      <c r="KN54" s="150"/>
      <c r="KO54" s="150"/>
      <c r="KP54" s="150"/>
      <c r="KQ54" s="150"/>
      <c r="KR54" s="150"/>
      <c r="KS54" s="150"/>
      <c r="KT54" s="150"/>
      <c r="KU54" s="150"/>
      <c r="KV54" s="150"/>
      <c r="KW54" s="150"/>
      <c r="KX54" s="150"/>
      <c r="KY54" s="150"/>
      <c r="KZ54" s="150"/>
      <c r="LA54" s="150"/>
      <c r="LB54" s="150"/>
      <c r="LC54" s="150"/>
      <c r="LD54" s="150"/>
      <c r="LE54" s="150"/>
      <c r="LF54" s="150"/>
      <c r="LG54" s="150"/>
      <c r="LH54" s="150"/>
      <c r="LI54" s="150"/>
      <c r="LJ54" s="150"/>
      <c r="LK54" s="150"/>
      <c r="LL54" s="150"/>
      <c r="LM54" s="150"/>
      <c r="LN54" s="150"/>
      <c r="LO54" s="150"/>
      <c r="LP54" s="150"/>
      <c r="LQ54" s="150"/>
      <c r="LR54" s="150"/>
      <c r="LS54" s="150"/>
      <c r="LT54" s="150"/>
      <c r="LU54" s="150"/>
      <c r="LV54" s="150"/>
      <c r="LW54" s="150"/>
      <c r="LX54" s="150"/>
      <c r="LY54" s="150"/>
      <c r="LZ54" s="150"/>
      <c r="MA54" s="150"/>
      <c r="MB54" s="150"/>
      <c r="MC54" s="150"/>
      <c r="MD54" s="150"/>
      <c r="ME54" s="150"/>
      <c r="MF54" s="150"/>
      <c r="MG54" s="150"/>
      <c r="MH54" s="150"/>
      <c r="MI54" s="150"/>
      <c r="MJ54" s="150"/>
      <c r="MK54" s="150"/>
      <c r="ML54" s="150"/>
      <c r="MM54" s="150"/>
      <c r="MN54" s="150"/>
      <c r="MO54" s="150"/>
      <c r="MP54" s="150"/>
      <c r="MQ54" s="150"/>
      <c r="MR54" s="150"/>
      <c r="MS54" s="150"/>
      <c r="MT54" s="150"/>
      <c r="MU54" s="150"/>
      <c r="MV54" s="150"/>
      <c r="MW54" s="150"/>
      <c r="MX54" s="150"/>
      <c r="MY54" s="150"/>
      <c r="MZ54" s="150"/>
      <c r="NA54" s="150"/>
      <c r="NB54" s="150"/>
      <c r="NC54" s="150"/>
      <c r="ND54" s="150"/>
      <c r="NE54" s="150"/>
      <c r="NF54" s="150"/>
      <c r="NG54" s="150"/>
      <c r="NH54" s="150"/>
      <c r="NI54" s="150"/>
      <c r="NJ54" s="150"/>
      <c r="NK54" s="150"/>
      <c r="NL54" s="150"/>
      <c r="NM54" s="150"/>
      <c r="NN54" s="150"/>
      <c r="NO54" s="150"/>
      <c r="NP54" s="150"/>
      <c r="NQ54" s="150"/>
      <c r="NR54" s="150"/>
      <c r="NS54" s="150"/>
      <c r="NT54" s="150"/>
      <c r="NU54" s="150"/>
      <c r="NV54" s="150"/>
      <c r="NW54" s="150"/>
      <c r="NX54" s="150"/>
      <c r="NY54" s="150"/>
      <c r="NZ54" s="150"/>
      <c r="OA54" s="150"/>
      <c r="OB54" s="150"/>
      <c r="OC54" s="150"/>
      <c r="OD54" s="150"/>
      <c r="OE54" s="150"/>
    </row>
    <row r="55" spans="1:395">
      <c r="A55" s="19"/>
      <c r="B55" s="17"/>
      <c r="C55" s="48">
        <v>2033</v>
      </c>
      <c r="D55" s="114">
        <v>0</v>
      </c>
      <c r="E55" s="114">
        <v>2.898876730899584</v>
      </c>
      <c r="F55" s="114">
        <f t="shared" si="24"/>
        <v>376.66666666666669</v>
      </c>
      <c r="G55" s="114">
        <f t="shared" si="25"/>
        <v>355.33333333333331</v>
      </c>
      <c r="H55" s="114">
        <f t="shared" si="26"/>
        <v>420</v>
      </c>
      <c r="I55" s="114">
        <f t="shared" si="47"/>
        <v>840</v>
      </c>
      <c r="J55" s="150"/>
      <c r="K55" s="48">
        <v>2033</v>
      </c>
      <c r="L55" s="114">
        <v>0</v>
      </c>
      <c r="M55" s="114">
        <v>2.898876730899584</v>
      </c>
      <c r="N55" s="114">
        <f t="shared" si="27"/>
        <v>273</v>
      </c>
      <c r="O55" s="114">
        <f t="shared" si="28"/>
        <v>254.5</v>
      </c>
      <c r="P55" s="114">
        <f t="shared" si="29"/>
        <v>316</v>
      </c>
      <c r="Q55" s="114">
        <f t="shared" si="30"/>
        <v>632</v>
      </c>
      <c r="R55" s="150"/>
      <c r="S55" s="48">
        <v>2033</v>
      </c>
      <c r="T55" s="114">
        <v>0</v>
      </c>
      <c r="U55" s="114">
        <v>2.898876730899584</v>
      </c>
      <c r="V55" s="114">
        <f t="shared" si="31"/>
        <v>205.66666666666666</v>
      </c>
      <c r="W55" s="114">
        <f t="shared" si="32"/>
        <v>186.33333333333334</v>
      </c>
      <c r="X55" s="114">
        <f t="shared" si="33"/>
        <v>258</v>
      </c>
      <c r="Y55" s="114">
        <f t="shared" si="34"/>
        <v>516</v>
      </c>
      <c r="Z55" s="150"/>
      <c r="AA55" s="48">
        <v>2033</v>
      </c>
      <c r="AB55" s="114">
        <v>0</v>
      </c>
      <c r="AC55" s="114">
        <v>2.898876730899584</v>
      </c>
      <c r="AD55" s="114">
        <f t="shared" si="35"/>
        <v>111</v>
      </c>
      <c r="AE55" s="114">
        <f t="shared" si="36"/>
        <v>90.5</v>
      </c>
      <c r="AF55" s="114">
        <f t="shared" si="37"/>
        <v>175</v>
      </c>
      <c r="AG55" s="114">
        <f t="shared" si="38"/>
        <v>350</v>
      </c>
      <c r="AH55" s="150"/>
      <c r="AI55" s="48">
        <v>2033</v>
      </c>
      <c r="AJ55" s="114">
        <v>0</v>
      </c>
      <c r="AK55" s="114">
        <v>2.898876730899584</v>
      </c>
      <c r="AL55" s="114">
        <f t="shared" si="39"/>
        <v>313.33333333333331</v>
      </c>
      <c r="AM55" s="114">
        <f t="shared" si="40"/>
        <v>295.66666666666669</v>
      </c>
      <c r="AN55" s="114">
        <f t="shared" si="41"/>
        <v>349</v>
      </c>
      <c r="AO55" s="114">
        <f t="shared" si="42"/>
        <v>698</v>
      </c>
      <c r="AP55" s="150"/>
      <c r="AQ55" s="48">
        <v>2033</v>
      </c>
      <c r="AR55" s="114">
        <v>0</v>
      </c>
      <c r="AS55" s="114">
        <v>2.898876730899584</v>
      </c>
      <c r="AT55" s="114">
        <f t="shared" si="43"/>
        <v>145.66666666666666</v>
      </c>
      <c r="AU55" s="114">
        <f t="shared" si="44"/>
        <v>128.33333333333334</v>
      </c>
      <c r="AV55" s="114">
        <f t="shared" si="45"/>
        <v>196</v>
      </c>
      <c r="AW55" s="114">
        <f t="shared" si="46"/>
        <v>392</v>
      </c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  <c r="DT55" s="150"/>
      <c r="DU55" s="150"/>
      <c r="DV55" s="150"/>
      <c r="DW55" s="150"/>
      <c r="DX55" s="150"/>
      <c r="DY55" s="150"/>
      <c r="DZ55" s="150"/>
      <c r="EA55" s="150"/>
      <c r="EB55" s="150"/>
      <c r="EC55" s="150"/>
      <c r="ED55" s="150"/>
      <c r="EE55" s="150"/>
      <c r="EF55" s="150"/>
      <c r="EG55" s="150"/>
      <c r="EH55" s="150"/>
      <c r="EI55" s="150"/>
      <c r="EJ55" s="150"/>
      <c r="EK55" s="150"/>
      <c r="EL55" s="150"/>
      <c r="EM55" s="150"/>
      <c r="EN55" s="150"/>
      <c r="EO55" s="150"/>
      <c r="EP55" s="150"/>
      <c r="EQ55" s="150"/>
      <c r="ER55" s="150"/>
      <c r="ES55" s="150"/>
      <c r="ET55" s="150"/>
      <c r="EU55" s="150"/>
      <c r="EV55" s="150"/>
      <c r="EW55" s="150"/>
      <c r="EX55" s="150"/>
      <c r="EY55" s="150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50"/>
      <c r="FU55" s="150"/>
      <c r="FV55" s="150"/>
      <c r="FW55" s="150"/>
      <c r="FX55" s="150"/>
      <c r="FY55" s="150"/>
      <c r="FZ55" s="150"/>
      <c r="GA55" s="150"/>
      <c r="GB55" s="150"/>
      <c r="GC55" s="150"/>
      <c r="GD55" s="150"/>
      <c r="GE55" s="150"/>
      <c r="GF55" s="150"/>
      <c r="GG55" s="150"/>
      <c r="GH55" s="150"/>
      <c r="GI55" s="150"/>
      <c r="GJ55" s="150"/>
      <c r="GK55" s="150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  <c r="GV55" s="150"/>
      <c r="GW55" s="150"/>
      <c r="GX55" s="150"/>
      <c r="GY55" s="150"/>
      <c r="GZ55" s="150"/>
      <c r="HA55" s="150"/>
      <c r="HB55" s="150"/>
      <c r="HC55" s="150"/>
      <c r="HD55" s="150"/>
      <c r="HE55" s="150"/>
      <c r="HF55" s="150"/>
      <c r="HG55" s="150"/>
      <c r="HH55" s="150"/>
      <c r="HI55" s="150"/>
      <c r="HJ55" s="150"/>
      <c r="HK55" s="150"/>
      <c r="HL55" s="150"/>
      <c r="HM55" s="150"/>
      <c r="HN55" s="150"/>
      <c r="HO55" s="150"/>
      <c r="HP55" s="150"/>
      <c r="HQ55" s="150"/>
      <c r="HR55" s="150"/>
      <c r="HS55" s="150"/>
      <c r="HT55" s="150"/>
      <c r="HU55" s="150"/>
      <c r="HV55" s="150"/>
      <c r="HW55" s="150"/>
      <c r="HX55" s="150"/>
      <c r="HY55" s="150"/>
      <c r="HZ55" s="150"/>
      <c r="IA55" s="150"/>
      <c r="IB55" s="150"/>
      <c r="IC55" s="150"/>
      <c r="ID55" s="150"/>
      <c r="IE55" s="150"/>
      <c r="IF55" s="150"/>
      <c r="IG55" s="150"/>
      <c r="IH55" s="150"/>
      <c r="II55" s="150"/>
      <c r="IJ55" s="150"/>
      <c r="IK55" s="150"/>
      <c r="IL55" s="150"/>
      <c r="IM55" s="150"/>
      <c r="IN55" s="150"/>
      <c r="IO55" s="150"/>
      <c r="IP55" s="150"/>
      <c r="IQ55" s="150"/>
      <c r="IR55" s="150"/>
      <c r="IS55" s="150"/>
      <c r="IT55" s="150"/>
      <c r="IU55" s="150"/>
      <c r="IV55" s="150"/>
      <c r="IW55" s="150"/>
      <c r="IX55" s="150"/>
      <c r="IY55" s="150"/>
      <c r="IZ55" s="150"/>
      <c r="JA55" s="150"/>
      <c r="JB55" s="150"/>
      <c r="JC55" s="150"/>
      <c r="JD55" s="150"/>
      <c r="JE55" s="150"/>
      <c r="JF55" s="150"/>
      <c r="JG55" s="150"/>
      <c r="JH55" s="150"/>
      <c r="JI55" s="150"/>
      <c r="JJ55" s="150"/>
      <c r="JK55" s="150"/>
      <c r="JL55" s="150"/>
      <c r="JM55" s="150"/>
      <c r="JN55" s="150"/>
      <c r="JO55" s="150"/>
      <c r="JP55" s="150"/>
      <c r="JQ55" s="150"/>
      <c r="JR55" s="150"/>
      <c r="JS55" s="150"/>
      <c r="JT55" s="150"/>
      <c r="JU55" s="150"/>
      <c r="JV55" s="150"/>
      <c r="JW55" s="150"/>
      <c r="JX55" s="150"/>
      <c r="JY55" s="150"/>
      <c r="JZ55" s="150"/>
      <c r="KA55" s="150"/>
      <c r="KB55" s="150"/>
      <c r="KC55" s="150"/>
      <c r="KD55" s="150"/>
      <c r="KE55" s="150"/>
      <c r="KF55" s="150"/>
      <c r="KG55" s="150"/>
      <c r="KH55" s="150"/>
      <c r="KI55" s="150"/>
      <c r="KJ55" s="150"/>
      <c r="KK55" s="150"/>
      <c r="KL55" s="150"/>
      <c r="KM55" s="150"/>
      <c r="KN55" s="150"/>
      <c r="KO55" s="150"/>
      <c r="KP55" s="150"/>
      <c r="KQ55" s="150"/>
      <c r="KR55" s="150"/>
      <c r="KS55" s="150"/>
      <c r="KT55" s="150"/>
      <c r="KU55" s="150"/>
      <c r="KV55" s="150"/>
      <c r="KW55" s="150"/>
      <c r="KX55" s="150"/>
      <c r="KY55" s="150"/>
      <c r="KZ55" s="150"/>
      <c r="LA55" s="150"/>
      <c r="LB55" s="150"/>
      <c r="LC55" s="150"/>
      <c r="LD55" s="150"/>
      <c r="LE55" s="150"/>
      <c r="LF55" s="150"/>
      <c r="LG55" s="150"/>
      <c r="LH55" s="150"/>
      <c r="LI55" s="150"/>
      <c r="LJ55" s="150"/>
      <c r="LK55" s="150"/>
      <c r="LL55" s="150"/>
      <c r="LM55" s="150"/>
      <c r="LN55" s="150"/>
      <c r="LO55" s="150"/>
      <c r="LP55" s="150"/>
      <c r="LQ55" s="150"/>
      <c r="LR55" s="150"/>
      <c r="LS55" s="150"/>
      <c r="LT55" s="150"/>
      <c r="LU55" s="150"/>
      <c r="LV55" s="150"/>
      <c r="LW55" s="150"/>
      <c r="LX55" s="150"/>
      <c r="LY55" s="150"/>
      <c r="LZ55" s="150"/>
      <c r="MA55" s="150"/>
      <c r="MB55" s="150"/>
      <c r="MC55" s="150"/>
      <c r="MD55" s="150"/>
      <c r="ME55" s="150"/>
      <c r="MF55" s="150"/>
      <c r="MG55" s="150"/>
      <c r="MH55" s="150"/>
      <c r="MI55" s="150"/>
      <c r="MJ55" s="150"/>
      <c r="MK55" s="150"/>
      <c r="ML55" s="150"/>
      <c r="MM55" s="150"/>
      <c r="MN55" s="150"/>
      <c r="MO55" s="150"/>
      <c r="MP55" s="150"/>
      <c r="MQ55" s="150"/>
      <c r="MR55" s="150"/>
      <c r="MS55" s="150"/>
      <c r="MT55" s="150"/>
      <c r="MU55" s="150"/>
      <c r="MV55" s="150"/>
      <c r="MW55" s="150"/>
      <c r="MX55" s="150"/>
      <c r="MY55" s="150"/>
      <c r="MZ55" s="150"/>
      <c r="NA55" s="150"/>
      <c r="NB55" s="150"/>
      <c r="NC55" s="150"/>
      <c r="ND55" s="150"/>
      <c r="NE55" s="150"/>
      <c r="NF55" s="150"/>
      <c r="NG55" s="150"/>
      <c r="NH55" s="150"/>
      <c r="NI55" s="150"/>
      <c r="NJ55" s="150"/>
      <c r="NK55" s="150"/>
      <c r="NL55" s="150"/>
      <c r="NM55" s="150"/>
      <c r="NN55" s="150"/>
      <c r="NO55" s="150"/>
      <c r="NP55" s="150"/>
      <c r="NQ55" s="150"/>
      <c r="NR55" s="150"/>
      <c r="NS55" s="150"/>
      <c r="NT55" s="150"/>
      <c r="NU55" s="150"/>
      <c r="NV55" s="150"/>
      <c r="NW55" s="150"/>
      <c r="NX55" s="150"/>
      <c r="NY55" s="150"/>
      <c r="NZ55" s="150"/>
      <c r="OA55" s="150"/>
      <c r="OB55" s="150"/>
      <c r="OC55" s="150"/>
      <c r="OD55" s="150"/>
      <c r="OE55" s="150"/>
    </row>
    <row r="56" spans="1:395">
      <c r="A56" s="19"/>
      <c r="B56" s="17"/>
      <c r="C56" s="48">
        <v>2034</v>
      </c>
      <c r="D56" s="114">
        <v>0</v>
      </c>
      <c r="E56" s="114">
        <v>2.7586085019850879</v>
      </c>
      <c r="F56" s="114">
        <f t="shared" si="24"/>
        <v>359.66666666666669</v>
      </c>
      <c r="G56" s="114">
        <f t="shared" si="25"/>
        <v>339.33333333333331</v>
      </c>
      <c r="H56" s="114">
        <f t="shared" si="26"/>
        <v>401</v>
      </c>
      <c r="I56" s="114">
        <f t="shared" si="47"/>
        <v>802</v>
      </c>
      <c r="J56" s="150"/>
      <c r="K56" s="48">
        <v>2034</v>
      </c>
      <c r="L56" s="114">
        <v>0</v>
      </c>
      <c r="M56" s="114">
        <v>2.7586085019850879</v>
      </c>
      <c r="N56" s="114">
        <f t="shared" si="27"/>
        <v>261.33333333333331</v>
      </c>
      <c r="O56" s="114">
        <f t="shared" si="28"/>
        <v>243.66666666666666</v>
      </c>
      <c r="P56" s="114">
        <f t="shared" si="29"/>
        <v>301</v>
      </c>
      <c r="Q56" s="114">
        <f t="shared" si="30"/>
        <v>602</v>
      </c>
      <c r="R56" s="150"/>
      <c r="S56" s="48">
        <v>2034</v>
      </c>
      <c r="T56" s="114">
        <v>0</v>
      </c>
      <c r="U56" s="114">
        <v>2.7586085019850879</v>
      </c>
      <c r="V56" s="114">
        <f t="shared" si="31"/>
        <v>196</v>
      </c>
      <c r="W56" s="114">
        <f t="shared" si="32"/>
        <v>177.5</v>
      </c>
      <c r="X56" s="114">
        <f t="shared" si="33"/>
        <v>246</v>
      </c>
      <c r="Y56" s="114">
        <f t="shared" si="34"/>
        <v>492</v>
      </c>
      <c r="Z56" s="150"/>
      <c r="AA56" s="48">
        <v>2034</v>
      </c>
      <c r="AB56" s="114">
        <v>0</v>
      </c>
      <c r="AC56" s="114">
        <v>2.7586085019850879</v>
      </c>
      <c r="AD56" s="114">
        <f t="shared" si="35"/>
        <v>105.33333333333333</v>
      </c>
      <c r="AE56" s="114">
        <f t="shared" si="36"/>
        <v>85.666666666666657</v>
      </c>
      <c r="AF56" s="114">
        <f t="shared" si="37"/>
        <v>167</v>
      </c>
      <c r="AG56" s="114">
        <f t="shared" si="38"/>
        <v>334</v>
      </c>
      <c r="AH56" s="150"/>
      <c r="AI56" s="48">
        <v>2034</v>
      </c>
      <c r="AJ56" s="114">
        <v>0</v>
      </c>
      <c r="AK56" s="114">
        <v>2.7586085019850879</v>
      </c>
      <c r="AL56" s="114">
        <f t="shared" si="39"/>
        <v>299.66666666666669</v>
      </c>
      <c r="AM56" s="114">
        <f t="shared" si="40"/>
        <v>282.83333333333331</v>
      </c>
      <c r="AN56" s="114">
        <f t="shared" si="41"/>
        <v>333</v>
      </c>
      <c r="AO56" s="114">
        <f t="shared" si="42"/>
        <v>666</v>
      </c>
      <c r="AP56" s="150"/>
      <c r="AQ56" s="48">
        <v>2034</v>
      </c>
      <c r="AR56" s="114">
        <v>0</v>
      </c>
      <c r="AS56" s="114">
        <v>2.7586085019850879</v>
      </c>
      <c r="AT56" s="114">
        <f t="shared" si="43"/>
        <v>139.33333333333331</v>
      </c>
      <c r="AU56" s="114">
        <f t="shared" si="44"/>
        <v>122.66666666666666</v>
      </c>
      <c r="AV56" s="114">
        <f t="shared" si="45"/>
        <v>187</v>
      </c>
      <c r="AW56" s="114">
        <f t="shared" si="46"/>
        <v>374</v>
      </c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50"/>
      <c r="DQ56" s="150"/>
      <c r="DR56" s="150"/>
      <c r="DS56" s="150"/>
      <c r="DT56" s="150"/>
      <c r="DU56" s="150"/>
      <c r="DV56" s="150"/>
      <c r="DW56" s="150"/>
      <c r="DX56" s="150"/>
      <c r="DY56" s="150"/>
      <c r="DZ56" s="150"/>
      <c r="EA56" s="150"/>
      <c r="EB56" s="150"/>
      <c r="EC56" s="150"/>
      <c r="ED56" s="150"/>
      <c r="EE56" s="150"/>
      <c r="EF56" s="150"/>
      <c r="EG56" s="150"/>
      <c r="EH56" s="150"/>
      <c r="EI56" s="150"/>
      <c r="EJ56" s="150"/>
      <c r="EK56" s="150"/>
      <c r="EL56" s="150"/>
      <c r="EM56" s="150"/>
      <c r="EN56" s="150"/>
      <c r="EO56" s="150"/>
      <c r="EP56" s="150"/>
      <c r="EQ56" s="150"/>
      <c r="ER56" s="150"/>
      <c r="ES56" s="150"/>
      <c r="ET56" s="150"/>
      <c r="EU56" s="150"/>
      <c r="EV56" s="150"/>
      <c r="EW56" s="150"/>
      <c r="EX56" s="150"/>
      <c r="EY56" s="150"/>
      <c r="EZ56" s="150"/>
      <c r="FA56" s="150"/>
      <c r="FB56" s="150"/>
      <c r="FC56" s="150"/>
      <c r="FD56" s="150"/>
      <c r="FE56" s="150"/>
      <c r="FF56" s="150"/>
      <c r="FG56" s="150"/>
      <c r="FH56" s="150"/>
      <c r="FI56" s="150"/>
      <c r="FJ56" s="150"/>
      <c r="FK56" s="150"/>
      <c r="FL56" s="150"/>
      <c r="FM56" s="150"/>
      <c r="FN56" s="150"/>
      <c r="FO56" s="150"/>
      <c r="FP56" s="150"/>
      <c r="FQ56" s="150"/>
      <c r="FR56" s="150"/>
      <c r="FS56" s="150"/>
      <c r="FT56" s="150"/>
      <c r="FU56" s="150"/>
      <c r="FV56" s="150"/>
      <c r="FW56" s="150"/>
      <c r="FX56" s="150"/>
      <c r="FY56" s="150"/>
      <c r="FZ56" s="150"/>
      <c r="GA56" s="150"/>
      <c r="GB56" s="150"/>
      <c r="GC56" s="150"/>
      <c r="GD56" s="150"/>
      <c r="GE56" s="150"/>
      <c r="GF56" s="150"/>
      <c r="GG56" s="150"/>
      <c r="GH56" s="150"/>
      <c r="GI56" s="150"/>
      <c r="GJ56" s="150"/>
      <c r="GK56" s="150"/>
      <c r="GL56" s="150"/>
      <c r="GM56" s="150"/>
      <c r="GN56" s="150"/>
      <c r="GO56" s="150"/>
      <c r="GP56" s="150"/>
      <c r="GQ56" s="150"/>
      <c r="GR56" s="150"/>
      <c r="GS56" s="150"/>
      <c r="GT56" s="150"/>
      <c r="GU56" s="150"/>
      <c r="GV56" s="150"/>
      <c r="GW56" s="150"/>
      <c r="GX56" s="150"/>
      <c r="GY56" s="150"/>
      <c r="GZ56" s="150"/>
      <c r="HA56" s="150"/>
      <c r="HB56" s="150"/>
      <c r="HC56" s="150"/>
      <c r="HD56" s="150"/>
      <c r="HE56" s="150"/>
      <c r="HF56" s="150"/>
      <c r="HG56" s="150"/>
      <c r="HH56" s="150"/>
      <c r="HI56" s="150"/>
      <c r="HJ56" s="150"/>
      <c r="HK56" s="150"/>
      <c r="HL56" s="150"/>
      <c r="HM56" s="150"/>
      <c r="HN56" s="150"/>
      <c r="HO56" s="150"/>
      <c r="HP56" s="150"/>
      <c r="HQ56" s="150"/>
      <c r="HR56" s="150"/>
      <c r="HS56" s="150"/>
      <c r="HT56" s="150"/>
      <c r="HU56" s="150"/>
      <c r="HV56" s="150"/>
      <c r="HW56" s="150"/>
      <c r="HX56" s="150"/>
      <c r="HY56" s="150"/>
      <c r="HZ56" s="150"/>
      <c r="IA56" s="150"/>
      <c r="IB56" s="150"/>
      <c r="IC56" s="150"/>
      <c r="ID56" s="150"/>
      <c r="IE56" s="150"/>
      <c r="IF56" s="150"/>
      <c r="IG56" s="150"/>
      <c r="IH56" s="150"/>
      <c r="II56" s="150"/>
      <c r="IJ56" s="150"/>
      <c r="IK56" s="150"/>
      <c r="IL56" s="150"/>
      <c r="IM56" s="150"/>
      <c r="IN56" s="150"/>
      <c r="IO56" s="150"/>
      <c r="IP56" s="150"/>
      <c r="IQ56" s="150"/>
      <c r="IR56" s="150"/>
      <c r="IS56" s="150"/>
      <c r="IT56" s="150"/>
      <c r="IU56" s="150"/>
      <c r="IV56" s="150"/>
      <c r="IW56" s="150"/>
      <c r="IX56" s="150"/>
      <c r="IY56" s="150"/>
      <c r="IZ56" s="150"/>
      <c r="JA56" s="150"/>
      <c r="JB56" s="150"/>
      <c r="JC56" s="150"/>
      <c r="JD56" s="150"/>
      <c r="JE56" s="150"/>
      <c r="JF56" s="150"/>
      <c r="JG56" s="150"/>
      <c r="JH56" s="150"/>
      <c r="JI56" s="150"/>
      <c r="JJ56" s="150"/>
      <c r="JK56" s="150"/>
      <c r="JL56" s="150"/>
      <c r="JM56" s="150"/>
      <c r="JN56" s="150"/>
      <c r="JO56" s="150"/>
      <c r="JP56" s="150"/>
      <c r="JQ56" s="150"/>
      <c r="JR56" s="150"/>
      <c r="JS56" s="150"/>
      <c r="JT56" s="150"/>
      <c r="JU56" s="150"/>
      <c r="JV56" s="150"/>
      <c r="JW56" s="150"/>
      <c r="JX56" s="150"/>
      <c r="JY56" s="150"/>
      <c r="JZ56" s="150"/>
      <c r="KA56" s="150"/>
      <c r="KB56" s="150"/>
      <c r="KC56" s="150"/>
      <c r="KD56" s="150"/>
      <c r="KE56" s="150"/>
      <c r="KF56" s="150"/>
      <c r="KG56" s="150"/>
      <c r="KH56" s="150"/>
      <c r="KI56" s="150"/>
      <c r="KJ56" s="150"/>
      <c r="KK56" s="150"/>
      <c r="KL56" s="150"/>
      <c r="KM56" s="150"/>
      <c r="KN56" s="150"/>
      <c r="KO56" s="150"/>
      <c r="KP56" s="150"/>
      <c r="KQ56" s="150"/>
      <c r="KR56" s="150"/>
      <c r="KS56" s="150"/>
      <c r="KT56" s="150"/>
      <c r="KU56" s="150"/>
      <c r="KV56" s="150"/>
      <c r="KW56" s="150"/>
      <c r="KX56" s="150"/>
      <c r="KY56" s="150"/>
      <c r="KZ56" s="150"/>
      <c r="LA56" s="150"/>
      <c r="LB56" s="150"/>
      <c r="LC56" s="150"/>
      <c r="LD56" s="150"/>
      <c r="LE56" s="150"/>
      <c r="LF56" s="150"/>
      <c r="LG56" s="150"/>
      <c r="LH56" s="150"/>
      <c r="LI56" s="150"/>
      <c r="LJ56" s="150"/>
      <c r="LK56" s="150"/>
      <c r="LL56" s="150"/>
      <c r="LM56" s="150"/>
      <c r="LN56" s="150"/>
      <c r="LO56" s="150"/>
      <c r="LP56" s="150"/>
      <c r="LQ56" s="150"/>
      <c r="LR56" s="150"/>
      <c r="LS56" s="150"/>
      <c r="LT56" s="150"/>
      <c r="LU56" s="150"/>
      <c r="LV56" s="150"/>
      <c r="LW56" s="150"/>
      <c r="LX56" s="150"/>
      <c r="LY56" s="150"/>
      <c r="LZ56" s="150"/>
      <c r="MA56" s="150"/>
      <c r="MB56" s="150"/>
      <c r="MC56" s="150"/>
      <c r="MD56" s="150"/>
      <c r="ME56" s="150"/>
      <c r="MF56" s="150"/>
      <c r="MG56" s="150"/>
      <c r="MH56" s="150"/>
      <c r="MI56" s="150"/>
      <c r="MJ56" s="150"/>
      <c r="MK56" s="150"/>
      <c r="ML56" s="150"/>
      <c r="MM56" s="150"/>
      <c r="MN56" s="150"/>
      <c r="MO56" s="150"/>
      <c r="MP56" s="150"/>
      <c r="MQ56" s="150"/>
      <c r="MR56" s="150"/>
      <c r="MS56" s="150"/>
      <c r="MT56" s="150"/>
      <c r="MU56" s="150"/>
      <c r="MV56" s="150"/>
      <c r="MW56" s="150"/>
      <c r="MX56" s="150"/>
      <c r="MY56" s="150"/>
      <c r="MZ56" s="150"/>
      <c r="NA56" s="150"/>
      <c r="NB56" s="150"/>
      <c r="NC56" s="150"/>
      <c r="ND56" s="150"/>
      <c r="NE56" s="150"/>
      <c r="NF56" s="150"/>
      <c r="NG56" s="150"/>
      <c r="NH56" s="150"/>
      <c r="NI56" s="150"/>
      <c r="NJ56" s="150"/>
      <c r="NK56" s="150"/>
      <c r="NL56" s="150"/>
      <c r="NM56" s="150"/>
      <c r="NN56" s="150"/>
      <c r="NO56" s="150"/>
      <c r="NP56" s="150"/>
      <c r="NQ56" s="150"/>
      <c r="NR56" s="150"/>
      <c r="NS56" s="150"/>
      <c r="NT56" s="150"/>
      <c r="NU56" s="150"/>
      <c r="NV56" s="150"/>
      <c r="NW56" s="150"/>
      <c r="NX56" s="150"/>
      <c r="NY56" s="150"/>
      <c r="NZ56" s="150"/>
      <c r="OA56" s="150"/>
      <c r="OB56" s="150"/>
      <c r="OC56" s="150"/>
      <c r="OD56" s="150"/>
      <c r="OE56" s="150"/>
    </row>
    <row r="57" spans="1:395">
      <c r="A57" s="19"/>
      <c r="B57" s="17"/>
      <c r="C57" s="48">
        <v>2035</v>
      </c>
      <c r="D57" s="114">
        <v>0</v>
      </c>
      <c r="E57" s="114">
        <v>2.6183402730705918</v>
      </c>
      <c r="F57" s="114">
        <f t="shared" si="24"/>
        <v>343</v>
      </c>
      <c r="G57" s="114">
        <f t="shared" si="25"/>
        <v>323.5</v>
      </c>
      <c r="H57" s="114">
        <f t="shared" si="26"/>
        <v>382</v>
      </c>
      <c r="I57" s="114">
        <f t="shared" si="47"/>
        <v>764</v>
      </c>
      <c r="J57" s="150"/>
      <c r="K57" s="48">
        <v>2035</v>
      </c>
      <c r="L57" s="114">
        <v>0</v>
      </c>
      <c r="M57" s="114">
        <v>2.6183402730705918</v>
      </c>
      <c r="N57" s="114">
        <f t="shared" si="27"/>
        <v>248.66666666666666</v>
      </c>
      <c r="O57" s="114">
        <f t="shared" si="28"/>
        <v>231.83333333333334</v>
      </c>
      <c r="P57" s="114">
        <f t="shared" si="29"/>
        <v>287</v>
      </c>
      <c r="Q57" s="114">
        <f t="shared" si="30"/>
        <v>574</v>
      </c>
      <c r="R57" s="150"/>
      <c r="S57" s="48">
        <v>2035</v>
      </c>
      <c r="T57" s="114">
        <v>0</v>
      </c>
      <c r="U57" s="114">
        <v>2.6183402730705918</v>
      </c>
      <c r="V57" s="114">
        <f t="shared" si="31"/>
        <v>187.33333333333331</v>
      </c>
      <c r="W57" s="114">
        <f t="shared" si="32"/>
        <v>169.66666666666666</v>
      </c>
      <c r="X57" s="114">
        <f t="shared" si="33"/>
        <v>234</v>
      </c>
      <c r="Y57" s="114">
        <f t="shared" si="34"/>
        <v>468</v>
      </c>
      <c r="Z57" s="150"/>
      <c r="AA57" s="48">
        <v>2035</v>
      </c>
      <c r="AB57" s="114">
        <v>0</v>
      </c>
      <c r="AC57" s="114">
        <v>2.6183402730705918</v>
      </c>
      <c r="AD57" s="114">
        <f t="shared" si="35"/>
        <v>100.33333333333333</v>
      </c>
      <c r="AE57" s="114">
        <f t="shared" si="36"/>
        <v>81.666666666666657</v>
      </c>
      <c r="AF57" s="114">
        <f t="shared" si="37"/>
        <v>159</v>
      </c>
      <c r="AG57" s="114">
        <f t="shared" si="38"/>
        <v>318</v>
      </c>
      <c r="AH57" s="150"/>
      <c r="AI57" s="48">
        <v>2035</v>
      </c>
      <c r="AJ57" s="114">
        <v>0</v>
      </c>
      <c r="AK57" s="114">
        <v>2.6183402730705918</v>
      </c>
      <c r="AL57" s="114">
        <f t="shared" si="39"/>
        <v>285</v>
      </c>
      <c r="AM57" s="114">
        <f t="shared" si="40"/>
        <v>269</v>
      </c>
      <c r="AN57" s="114">
        <f t="shared" si="41"/>
        <v>317</v>
      </c>
      <c r="AO57" s="114">
        <f t="shared" si="42"/>
        <v>634</v>
      </c>
      <c r="AP57" s="150"/>
      <c r="AQ57" s="48">
        <v>2035</v>
      </c>
      <c r="AR57" s="114">
        <v>0</v>
      </c>
      <c r="AS57" s="114">
        <v>2.6183402730705918</v>
      </c>
      <c r="AT57" s="114">
        <f t="shared" si="43"/>
        <v>132.66666666666666</v>
      </c>
      <c r="AU57" s="114">
        <f t="shared" si="44"/>
        <v>116.83333333333333</v>
      </c>
      <c r="AV57" s="114">
        <f t="shared" si="45"/>
        <v>178</v>
      </c>
      <c r="AW57" s="114">
        <f t="shared" si="46"/>
        <v>356</v>
      </c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  <c r="EC57" s="150"/>
      <c r="ED57" s="150"/>
      <c r="EE57" s="150"/>
      <c r="EF57" s="150"/>
      <c r="EG57" s="150"/>
      <c r="EH57" s="150"/>
      <c r="EI57" s="150"/>
      <c r="EJ57" s="150"/>
      <c r="EK57" s="150"/>
      <c r="EL57" s="150"/>
      <c r="EM57" s="150"/>
      <c r="EN57" s="150"/>
      <c r="EO57" s="150"/>
      <c r="EP57" s="150"/>
      <c r="EQ57" s="150"/>
      <c r="ER57" s="150"/>
      <c r="ES57" s="150"/>
      <c r="ET57" s="150"/>
      <c r="EU57" s="150"/>
      <c r="EV57" s="150"/>
      <c r="EW57" s="150"/>
      <c r="EX57" s="150"/>
      <c r="EY57" s="150"/>
      <c r="EZ57" s="150"/>
      <c r="FA57" s="150"/>
      <c r="FB57" s="150"/>
      <c r="FC57" s="150"/>
      <c r="FD57" s="150"/>
      <c r="FE57" s="150"/>
      <c r="FF57" s="150"/>
      <c r="FG57" s="150"/>
      <c r="FH57" s="150"/>
      <c r="FI57" s="150"/>
      <c r="FJ57" s="150"/>
      <c r="FK57" s="150"/>
      <c r="FL57" s="150"/>
      <c r="FM57" s="150"/>
      <c r="FN57" s="150"/>
      <c r="FO57" s="150"/>
      <c r="FP57" s="150"/>
      <c r="FQ57" s="150"/>
      <c r="FR57" s="150"/>
      <c r="FS57" s="150"/>
      <c r="FT57" s="150"/>
      <c r="FU57" s="150"/>
      <c r="FV57" s="150"/>
      <c r="FW57" s="150"/>
      <c r="FX57" s="150"/>
      <c r="FY57" s="150"/>
      <c r="FZ57" s="150"/>
      <c r="GA57" s="150"/>
      <c r="GB57" s="150"/>
      <c r="GC57" s="150"/>
      <c r="GD57" s="150"/>
      <c r="GE57" s="150"/>
      <c r="GF57" s="150"/>
      <c r="GG57" s="150"/>
      <c r="GH57" s="150"/>
      <c r="GI57" s="150"/>
      <c r="GJ57" s="150"/>
      <c r="GK57" s="150"/>
      <c r="GL57" s="150"/>
      <c r="GM57" s="150"/>
      <c r="GN57" s="150"/>
      <c r="GO57" s="150"/>
      <c r="GP57" s="150"/>
      <c r="GQ57" s="150"/>
      <c r="GR57" s="150"/>
      <c r="GS57" s="150"/>
      <c r="GT57" s="150"/>
      <c r="GU57" s="150"/>
      <c r="GV57" s="150"/>
      <c r="GW57" s="150"/>
      <c r="GX57" s="150"/>
      <c r="GY57" s="150"/>
      <c r="GZ57" s="150"/>
      <c r="HA57" s="150"/>
      <c r="HB57" s="150"/>
      <c r="HC57" s="150"/>
      <c r="HD57" s="150"/>
      <c r="HE57" s="150"/>
      <c r="HF57" s="150"/>
      <c r="HG57" s="150"/>
      <c r="HH57" s="150"/>
      <c r="HI57" s="150"/>
      <c r="HJ57" s="150"/>
      <c r="HK57" s="150"/>
      <c r="HL57" s="150"/>
      <c r="HM57" s="150"/>
      <c r="HN57" s="150"/>
      <c r="HO57" s="150"/>
      <c r="HP57" s="150"/>
      <c r="HQ57" s="150"/>
      <c r="HR57" s="150"/>
      <c r="HS57" s="150"/>
      <c r="HT57" s="150"/>
      <c r="HU57" s="150"/>
      <c r="HV57" s="150"/>
      <c r="HW57" s="150"/>
      <c r="HX57" s="150"/>
      <c r="HY57" s="150"/>
      <c r="HZ57" s="150"/>
      <c r="IA57" s="150"/>
      <c r="IB57" s="150"/>
      <c r="IC57" s="150"/>
      <c r="ID57" s="150"/>
      <c r="IE57" s="150"/>
      <c r="IF57" s="150"/>
      <c r="IG57" s="150"/>
      <c r="IH57" s="150"/>
      <c r="II57" s="150"/>
      <c r="IJ57" s="150"/>
      <c r="IK57" s="150"/>
      <c r="IL57" s="150"/>
      <c r="IM57" s="150"/>
      <c r="IN57" s="150"/>
      <c r="IO57" s="150"/>
      <c r="IP57" s="150"/>
      <c r="IQ57" s="150"/>
      <c r="IR57" s="150"/>
      <c r="IS57" s="150"/>
      <c r="IT57" s="150"/>
      <c r="IU57" s="150"/>
      <c r="IV57" s="150"/>
      <c r="IW57" s="150"/>
      <c r="IX57" s="150"/>
      <c r="IY57" s="150"/>
      <c r="IZ57" s="150"/>
      <c r="JA57" s="150"/>
      <c r="JB57" s="150"/>
      <c r="JC57" s="150"/>
      <c r="JD57" s="150"/>
      <c r="JE57" s="150"/>
      <c r="JF57" s="150"/>
      <c r="JG57" s="150"/>
      <c r="JH57" s="150"/>
      <c r="JI57" s="150"/>
      <c r="JJ57" s="150"/>
      <c r="JK57" s="150"/>
      <c r="JL57" s="150"/>
      <c r="JM57" s="150"/>
      <c r="JN57" s="150"/>
      <c r="JO57" s="150"/>
      <c r="JP57" s="150"/>
      <c r="JQ57" s="150"/>
      <c r="JR57" s="150"/>
      <c r="JS57" s="150"/>
      <c r="JT57" s="150"/>
      <c r="JU57" s="150"/>
      <c r="JV57" s="150"/>
      <c r="JW57" s="150"/>
      <c r="JX57" s="150"/>
      <c r="JY57" s="150"/>
      <c r="JZ57" s="150"/>
      <c r="KA57" s="150"/>
      <c r="KB57" s="150"/>
      <c r="KC57" s="150"/>
      <c r="KD57" s="150"/>
      <c r="KE57" s="150"/>
      <c r="KF57" s="150"/>
      <c r="KG57" s="150"/>
      <c r="KH57" s="150"/>
      <c r="KI57" s="150"/>
      <c r="KJ57" s="150"/>
      <c r="KK57" s="150"/>
      <c r="KL57" s="150"/>
      <c r="KM57" s="150"/>
      <c r="KN57" s="150"/>
      <c r="KO57" s="150"/>
      <c r="KP57" s="150"/>
      <c r="KQ57" s="150"/>
      <c r="KR57" s="150"/>
      <c r="KS57" s="150"/>
      <c r="KT57" s="150"/>
      <c r="KU57" s="150"/>
      <c r="KV57" s="150"/>
      <c r="KW57" s="150"/>
      <c r="KX57" s="150"/>
      <c r="KY57" s="150"/>
      <c r="KZ57" s="150"/>
      <c r="LA57" s="150"/>
      <c r="LB57" s="150"/>
      <c r="LC57" s="150"/>
      <c r="LD57" s="150"/>
      <c r="LE57" s="150"/>
      <c r="LF57" s="150"/>
      <c r="LG57" s="150"/>
      <c r="LH57" s="150"/>
      <c r="LI57" s="150"/>
      <c r="LJ57" s="150"/>
      <c r="LK57" s="150"/>
      <c r="LL57" s="150"/>
      <c r="LM57" s="150"/>
      <c r="LN57" s="150"/>
      <c r="LO57" s="150"/>
      <c r="LP57" s="150"/>
      <c r="LQ57" s="150"/>
      <c r="LR57" s="150"/>
      <c r="LS57" s="150"/>
      <c r="LT57" s="150"/>
      <c r="LU57" s="150"/>
      <c r="LV57" s="150"/>
      <c r="LW57" s="150"/>
      <c r="LX57" s="150"/>
      <c r="LY57" s="150"/>
      <c r="LZ57" s="150"/>
      <c r="MA57" s="150"/>
      <c r="MB57" s="150"/>
      <c r="MC57" s="150"/>
      <c r="MD57" s="150"/>
      <c r="ME57" s="150"/>
      <c r="MF57" s="150"/>
      <c r="MG57" s="150"/>
      <c r="MH57" s="150"/>
      <c r="MI57" s="150"/>
      <c r="MJ57" s="150"/>
      <c r="MK57" s="150"/>
      <c r="ML57" s="150"/>
      <c r="MM57" s="150"/>
      <c r="MN57" s="150"/>
      <c r="MO57" s="150"/>
      <c r="MP57" s="150"/>
      <c r="MQ57" s="150"/>
      <c r="MR57" s="150"/>
      <c r="MS57" s="150"/>
      <c r="MT57" s="150"/>
      <c r="MU57" s="150"/>
      <c r="MV57" s="150"/>
      <c r="MW57" s="150"/>
      <c r="MX57" s="150"/>
      <c r="MY57" s="150"/>
      <c r="MZ57" s="150"/>
      <c r="NA57" s="150"/>
      <c r="NB57" s="150"/>
      <c r="NC57" s="150"/>
      <c r="ND57" s="150"/>
      <c r="NE57" s="150"/>
      <c r="NF57" s="150"/>
      <c r="NG57" s="150"/>
      <c r="NH57" s="150"/>
      <c r="NI57" s="150"/>
      <c r="NJ57" s="150"/>
      <c r="NK57" s="150"/>
      <c r="NL57" s="150"/>
      <c r="NM57" s="150"/>
      <c r="NN57" s="150"/>
      <c r="NO57" s="150"/>
      <c r="NP57" s="150"/>
      <c r="NQ57" s="150"/>
      <c r="NR57" s="150"/>
      <c r="NS57" s="150"/>
      <c r="NT57" s="150"/>
      <c r="NU57" s="150"/>
      <c r="NV57" s="150"/>
      <c r="NW57" s="150"/>
      <c r="NX57" s="150"/>
      <c r="NY57" s="150"/>
      <c r="NZ57" s="150"/>
      <c r="OA57" s="150"/>
      <c r="OB57" s="150"/>
      <c r="OC57" s="150"/>
      <c r="OD57" s="150"/>
      <c r="OE57" s="150"/>
    </row>
    <row r="58" spans="1:395">
      <c r="A58" s="19"/>
      <c r="B58" s="17"/>
      <c r="C58" s="48">
        <v>2036</v>
      </c>
      <c r="D58" s="114">
        <v>0</v>
      </c>
      <c r="E58" s="114">
        <v>2.4780720441560953</v>
      </c>
      <c r="F58" s="114">
        <f t="shared" si="24"/>
        <v>325</v>
      </c>
      <c r="G58" s="114">
        <f t="shared" si="25"/>
        <v>306.5</v>
      </c>
      <c r="H58" s="114">
        <f t="shared" si="26"/>
        <v>363</v>
      </c>
      <c r="I58" s="114">
        <f t="shared" si="47"/>
        <v>726</v>
      </c>
      <c r="J58" s="150"/>
      <c r="K58" s="48">
        <v>2036</v>
      </c>
      <c r="L58" s="114">
        <v>0</v>
      </c>
      <c r="M58" s="114">
        <v>2.4780720441560953</v>
      </c>
      <c r="N58" s="114">
        <f t="shared" si="27"/>
        <v>236</v>
      </c>
      <c r="O58" s="114">
        <f t="shared" si="28"/>
        <v>220</v>
      </c>
      <c r="P58" s="114">
        <f t="shared" si="29"/>
        <v>273</v>
      </c>
      <c r="Q58" s="114">
        <f t="shared" si="30"/>
        <v>546</v>
      </c>
      <c r="R58" s="150"/>
      <c r="S58" s="48">
        <v>2036</v>
      </c>
      <c r="T58" s="114">
        <v>0</v>
      </c>
      <c r="U58" s="114">
        <v>2.4780720441560953</v>
      </c>
      <c r="V58" s="114">
        <f t="shared" si="31"/>
        <v>177.66666666666666</v>
      </c>
      <c r="W58" s="114">
        <f t="shared" si="32"/>
        <v>160.83333333333334</v>
      </c>
      <c r="X58" s="114">
        <f t="shared" si="33"/>
        <v>223</v>
      </c>
      <c r="Y58" s="114">
        <f t="shared" si="34"/>
        <v>446</v>
      </c>
      <c r="Z58" s="150"/>
      <c r="AA58" s="48">
        <v>2036</v>
      </c>
      <c r="AB58" s="114">
        <v>0</v>
      </c>
      <c r="AC58" s="114">
        <v>2.4780720441560953</v>
      </c>
      <c r="AD58" s="114">
        <f t="shared" si="35"/>
        <v>95.333333333333329</v>
      </c>
      <c r="AE58" s="114">
        <f t="shared" si="36"/>
        <v>77.666666666666657</v>
      </c>
      <c r="AF58" s="114">
        <f t="shared" si="37"/>
        <v>151</v>
      </c>
      <c r="AG58" s="114">
        <f t="shared" si="38"/>
        <v>302</v>
      </c>
      <c r="AH58" s="150"/>
      <c r="AI58" s="48">
        <v>2036</v>
      </c>
      <c r="AJ58" s="114">
        <v>0</v>
      </c>
      <c r="AK58" s="114">
        <v>2.4780720441560953</v>
      </c>
      <c r="AL58" s="114">
        <f t="shared" si="39"/>
        <v>270.33333333333331</v>
      </c>
      <c r="AM58" s="114">
        <f t="shared" si="40"/>
        <v>255.16666666666666</v>
      </c>
      <c r="AN58" s="114">
        <f t="shared" si="41"/>
        <v>302</v>
      </c>
      <c r="AO58" s="114">
        <f t="shared" si="42"/>
        <v>604</v>
      </c>
      <c r="AP58" s="150"/>
      <c r="AQ58" s="48">
        <v>2036</v>
      </c>
      <c r="AR58" s="114">
        <v>0</v>
      </c>
      <c r="AS58" s="114">
        <v>2.4780720441560953</v>
      </c>
      <c r="AT58" s="114">
        <f t="shared" si="43"/>
        <v>126</v>
      </c>
      <c r="AU58" s="114">
        <f t="shared" si="44"/>
        <v>111</v>
      </c>
      <c r="AV58" s="114">
        <f t="shared" si="45"/>
        <v>169</v>
      </c>
      <c r="AW58" s="114">
        <f t="shared" si="46"/>
        <v>338</v>
      </c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50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  <c r="GV58" s="150"/>
      <c r="GW58" s="150"/>
      <c r="GX58" s="150"/>
      <c r="GY58" s="150"/>
      <c r="GZ58" s="150"/>
      <c r="HA58" s="150"/>
      <c r="HB58" s="150"/>
      <c r="HC58" s="150"/>
      <c r="HD58" s="150"/>
      <c r="HE58" s="150"/>
      <c r="HF58" s="150"/>
      <c r="HG58" s="150"/>
      <c r="HH58" s="150"/>
      <c r="HI58" s="150"/>
      <c r="HJ58" s="150"/>
      <c r="HK58" s="150"/>
      <c r="HL58" s="150"/>
      <c r="HM58" s="150"/>
      <c r="HN58" s="150"/>
      <c r="HO58" s="150"/>
      <c r="HP58" s="150"/>
      <c r="HQ58" s="150"/>
      <c r="HR58" s="150"/>
      <c r="HS58" s="150"/>
      <c r="HT58" s="150"/>
      <c r="HU58" s="150"/>
      <c r="HV58" s="150"/>
      <c r="HW58" s="150"/>
      <c r="HX58" s="150"/>
      <c r="HY58" s="150"/>
      <c r="HZ58" s="150"/>
      <c r="IA58" s="150"/>
      <c r="IB58" s="150"/>
      <c r="IC58" s="150"/>
      <c r="ID58" s="150"/>
      <c r="IE58" s="150"/>
      <c r="IF58" s="150"/>
      <c r="IG58" s="150"/>
      <c r="IH58" s="150"/>
      <c r="II58" s="150"/>
      <c r="IJ58" s="150"/>
      <c r="IK58" s="150"/>
      <c r="IL58" s="150"/>
      <c r="IM58" s="150"/>
      <c r="IN58" s="150"/>
      <c r="IO58" s="150"/>
      <c r="IP58" s="150"/>
      <c r="IQ58" s="150"/>
      <c r="IR58" s="150"/>
      <c r="IS58" s="150"/>
      <c r="IT58" s="150"/>
      <c r="IU58" s="150"/>
      <c r="IV58" s="150"/>
      <c r="IW58" s="150"/>
      <c r="IX58" s="150"/>
      <c r="IY58" s="150"/>
      <c r="IZ58" s="150"/>
      <c r="JA58" s="150"/>
      <c r="JB58" s="150"/>
      <c r="JC58" s="150"/>
      <c r="JD58" s="150"/>
      <c r="JE58" s="150"/>
      <c r="JF58" s="150"/>
      <c r="JG58" s="150"/>
      <c r="JH58" s="150"/>
      <c r="JI58" s="150"/>
      <c r="JJ58" s="150"/>
      <c r="JK58" s="150"/>
      <c r="JL58" s="150"/>
      <c r="JM58" s="150"/>
      <c r="JN58" s="150"/>
      <c r="JO58" s="150"/>
      <c r="JP58" s="150"/>
      <c r="JQ58" s="150"/>
      <c r="JR58" s="150"/>
      <c r="JS58" s="150"/>
      <c r="JT58" s="150"/>
      <c r="JU58" s="150"/>
      <c r="JV58" s="150"/>
      <c r="JW58" s="150"/>
      <c r="JX58" s="150"/>
      <c r="JY58" s="150"/>
      <c r="JZ58" s="150"/>
      <c r="KA58" s="150"/>
      <c r="KB58" s="150"/>
      <c r="KC58" s="150"/>
      <c r="KD58" s="150"/>
      <c r="KE58" s="150"/>
      <c r="KF58" s="150"/>
      <c r="KG58" s="150"/>
      <c r="KH58" s="150"/>
      <c r="KI58" s="150"/>
      <c r="KJ58" s="150"/>
      <c r="KK58" s="150"/>
      <c r="KL58" s="150"/>
      <c r="KM58" s="150"/>
      <c r="KN58" s="150"/>
      <c r="KO58" s="150"/>
      <c r="KP58" s="150"/>
      <c r="KQ58" s="150"/>
      <c r="KR58" s="150"/>
      <c r="KS58" s="150"/>
      <c r="KT58" s="150"/>
      <c r="KU58" s="150"/>
      <c r="KV58" s="150"/>
      <c r="KW58" s="150"/>
      <c r="KX58" s="150"/>
      <c r="KY58" s="150"/>
      <c r="KZ58" s="150"/>
      <c r="LA58" s="150"/>
      <c r="LB58" s="150"/>
      <c r="LC58" s="150"/>
      <c r="LD58" s="150"/>
      <c r="LE58" s="150"/>
      <c r="LF58" s="150"/>
      <c r="LG58" s="150"/>
      <c r="LH58" s="150"/>
      <c r="LI58" s="150"/>
      <c r="LJ58" s="150"/>
      <c r="LK58" s="150"/>
      <c r="LL58" s="150"/>
      <c r="LM58" s="150"/>
      <c r="LN58" s="150"/>
      <c r="LO58" s="150"/>
      <c r="LP58" s="150"/>
      <c r="LQ58" s="150"/>
      <c r="LR58" s="150"/>
      <c r="LS58" s="150"/>
      <c r="LT58" s="150"/>
      <c r="LU58" s="150"/>
      <c r="LV58" s="150"/>
      <c r="LW58" s="150"/>
      <c r="LX58" s="150"/>
      <c r="LY58" s="150"/>
      <c r="LZ58" s="150"/>
      <c r="MA58" s="150"/>
      <c r="MB58" s="150"/>
      <c r="MC58" s="150"/>
      <c r="MD58" s="150"/>
      <c r="ME58" s="150"/>
      <c r="MF58" s="150"/>
      <c r="MG58" s="150"/>
      <c r="MH58" s="150"/>
      <c r="MI58" s="150"/>
      <c r="MJ58" s="150"/>
      <c r="MK58" s="150"/>
      <c r="ML58" s="150"/>
      <c r="MM58" s="150"/>
      <c r="MN58" s="150"/>
      <c r="MO58" s="150"/>
      <c r="MP58" s="150"/>
      <c r="MQ58" s="150"/>
      <c r="MR58" s="150"/>
      <c r="MS58" s="150"/>
      <c r="MT58" s="150"/>
      <c r="MU58" s="150"/>
      <c r="MV58" s="150"/>
      <c r="MW58" s="150"/>
      <c r="MX58" s="150"/>
      <c r="MY58" s="150"/>
      <c r="MZ58" s="150"/>
      <c r="NA58" s="150"/>
      <c r="NB58" s="150"/>
      <c r="NC58" s="150"/>
      <c r="ND58" s="150"/>
      <c r="NE58" s="150"/>
      <c r="NF58" s="150"/>
      <c r="NG58" s="150"/>
      <c r="NH58" s="150"/>
      <c r="NI58" s="150"/>
      <c r="NJ58" s="150"/>
      <c r="NK58" s="150"/>
      <c r="NL58" s="150"/>
      <c r="NM58" s="150"/>
      <c r="NN58" s="150"/>
      <c r="NO58" s="150"/>
      <c r="NP58" s="150"/>
      <c r="NQ58" s="150"/>
      <c r="NR58" s="150"/>
      <c r="NS58" s="150"/>
      <c r="NT58" s="150"/>
      <c r="NU58" s="150"/>
      <c r="NV58" s="150"/>
      <c r="NW58" s="150"/>
      <c r="NX58" s="150"/>
      <c r="NY58" s="150"/>
      <c r="NZ58" s="150"/>
      <c r="OA58" s="150"/>
      <c r="OB58" s="150"/>
      <c r="OC58" s="150"/>
      <c r="OD58" s="150"/>
      <c r="OE58" s="150"/>
    </row>
    <row r="59" spans="1:395">
      <c r="A59" s="19"/>
      <c r="B59" s="17"/>
      <c r="C59" s="48">
        <v>2037</v>
      </c>
      <c r="D59" s="114">
        <v>0</v>
      </c>
      <c r="E59" s="114">
        <v>2.3378038152416001</v>
      </c>
      <c r="F59" s="114">
        <f t="shared" si="24"/>
        <v>308</v>
      </c>
      <c r="G59" s="114">
        <f t="shared" si="25"/>
        <v>290.5</v>
      </c>
      <c r="H59" s="114">
        <f t="shared" si="26"/>
        <v>344</v>
      </c>
      <c r="I59" s="114">
        <f t="shared" si="47"/>
        <v>688</v>
      </c>
      <c r="J59" s="150"/>
      <c r="K59" s="48">
        <v>2037</v>
      </c>
      <c r="L59" s="114">
        <v>0</v>
      </c>
      <c r="M59" s="114">
        <v>2.3378038152416001</v>
      </c>
      <c r="N59" s="114">
        <f t="shared" si="27"/>
        <v>224.33333333333334</v>
      </c>
      <c r="O59" s="114">
        <f t="shared" si="28"/>
        <v>209.16666666666666</v>
      </c>
      <c r="P59" s="114">
        <f t="shared" si="29"/>
        <v>258</v>
      </c>
      <c r="Q59" s="114">
        <f t="shared" si="30"/>
        <v>516</v>
      </c>
      <c r="R59" s="150"/>
      <c r="S59" s="48">
        <v>2037</v>
      </c>
      <c r="T59" s="114">
        <v>0</v>
      </c>
      <c r="U59" s="114">
        <v>2.3378038152416001</v>
      </c>
      <c r="V59" s="114">
        <f t="shared" si="31"/>
        <v>168.66666666666666</v>
      </c>
      <c r="W59" s="114">
        <f t="shared" si="32"/>
        <v>152.83333333333334</v>
      </c>
      <c r="X59" s="114">
        <f t="shared" si="33"/>
        <v>211</v>
      </c>
      <c r="Y59" s="114">
        <f t="shared" si="34"/>
        <v>422</v>
      </c>
      <c r="Z59" s="150"/>
      <c r="AA59" s="48">
        <v>2037</v>
      </c>
      <c r="AB59" s="114">
        <v>0</v>
      </c>
      <c r="AC59" s="114">
        <v>2.3378038152416001</v>
      </c>
      <c r="AD59" s="114">
        <f t="shared" si="35"/>
        <v>90.666666666666657</v>
      </c>
      <c r="AE59" s="114">
        <f t="shared" si="36"/>
        <v>73.833333333333329</v>
      </c>
      <c r="AF59" s="114">
        <f t="shared" si="37"/>
        <v>143</v>
      </c>
      <c r="AG59" s="114">
        <f t="shared" si="38"/>
        <v>286</v>
      </c>
      <c r="AH59" s="150"/>
      <c r="AI59" s="48">
        <v>2037</v>
      </c>
      <c r="AJ59" s="114">
        <v>0</v>
      </c>
      <c r="AK59" s="114">
        <v>2.3378038152416001</v>
      </c>
      <c r="AL59" s="114">
        <f t="shared" si="39"/>
        <v>256.66666666666669</v>
      </c>
      <c r="AM59" s="114">
        <f t="shared" si="40"/>
        <v>242.33333333333334</v>
      </c>
      <c r="AN59" s="114">
        <f t="shared" si="41"/>
        <v>286</v>
      </c>
      <c r="AO59" s="114">
        <f t="shared" si="42"/>
        <v>572</v>
      </c>
      <c r="AP59" s="150"/>
      <c r="AQ59" s="48">
        <v>2037</v>
      </c>
      <c r="AR59" s="114">
        <v>0</v>
      </c>
      <c r="AS59" s="114">
        <v>2.3378038152416001</v>
      </c>
      <c r="AT59" s="114">
        <f t="shared" si="43"/>
        <v>119.33333333333333</v>
      </c>
      <c r="AU59" s="114">
        <f t="shared" si="44"/>
        <v>105.16666666666667</v>
      </c>
      <c r="AV59" s="114">
        <f t="shared" si="45"/>
        <v>160</v>
      </c>
      <c r="AW59" s="114">
        <f t="shared" si="46"/>
        <v>320</v>
      </c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  <c r="DY59" s="150"/>
      <c r="DZ59" s="150"/>
      <c r="EA59" s="150"/>
      <c r="EB59" s="150"/>
      <c r="EC59" s="150"/>
      <c r="ED59" s="150"/>
      <c r="EE59" s="150"/>
      <c r="EF59" s="150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50"/>
      <c r="EU59" s="150"/>
      <c r="EV59" s="150"/>
      <c r="EW59" s="15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50"/>
      <c r="FK59" s="150"/>
      <c r="FL59" s="150"/>
      <c r="FM59" s="150"/>
      <c r="FN59" s="150"/>
      <c r="FO59" s="150"/>
      <c r="FP59" s="150"/>
      <c r="FQ59" s="150"/>
      <c r="FR59" s="150"/>
      <c r="FS59" s="150"/>
      <c r="FT59" s="150"/>
      <c r="FU59" s="150"/>
      <c r="FV59" s="150"/>
      <c r="FW59" s="150"/>
      <c r="FX59" s="150"/>
      <c r="FY59" s="150"/>
      <c r="FZ59" s="150"/>
      <c r="GA59" s="150"/>
      <c r="GB59" s="150"/>
      <c r="GC59" s="150"/>
      <c r="GD59" s="150"/>
      <c r="GE59" s="150"/>
      <c r="GF59" s="150"/>
      <c r="GG59" s="150"/>
      <c r="GH59" s="150"/>
      <c r="GI59" s="150"/>
      <c r="GJ59" s="150"/>
      <c r="GK59" s="150"/>
      <c r="GL59" s="150"/>
      <c r="GM59" s="150"/>
      <c r="GN59" s="150"/>
      <c r="GO59" s="150"/>
      <c r="GP59" s="150"/>
      <c r="GQ59" s="150"/>
      <c r="GR59" s="150"/>
      <c r="GS59" s="150"/>
      <c r="GT59" s="150"/>
      <c r="GU59" s="150"/>
      <c r="GV59" s="150"/>
      <c r="GW59" s="150"/>
      <c r="GX59" s="150"/>
      <c r="GY59" s="150"/>
      <c r="GZ59" s="150"/>
      <c r="HA59" s="150"/>
      <c r="HB59" s="150"/>
      <c r="HC59" s="150"/>
      <c r="HD59" s="150"/>
      <c r="HE59" s="150"/>
      <c r="HF59" s="150"/>
      <c r="HG59" s="150"/>
      <c r="HH59" s="150"/>
      <c r="HI59" s="150"/>
      <c r="HJ59" s="150"/>
      <c r="HK59" s="150"/>
      <c r="HL59" s="150"/>
      <c r="HM59" s="150"/>
      <c r="HN59" s="150"/>
      <c r="HO59" s="150"/>
      <c r="HP59" s="150"/>
      <c r="HQ59" s="150"/>
      <c r="HR59" s="150"/>
      <c r="HS59" s="150"/>
      <c r="HT59" s="150"/>
      <c r="HU59" s="150"/>
      <c r="HV59" s="150"/>
      <c r="HW59" s="150"/>
      <c r="HX59" s="150"/>
      <c r="HY59" s="150"/>
      <c r="HZ59" s="150"/>
      <c r="IA59" s="150"/>
      <c r="IB59" s="150"/>
      <c r="IC59" s="150"/>
      <c r="ID59" s="150"/>
      <c r="IE59" s="150"/>
      <c r="IF59" s="150"/>
      <c r="IG59" s="150"/>
      <c r="IH59" s="150"/>
      <c r="II59" s="150"/>
      <c r="IJ59" s="150"/>
      <c r="IK59" s="150"/>
      <c r="IL59" s="150"/>
      <c r="IM59" s="150"/>
      <c r="IN59" s="150"/>
      <c r="IO59" s="150"/>
      <c r="IP59" s="150"/>
      <c r="IQ59" s="150"/>
      <c r="IR59" s="150"/>
      <c r="IS59" s="150"/>
      <c r="IT59" s="150"/>
      <c r="IU59" s="150"/>
      <c r="IV59" s="150"/>
      <c r="IW59" s="150"/>
      <c r="IX59" s="150"/>
      <c r="IY59" s="150"/>
      <c r="IZ59" s="150"/>
      <c r="JA59" s="150"/>
      <c r="JB59" s="150"/>
      <c r="JC59" s="150"/>
      <c r="JD59" s="150"/>
      <c r="JE59" s="150"/>
      <c r="JF59" s="150"/>
      <c r="JG59" s="150"/>
      <c r="JH59" s="150"/>
      <c r="JI59" s="150"/>
      <c r="JJ59" s="150"/>
      <c r="JK59" s="150"/>
      <c r="JL59" s="150"/>
      <c r="JM59" s="150"/>
      <c r="JN59" s="150"/>
      <c r="JO59" s="150"/>
      <c r="JP59" s="150"/>
      <c r="JQ59" s="150"/>
      <c r="JR59" s="150"/>
      <c r="JS59" s="150"/>
      <c r="JT59" s="150"/>
      <c r="JU59" s="150"/>
      <c r="JV59" s="150"/>
      <c r="JW59" s="150"/>
      <c r="JX59" s="150"/>
      <c r="JY59" s="150"/>
      <c r="JZ59" s="150"/>
      <c r="KA59" s="150"/>
      <c r="KB59" s="150"/>
      <c r="KC59" s="150"/>
      <c r="KD59" s="150"/>
      <c r="KE59" s="150"/>
      <c r="KF59" s="150"/>
      <c r="KG59" s="150"/>
      <c r="KH59" s="150"/>
      <c r="KI59" s="150"/>
      <c r="KJ59" s="150"/>
      <c r="KK59" s="150"/>
      <c r="KL59" s="150"/>
      <c r="KM59" s="150"/>
      <c r="KN59" s="150"/>
      <c r="KO59" s="150"/>
      <c r="KP59" s="150"/>
      <c r="KQ59" s="150"/>
      <c r="KR59" s="150"/>
      <c r="KS59" s="150"/>
      <c r="KT59" s="150"/>
      <c r="KU59" s="150"/>
      <c r="KV59" s="150"/>
      <c r="KW59" s="150"/>
      <c r="KX59" s="150"/>
      <c r="KY59" s="150"/>
      <c r="KZ59" s="150"/>
      <c r="LA59" s="150"/>
      <c r="LB59" s="150"/>
      <c r="LC59" s="150"/>
      <c r="LD59" s="150"/>
      <c r="LE59" s="150"/>
      <c r="LF59" s="150"/>
      <c r="LG59" s="150"/>
      <c r="LH59" s="150"/>
      <c r="LI59" s="150"/>
      <c r="LJ59" s="150"/>
      <c r="LK59" s="150"/>
      <c r="LL59" s="150"/>
      <c r="LM59" s="150"/>
      <c r="LN59" s="150"/>
      <c r="LO59" s="150"/>
      <c r="LP59" s="150"/>
      <c r="LQ59" s="150"/>
      <c r="LR59" s="150"/>
      <c r="LS59" s="150"/>
      <c r="LT59" s="150"/>
      <c r="LU59" s="150"/>
      <c r="LV59" s="150"/>
      <c r="LW59" s="150"/>
      <c r="LX59" s="150"/>
      <c r="LY59" s="150"/>
      <c r="LZ59" s="150"/>
      <c r="MA59" s="150"/>
      <c r="MB59" s="150"/>
      <c r="MC59" s="150"/>
      <c r="MD59" s="150"/>
      <c r="ME59" s="150"/>
      <c r="MF59" s="150"/>
      <c r="MG59" s="150"/>
      <c r="MH59" s="150"/>
      <c r="MI59" s="150"/>
      <c r="MJ59" s="150"/>
      <c r="MK59" s="150"/>
      <c r="ML59" s="150"/>
      <c r="MM59" s="150"/>
      <c r="MN59" s="150"/>
      <c r="MO59" s="150"/>
      <c r="MP59" s="150"/>
      <c r="MQ59" s="150"/>
      <c r="MR59" s="150"/>
      <c r="MS59" s="150"/>
      <c r="MT59" s="150"/>
      <c r="MU59" s="150"/>
      <c r="MV59" s="150"/>
      <c r="MW59" s="150"/>
      <c r="MX59" s="150"/>
      <c r="MY59" s="150"/>
      <c r="MZ59" s="150"/>
      <c r="NA59" s="150"/>
      <c r="NB59" s="150"/>
      <c r="NC59" s="150"/>
      <c r="ND59" s="150"/>
      <c r="NE59" s="150"/>
      <c r="NF59" s="150"/>
      <c r="NG59" s="150"/>
      <c r="NH59" s="150"/>
      <c r="NI59" s="150"/>
      <c r="NJ59" s="150"/>
      <c r="NK59" s="150"/>
      <c r="NL59" s="150"/>
      <c r="NM59" s="150"/>
      <c r="NN59" s="150"/>
      <c r="NO59" s="150"/>
      <c r="NP59" s="150"/>
      <c r="NQ59" s="150"/>
      <c r="NR59" s="150"/>
      <c r="NS59" s="150"/>
      <c r="NT59" s="150"/>
      <c r="NU59" s="150"/>
      <c r="NV59" s="150"/>
      <c r="NW59" s="150"/>
      <c r="NX59" s="150"/>
      <c r="NY59" s="150"/>
      <c r="NZ59" s="150"/>
      <c r="OA59" s="150"/>
      <c r="OB59" s="150"/>
      <c r="OC59" s="150"/>
      <c r="OD59" s="150"/>
      <c r="OE59" s="150"/>
    </row>
    <row r="60" spans="1:395">
      <c r="A60" s="19"/>
      <c r="B60" s="17"/>
      <c r="C60" s="48">
        <v>2038</v>
      </c>
      <c r="D60" s="114">
        <v>0</v>
      </c>
      <c r="E60" s="114">
        <v>2.1975355863271036</v>
      </c>
      <c r="F60" s="114">
        <f t="shared" si="24"/>
        <v>291</v>
      </c>
      <c r="G60" s="114">
        <f t="shared" si="25"/>
        <v>274.5</v>
      </c>
      <c r="H60" s="114">
        <f t="shared" si="26"/>
        <v>325</v>
      </c>
      <c r="I60" s="114">
        <f t="shared" si="47"/>
        <v>650</v>
      </c>
      <c r="J60" s="150"/>
      <c r="K60" s="48">
        <v>2038</v>
      </c>
      <c r="L60" s="114">
        <v>0</v>
      </c>
      <c r="M60" s="114">
        <v>2.1975355863271036</v>
      </c>
      <c r="N60" s="114">
        <f t="shared" si="27"/>
        <v>211.66666666666666</v>
      </c>
      <c r="O60" s="114">
        <f t="shared" si="28"/>
        <v>197.33333333333334</v>
      </c>
      <c r="P60" s="114">
        <f t="shared" si="29"/>
        <v>244</v>
      </c>
      <c r="Q60" s="114">
        <f t="shared" si="30"/>
        <v>488</v>
      </c>
      <c r="R60" s="150"/>
      <c r="S60" s="48">
        <v>2038</v>
      </c>
      <c r="T60" s="114">
        <v>0</v>
      </c>
      <c r="U60" s="114">
        <v>2.1975355863271036</v>
      </c>
      <c r="V60" s="114">
        <f t="shared" si="31"/>
        <v>159</v>
      </c>
      <c r="W60" s="114">
        <f t="shared" si="32"/>
        <v>144</v>
      </c>
      <c r="X60" s="114">
        <f t="shared" si="33"/>
        <v>199</v>
      </c>
      <c r="Y60" s="114">
        <f t="shared" si="34"/>
        <v>398</v>
      </c>
      <c r="Z60" s="150"/>
      <c r="AA60" s="48">
        <v>2038</v>
      </c>
      <c r="AB60" s="114">
        <v>0</v>
      </c>
      <c r="AC60" s="114">
        <v>2.1975355863271036</v>
      </c>
      <c r="AD60" s="114">
        <f t="shared" si="35"/>
        <v>85.666666666666657</v>
      </c>
      <c r="AE60" s="114">
        <f t="shared" si="36"/>
        <v>69.833333333333329</v>
      </c>
      <c r="AF60" s="114">
        <f t="shared" si="37"/>
        <v>135</v>
      </c>
      <c r="AG60" s="114">
        <f t="shared" si="38"/>
        <v>270</v>
      </c>
      <c r="AH60" s="150"/>
      <c r="AI60" s="48">
        <v>2038</v>
      </c>
      <c r="AJ60" s="114">
        <v>0</v>
      </c>
      <c r="AK60" s="114">
        <v>2.1975355863271036</v>
      </c>
      <c r="AL60" s="114">
        <f t="shared" si="39"/>
        <v>242.33333333333334</v>
      </c>
      <c r="AM60" s="114">
        <f t="shared" si="40"/>
        <v>228.66666666666666</v>
      </c>
      <c r="AN60" s="114">
        <f t="shared" si="41"/>
        <v>270</v>
      </c>
      <c r="AO60" s="114">
        <f t="shared" si="42"/>
        <v>540</v>
      </c>
      <c r="AP60" s="150"/>
      <c r="AQ60" s="48">
        <v>2038</v>
      </c>
      <c r="AR60" s="114">
        <v>0</v>
      </c>
      <c r="AS60" s="114">
        <v>2.1975355863271036</v>
      </c>
      <c r="AT60" s="114">
        <f t="shared" si="43"/>
        <v>112.66666666666666</v>
      </c>
      <c r="AU60" s="114">
        <f t="shared" si="44"/>
        <v>99.333333333333329</v>
      </c>
      <c r="AV60" s="114">
        <f t="shared" si="45"/>
        <v>151</v>
      </c>
      <c r="AW60" s="114">
        <f t="shared" si="46"/>
        <v>302</v>
      </c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  <c r="FQ60" s="150"/>
      <c r="FR60" s="150"/>
      <c r="FS60" s="150"/>
      <c r="FT60" s="150"/>
      <c r="FU60" s="150"/>
      <c r="FV60" s="150"/>
      <c r="FW60" s="150"/>
      <c r="FX60" s="150"/>
      <c r="FY60" s="150"/>
      <c r="FZ60" s="150"/>
      <c r="GA60" s="150"/>
      <c r="GB60" s="150"/>
      <c r="GC60" s="150"/>
      <c r="GD60" s="150"/>
      <c r="GE60" s="150"/>
      <c r="GF60" s="150"/>
      <c r="GG60" s="150"/>
      <c r="GH60" s="150"/>
      <c r="GI60" s="150"/>
      <c r="GJ60" s="150"/>
      <c r="GK60" s="150"/>
      <c r="GL60" s="150"/>
      <c r="GM60" s="150"/>
      <c r="GN60" s="150"/>
      <c r="GO60" s="150"/>
      <c r="GP60" s="150"/>
      <c r="GQ60" s="150"/>
      <c r="GR60" s="150"/>
      <c r="GS60" s="150"/>
      <c r="GT60" s="150"/>
      <c r="GU60" s="150"/>
      <c r="GV60" s="150"/>
      <c r="GW60" s="150"/>
      <c r="GX60" s="150"/>
      <c r="GY60" s="150"/>
      <c r="GZ60" s="150"/>
      <c r="HA60" s="150"/>
      <c r="HB60" s="150"/>
      <c r="HC60" s="150"/>
      <c r="HD60" s="150"/>
      <c r="HE60" s="150"/>
      <c r="HF60" s="150"/>
      <c r="HG60" s="150"/>
      <c r="HH60" s="150"/>
      <c r="HI60" s="150"/>
      <c r="HJ60" s="150"/>
      <c r="HK60" s="150"/>
      <c r="HL60" s="150"/>
      <c r="HM60" s="150"/>
      <c r="HN60" s="150"/>
      <c r="HO60" s="150"/>
      <c r="HP60" s="150"/>
      <c r="HQ60" s="150"/>
      <c r="HR60" s="150"/>
      <c r="HS60" s="150"/>
      <c r="HT60" s="150"/>
      <c r="HU60" s="150"/>
      <c r="HV60" s="150"/>
      <c r="HW60" s="150"/>
      <c r="HX60" s="150"/>
      <c r="HY60" s="150"/>
      <c r="HZ60" s="150"/>
      <c r="IA60" s="150"/>
      <c r="IB60" s="150"/>
      <c r="IC60" s="150"/>
      <c r="ID60" s="150"/>
      <c r="IE60" s="150"/>
      <c r="IF60" s="150"/>
      <c r="IG60" s="150"/>
      <c r="IH60" s="150"/>
      <c r="II60" s="150"/>
      <c r="IJ60" s="150"/>
      <c r="IK60" s="150"/>
      <c r="IL60" s="150"/>
      <c r="IM60" s="150"/>
      <c r="IN60" s="150"/>
      <c r="IO60" s="150"/>
      <c r="IP60" s="150"/>
      <c r="IQ60" s="150"/>
      <c r="IR60" s="150"/>
      <c r="IS60" s="150"/>
      <c r="IT60" s="150"/>
      <c r="IU60" s="150"/>
      <c r="IV60" s="150"/>
      <c r="IW60" s="150"/>
      <c r="IX60" s="150"/>
      <c r="IY60" s="150"/>
      <c r="IZ60" s="150"/>
      <c r="JA60" s="150"/>
      <c r="JB60" s="150"/>
      <c r="JC60" s="150"/>
      <c r="JD60" s="150"/>
      <c r="JE60" s="150"/>
      <c r="JF60" s="150"/>
      <c r="JG60" s="150"/>
      <c r="JH60" s="150"/>
      <c r="JI60" s="150"/>
      <c r="JJ60" s="150"/>
      <c r="JK60" s="150"/>
      <c r="JL60" s="150"/>
      <c r="JM60" s="150"/>
      <c r="JN60" s="150"/>
      <c r="JO60" s="150"/>
      <c r="JP60" s="150"/>
      <c r="JQ60" s="150"/>
      <c r="JR60" s="150"/>
      <c r="JS60" s="150"/>
      <c r="JT60" s="150"/>
      <c r="JU60" s="150"/>
      <c r="JV60" s="150"/>
      <c r="JW60" s="150"/>
      <c r="JX60" s="150"/>
      <c r="JY60" s="150"/>
      <c r="JZ60" s="150"/>
      <c r="KA60" s="150"/>
      <c r="KB60" s="150"/>
      <c r="KC60" s="150"/>
      <c r="KD60" s="150"/>
      <c r="KE60" s="150"/>
      <c r="KF60" s="150"/>
      <c r="KG60" s="150"/>
      <c r="KH60" s="150"/>
      <c r="KI60" s="150"/>
      <c r="KJ60" s="150"/>
      <c r="KK60" s="150"/>
      <c r="KL60" s="150"/>
      <c r="KM60" s="150"/>
      <c r="KN60" s="150"/>
      <c r="KO60" s="150"/>
      <c r="KP60" s="150"/>
      <c r="KQ60" s="150"/>
      <c r="KR60" s="150"/>
      <c r="KS60" s="150"/>
      <c r="KT60" s="150"/>
      <c r="KU60" s="150"/>
      <c r="KV60" s="150"/>
      <c r="KW60" s="150"/>
      <c r="KX60" s="150"/>
      <c r="KY60" s="150"/>
      <c r="KZ60" s="150"/>
      <c r="LA60" s="150"/>
      <c r="LB60" s="150"/>
      <c r="LC60" s="150"/>
      <c r="LD60" s="150"/>
      <c r="LE60" s="150"/>
      <c r="LF60" s="150"/>
      <c r="LG60" s="150"/>
      <c r="LH60" s="150"/>
      <c r="LI60" s="150"/>
      <c r="LJ60" s="150"/>
      <c r="LK60" s="150"/>
      <c r="LL60" s="150"/>
      <c r="LM60" s="150"/>
      <c r="LN60" s="150"/>
      <c r="LO60" s="150"/>
      <c r="LP60" s="150"/>
      <c r="LQ60" s="150"/>
      <c r="LR60" s="150"/>
      <c r="LS60" s="150"/>
      <c r="LT60" s="150"/>
      <c r="LU60" s="150"/>
      <c r="LV60" s="150"/>
      <c r="LW60" s="150"/>
      <c r="LX60" s="150"/>
      <c r="LY60" s="150"/>
      <c r="LZ60" s="150"/>
      <c r="MA60" s="150"/>
      <c r="MB60" s="150"/>
      <c r="MC60" s="150"/>
      <c r="MD60" s="150"/>
      <c r="ME60" s="150"/>
      <c r="MF60" s="150"/>
      <c r="MG60" s="150"/>
      <c r="MH60" s="150"/>
      <c r="MI60" s="150"/>
      <c r="MJ60" s="150"/>
      <c r="MK60" s="150"/>
      <c r="ML60" s="150"/>
      <c r="MM60" s="150"/>
      <c r="MN60" s="150"/>
      <c r="MO60" s="150"/>
      <c r="MP60" s="150"/>
      <c r="MQ60" s="150"/>
      <c r="MR60" s="150"/>
      <c r="MS60" s="150"/>
      <c r="MT60" s="150"/>
      <c r="MU60" s="150"/>
      <c r="MV60" s="150"/>
      <c r="MW60" s="150"/>
      <c r="MX60" s="150"/>
      <c r="MY60" s="150"/>
      <c r="MZ60" s="150"/>
      <c r="NA60" s="150"/>
      <c r="NB60" s="150"/>
      <c r="NC60" s="150"/>
      <c r="ND60" s="150"/>
      <c r="NE60" s="150"/>
      <c r="NF60" s="150"/>
      <c r="NG60" s="150"/>
      <c r="NH60" s="150"/>
      <c r="NI60" s="150"/>
      <c r="NJ60" s="150"/>
      <c r="NK60" s="150"/>
      <c r="NL60" s="150"/>
      <c r="NM60" s="150"/>
      <c r="NN60" s="150"/>
      <c r="NO60" s="150"/>
      <c r="NP60" s="150"/>
      <c r="NQ60" s="150"/>
      <c r="NR60" s="150"/>
      <c r="NS60" s="150"/>
      <c r="NT60" s="150"/>
      <c r="NU60" s="150"/>
      <c r="NV60" s="150"/>
      <c r="NW60" s="150"/>
      <c r="NX60" s="150"/>
      <c r="NY60" s="150"/>
      <c r="NZ60" s="150"/>
      <c r="OA60" s="150"/>
      <c r="OB60" s="150"/>
      <c r="OC60" s="150"/>
      <c r="OD60" s="150"/>
      <c r="OE60" s="150"/>
    </row>
    <row r="61" spans="1:395">
      <c r="A61" s="19"/>
      <c r="B61" s="17"/>
      <c r="C61" s="48">
        <v>2039</v>
      </c>
      <c r="D61" s="114">
        <v>0</v>
      </c>
      <c r="E61" s="114">
        <v>2.0572673574126075</v>
      </c>
      <c r="F61" s="114">
        <f t="shared" si="24"/>
        <v>274</v>
      </c>
      <c r="G61" s="114">
        <f t="shared" si="25"/>
        <v>258.5</v>
      </c>
      <c r="H61" s="114">
        <f t="shared" si="26"/>
        <v>306</v>
      </c>
      <c r="I61" s="114">
        <f t="shared" si="47"/>
        <v>612</v>
      </c>
      <c r="J61" s="150"/>
      <c r="K61" s="48">
        <v>2039</v>
      </c>
      <c r="L61" s="114">
        <v>0</v>
      </c>
      <c r="M61" s="114">
        <v>2.0572673574126075</v>
      </c>
      <c r="N61" s="114">
        <f t="shared" si="27"/>
        <v>199</v>
      </c>
      <c r="O61" s="114">
        <f t="shared" si="28"/>
        <v>185.5</v>
      </c>
      <c r="P61" s="114">
        <f t="shared" si="29"/>
        <v>230</v>
      </c>
      <c r="Q61" s="114">
        <f t="shared" si="30"/>
        <v>460</v>
      </c>
      <c r="R61" s="150"/>
      <c r="S61" s="48">
        <v>2039</v>
      </c>
      <c r="T61" s="114">
        <v>0</v>
      </c>
      <c r="U61" s="114">
        <v>2.0572673574126075</v>
      </c>
      <c r="V61" s="114">
        <f t="shared" si="31"/>
        <v>149.33333333333334</v>
      </c>
      <c r="W61" s="114">
        <f t="shared" si="32"/>
        <v>135.16666666666666</v>
      </c>
      <c r="X61" s="114">
        <f t="shared" si="33"/>
        <v>187</v>
      </c>
      <c r="Y61" s="114">
        <f t="shared" si="34"/>
        <v>374</v>
      </c>
      <c r="Z61" s="150"/>
      <c r="AA61" s="48">
        <v>2039</v>
      </c>
      <c r="AB61" s="114">
        <v>0</v>
      </c>
      <c r="AC61" s="114">
        <v>2.0572673574126075</v>
      </c>
      <c r="AD61" s="114">
        <f t="shared" si="35"/>
        <v>81</v>
      </c>
      <c r="AE61" s="114">
        <f t="shared" si="36"/>
        <v>66</v>
      </c>
      <c r="AF61" s="114">
        <f t="shared" si="37"/>
        <v>127</v>
      </c>
      <c r="AG61" s="114">
        <f t="shared" si="38"/>
        <v>254</v>
      </c>
      <c r="AH61" s="150"/>
      <c r="AI61" s="48">
        <v>2039</v>
      </c>
      <c r="AJ61" s="114">
        <v>0</v>
      </c>
      <c r="AK61" s="114">
        <v>2.0572673574126075</v>
      </c>
      <c r="AL61" s="114">
        <f t="shared" si="39"/>
        <v>227.66666666666666</v>
      </c>
      <c r="AM61" s="114">
        <f t="shared" si="40"/>
        <v>214.83333333333334</v>
      </c>
      <c r="AN61" s="114">
        <f t="shared" si="41"/>
        <v>254</v>
      </c>
      <c r="AO61" s="114">
        <f t="shared" si="42"/>
        <v>508</v>
      </c>
      <c r="AP61" s="150"/>
      <c r="AQ61" s="48">
        <v>2039</v>
      </c>
      <c r="AR61" s="114">
        <v>0</v>
      </c>
      <c r="AS61" s="114">
        <v>2.0572673574126075</v>
      </c>
      <c r="AT61" s="114">
        <f t="shared" si="43"/>
        <v>106.33333333333333</v>
      </c>
      <c r="AU61" s="114">
        <f t="shared" si="44"/>
        <v>93.666666666666671</v>
      </c>
      <c r="AV61" s="114">
        <f t="shared" si="45"/>
        <v>142</v>
      </c>
      <c r="AW61" s="114">
        <f t="shared" si="46"/>
        <v>284</v>
      </c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150"/>
      <c r="GG61" s="150"/>
      <c r="GH61" s="150"/>
      <c r="GI61" s="150"/>
      <c r="GJ61" s="150"/>
      <c r="GK61" s="150"/>
      <c r="GL61" s="150"/>
      <c r="GM61" s="150"/>
      <c r="GN61" s="150"/>
      <c r="GO61" s="150"/>
      <c r="GP61" s="150"/>
      <c r="GQ61" s="150"/>
      <c r="GR61" s="150"/>
      <c r="GS61" s="150"/>
      <c r="GT61" s="150"/>
      <c r="GU61" s="150"/>
      <c r="GV61" s="150"/>
      <c r="GW61" s="150"/>
      <c r="GX61" s="150"/>
      <c r="GY61" s="150"/>
      <c r="GZ61" s="150"/>
      <c r="HA61" s="150"/>
      <c r="HB61" s="150"/>
      <c r="HC61" s="150"/>
      <c r="HD61" s="150"/>
      <c r="HE61" s="150"/>
      <c r="HF61" s="150"/>
      <c r="HG61" s="150"/>
      <c r="HH61" s="150"/>
      <c r="HI61" s="150"/>
      <c r="HJ61" s="150"/>
      <c r="HK61" s="150"/>
      <c r="HL61" s="150"/>
      <c r="HM61" s="150"/>
      <c r="HN61" s="150"/>
      <c r="HO61" s="150"/>
      <c r="HP61" s="150"/>
      <c r="HQ61" s="150"/>
      <c r="HR61" s="150"/>
      <c r="HS61" s="150"/>
      <c r="HT61" s="150"/>
      <c r="HU61" s="150"/>
      <c r="HV61" s="150"/>
      <c r="HW61" s="150"/>
      <c r="HX61" s="150"/>
      <c r="HY61" s="150"/>
      <c r="HZ61" s="150"/>
      <c r="IA61" s="150"/>
      <c r="IB61" s="150"/>
      <c r="IC61" s="150"/>
      <c r="ID61" s="150"/>
      <c r="IE61" s="150"/>
      <c r="IF61" s="150"/>
      <c r="IG61" s="150"/>
      <c r="IH61" s="150"/>
      <c r="II61" s="150"/>
      <c r="IJ61" s="150"/>
      <c r="IK61" s="150"/>
      <c r="IL61" s="150"/>
      <c r="IM61" s="150"/>
      <c r="IN61" s="150"/>
      <c r="IO61" s="150"/>
      <c r="IP61" s="150"/>
      <c r="IQ61" s="150"/>
      <c r="IR61" s="150"/>
      <c r="IS61" s="150"/>
      <c r="IT61" s="150"/>
      <c r="IU61" s="150"/>
      <c r="IV61" s="150"/>
      <c r="IW61" s="150"/>
      <c r="IX61" s="150"/>
      <c r="IY61" s="150"/>
      <c r="IZ61" s="150"/>
      <c r="JA61" s="150"/>
      <c r="JB61" s="150"/>
      <c r="JC61" s="150"/>
      <c r="JD61" s="150"/>
      <c r="JE61" s="150"/>
      <c r="JF61" s="150"/>
      <c r="JG61" s="150"/>
      <c r="JH61" s="150"/>
      <c r="JI61" s="150"/>
      <c r="JJ61" s="150"/>
      <c r="JK61" s="150"/>
      <c r="JL61" s="150"/>
      <c r="JM61" s="150"/>
      <c r="JN61" s="150"/>
      <c r="JO61" s="150"/>
      <c r="JP61" s="150"/>
      <c r="JQ61" s="150"/>
      <c r="JR61" s="150"/>
      <c r="JS61" s="150"/>
      <c r="JT61" s="150"/>
      <c r="JU61" s="150"/>
      <c r="JV61" s="150"/>
      <c r="JW61" s="150"/>
      <c r="JX61" s="150"/>
      <c r="JY61" s="150"/>
      <c r="JZ61" s="150"/>
      <c r="KA61" s="150"/>
      <c r="KB61" s="150"/>
      <c r="KC61" s="150"/>
      <c r="KD61" s="150"/>
      <c r="KE61" s="150"/>
      <c r="KF61" s="150"/>
      <c r="KG61" s="150"/>
      <c r="KH61" s="150"/>
      <c r="KI61" s="150"/>
      <c r="KJ61" s="150"/>
      <c r="KK61" s="150"/>
      <c r="KL61" s="150"/>
      <c r="KM61" s="150"/>
      <c r="KN61" s="150"/>
      <c r="KO61" s="150"/>
      <c r="KP61" s="150"/>
      <c r="KQ61" s="150"/>
      <c r="KR61" s="150"/>
      <c r="KS61" s="150"/>
      <c r="KT61" s="150"/>
      <c r="KU61" s="150"/>
      <c r="KV61" s="150"/>
      <c r="KW61" s="150"/>
      <c r="KX61" s="150"/>
      <c r="KY61" s="150"/>
      <c r="KZ61" s="150"/>
      <c r="LA61" s="150"/>
      <c r="LB61" s="150"/>
      <c r="LC61" s="150"/>
      <c r="LD61" s="150"/>
      <c r="LE61" s="150"/>
      <c r="LF61" s="150"/>
      <c r="LG61" s="150"/>
      <c r="LH61" s="150"/>
      <c r="LI61" s="150"/>
      <c r="LJ61" s="150"/>
      <c r="LK61" s="150"/>
      <c r="LL61" s="150"/>
      <c r="LM61" s="150"/>
      <c r="LN61" s="150"/>
      <c r="LO61" s="150"/>
      <c r="LP61" s="150"/>
      <c r="LQ61" s="150"/>
      <c r="LR61" s="150"/>
      <c r="LS61" s="150"/>
      <c r="LT61" s="150"/>
      <c r="LU61" s="150"/>
      <c r="LV61" s="150"/>
      <c r="LW61" s="150"/>
      <c r="LX61" s="150"/>
      <c r="LY61" s="150"/>
      <c r="LZ61" s="150"/>
      <c r="MA61" s="150"/>
      <c r="MB61" s="150"/>
      <c r="MC61" s="150"/>
      <c r="MD61" s="150"/>
      <c r="ME61" s="150"/>
      <c r="MF61" s="150"/>
      <c r="MG61" s="150"/>
      <c r="MH61" s="150"/>
      <c r="MI61" s="150"/>
      <c r="MJ61" s="150"/>
      <c r="MK61" s="150"/>
      <c r="ML61" s="150"/>
      <c r="MM61" s="150"/>
      <c r="MN61" s="150"/>
      <c r="MO61" s="150"/>
      <c r="MP61" s="150"/>
      <c r="MQ61" s="150"/>
      <c r="MR61" s="150"/>
      <c r="MS61" s="150"/>
      <c r="MT61" s="150"/>
      <c r="MU61" s="150"/>
      <c r="MV61" s="150"/>
      <c r="MW61" s="150"/>
      <c r="MX61" s="150"/>
      <c r="MY61" s="150"/>
      <c r="MZ61" s="150"/>
      <c r="NA61" s="150"/>
      <c r="NB61" s="150"/>
      <c r="NC61" s="150"/>
      <c r="ND61" s="150"/>
      <c r="NE61" s="150"/>
      <c r="NF61" s="150"/>
      <c r="NG61" s="150"/>
      <c r="NH61" s="150"/>
      <c r="NI61" s="150"/>
      <c r="NJ61" s="150"/>
      <c r="NK61" s="150"/>
      <c r="NL61" s="150"/>
      <c r="NM61" s="150"/>
      <c r="NN61" s="150"/>
      <c r="NO61" s="150"/>
      <c r="NP61" s="150"/>
      <c r="NQ61" s="150"/>
      <c r="NR61" s="150"/>
      <c r="NS61" s="150"/>
      <c r="NT61" s="150"/>
      <c r="NU61" s="150"/>
      <c r="NV61" s="150"/>
      <c r="NW61" s="150"/>
      <c r="NX61" s="150"/>
      <c r="NY61" s="150"/>
      <c r="NZ61" s="150"/>
      <c r="OA61" s="150"/>
      <c r="OB61" s="150"/>
      <c r="OC61" s="150"/>
      <c r="OD61" s="150"/>
      <c r="OE61" s="150"/>
    </row>
    <row r="62" spans="1:395">
      <c r="A62" s="19"/>
      <c r="B62" s="17"/>
      <c r="C62" s="48">
        <v>2040</v>
      </c>
      <c r="D62" s="114">
        <v>0</v>
      </c>
      <c r="E62" s="114">
        <v>1.9169991284981123</v>
      </c>
      <c r="F62" s="114">
        <f t="shared" si="24"/>
        <v>257.33333333333331</v>
      </c>
      <c r="G62" s="114">
        <f t="shared" si="25"/>
        <v>242.66666666666666</v>
      </c>
      <c r="H62" s="114">
        <f t="shared" si="26"/>
        <v>286</v>
      </c>
      <c r="I62" s="114">
        <f t="shared" si="47"/>
        <v>572</v>
      </c>
      <c r="J62" s="150"/>
      <c r="K62" s="48">
        <v>2040</v>
      </c>
      <c r="L62" s="114">
        <v>0</v>
      </c>
      <c r="M62" s="114">
        <v>1.9169991284981123</v>
      </c>
      <c r="N62" s="114">
        <f t="shared" si="27"/>
        <v>186.33333333333334</v>
      </c>
      <c r="O62" s="114">
        <f t="shared" si="28"/>
        <v>173.66666666666666</v>
      </c>
      <c r="P62" s="114">
        <f t="shared" si="29"/>
        <v>215</v>
      </c>
      <c r="Q62" s="114">
        <f t="shared" si="30"/>
        <v>430</v>
      </c>
      <c r="R62" s="150"/>
      <c r="S62" s="48">
        <v>2040</v>
      </c>
      <c r="T62" s="114">
        <v>0</v>
      </c>
      <c r="U62" s="114">
        <v>1.9169991284981123</v>
      </c>
      <c r="V62" s="114">
        <f t="shared" si="31"/>
        <v>140.33333333333334</v>
      </c>
      <c r="W62" s="114">
        <f t="shared" si="32"/>
        <v>127.16666666666667</v>
      </c>
      <c r="X62" s="114">
        <f t="shared" si="33"/>
        <v>176</v>
      </c>
      <c r="Y62" s="114">
        <f t="shared" si="34"/>
        <v>352</v>
      </c>
      <c r="Z62" s="150"/>
      <c r="AA62" s="48">
        <v>2040</v>
      </c>
      <c r="AB62" s="114">
        <v>0</v>
      </c>
      <c r="AC62" s="114">
        <v>1.9169991284981123</v>
      </c>
      <c r="AD62" s="114">
        <f t="shared" si="35"/>
        <v>75</v>
      </c>
      <c r="AE62" s="114">
        <f t="shared" si="36"/>
        <v>61</v>
      </c>
      <c r="AF62" s="114">
        <f t="shared" si="37"/>
        <v>119</v>
      </c>
      <c r="AG62" s="114">
        <f t="shared" si="38"/>
        <v>238</v>
      </c>
      <c r="AH62" s="150"/>
      <c r="AI62" s="48">
        <v>2040</v>
      </c>
      <c r="AJ62" s="114">
        <v>0</v>
      </c>
      <c r="AK62" s="114">
        <v>1.9169991284981123</v>
      </c>
      <c r="AL62" s="114">
        <f t="shared" si="39"/>
        <v>214</v>
      </c>
      <c r="AM62" s="114">
        <f t="shared" si="40"/>
        <v>202</v>
      </c>
      <c r="AN62" s="114">
        <f t="shared" si="41"/>
        <v>238</v>
      </c>
      <c r="AO62" s="114">
        <f t="shared" si="42"/>
        <v>476</v>
      </c>
      <c r="AP62" s="150"/>
      <c r="AQ62" s="48">
        <v>2040</v>
      </c>
      <c r="AR62" s="114">
        <v>0</v>
      </c>
      <c r="AS62" s="114">
        <v>1.9169991284981123</v>
      </c>
      <c r="AT62" s="114">
        <f t="shared" si="43"/>
        <v>99.666666666666657</v>
      </c>
      <c r="AU62" s="114">
        <f t="shared" si="44"/>
        <v>87.833333333333329</v>
      </c>
      <c r="AV62" s="114">
        <f t="shared" si="45"/>
        <v>134</v>
      </c>
      <c r="AW62" s="114">
        <f t="shared" si="46"/>
        <v>268</v>
      </c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150"/>
      <c r="GF62" s="150"/>
      <c r="GG62" s="150"/>
      <c r="GH62" s="150"/>
      <c r="GI62" s="150"/>
      <c r="GJ62" s="150"/>
      <c r="GK62" s="150"/>
      <c r="GL62" s="150"/>
      <c r="GM62" s="150"/>
      <c r="GN62" s="150"/>
      <c r="GO62" s="150"/>
      <c r="GP62" s="150"/>
      <c r="GQ62" s="150"/>
      <c r="GR62" s="150"/>
      <c r="GS62" s="150"/>
      <c r="GT62" s="150"/>
      <c r="GU62" s="150"/>
      <c r="GV62" s="150"/>
      <c r="GW62" s="150"/>
      <c r="GX62" s="150"/>
      <c r="GY62" s="150"/>
      <c r="GZ62" s="150"/>
      <c r="HA62" s="150"/>
      <c r="HB62" s="150"/>
      <c r="HC62" s="150"/>
      <c r="HD62" s="150"/>
      <c r="HE62" s="150"/>
      <c r="HF62" s="150"/>
      <c r="HG62" s="150"/>
      <c r="HH62" s="150"/>
      <c r="HI62" s="150"/>
      <c r="HJ62" s="150"/>
      <c r="HK62" s="150"/>
      <c r="HL62" s="150"/>
      <c r="HM62" s="150"/>
      <c r="HN62" s="150"/>
      <c r="HO62" s="150"/>
      <c r="HP62" s="150"/>
      <c r="HQ62" s="150"/>
      <c r="HR62" s="150"/>
      <c r="HS62" s="150"/>
      <c r="HT62" s="150"/>
      <c r="HU62" s="150"/>
      <c r="HV62" s="150"/>
      <c r="HW62" s="150"/>
      <c r="HX62" s="150"/>
      <c r="HY62" s="150"/>
      <c r="HZ62" s="150"/>
      <c r="IA62" s="150"/>
      <c r="IB62" s="150"/>
      <c r="IC62" s="150"/>
      <c r="ID62" s="150"/>
      <c r="IE62" s="150"/>
      <c r="IF62" s="150"/>
      <c r="IG62" s="150"/>
      <c r="IH62" s="150"/>
      <c r="II62" s="150"/>
      <c r="IJ62" s="150"/>
      <c r="IK62" s="150"/>
      <c r="IL62" s="150"/>
      <c r="IM62" s="150"/>
      <c r="IN62" s="150"/>
      <c r="IO62" s="150"/>
      <c r="IP62" s="150"/>
      <c r="IQ62" s="150"/>
      <c r="IR62" s="150"/>
      <c r="IS62" s="150"/>
      <c r="IT62" s="150"/>
      <c r="IU62" s="150"/>
      <c r="IV62" s="150"/>
      <c r="IW62" s="150"/>
      <c r="IX62" s="150"/>
      <c r="IY62" s="150"/>
      <c r="IZ62" s="150"/>
      <c r="JA62" s="150"/>
      <c r="JB62" s="150"/>
      <c r="JC62" s="150"/>
      <c r="JD62" s="150"/>
      <c r="JE62" s="150"/>
      <c r="JF62" s="150"/>
      <c r="JG62" s="150"/>
      <c r="JH62" s="150"/>
      <c r="JI62" s="150"/>
      <c r="JJ62" s="150"/>
      <c r="JK62" s="150"/>
      <c r="JL62" s="150"/>
      <c r="JM62" s="150"/>
      <c r="JN62" s="150"/>
      <c r="JO62" s="150"/>
      <c r="JP62" s="150"/>
      <c r="JQ62" s="150"/>
      <c r="JR62" s="150"/>
      <c r="JS62" s="150"/>
      <c r="JT62" s="150"/>
      <c r="JU62" s="150"/>
      <c r="JV62" s="150"/>
      <c r="JW62" s="150"/>
      <c r="JX62" s="150"/>
      <c r="JY62" s="150"/>
      <c r="JZ62" s="150"/>
      <c r="KA62" s="150"/>
      <c r="KB62" s="150"/>
      <c r="KC62" s="150"/>
      <c r="KD62" s="150"/>
      <c r="KE62" s="150"/>
      <c r="KF62" s="150"/>
      <c r="KG62" s="150"/>
      <c r="KH62" s="150"/>
      <c r="KI62" s="150"/>
      <c r="KJ62" s="150"/>
      <c r="KK62" s="150"/>
      <c r="KL62" s="150"/>
      <c r="KM62" s="150"/>
      <c r="KN62" s="150"/>
      <c r="KO62" s="150"/>
      <c r="KP62" s="150"/>
      <c r="KQ62" s="150"/>
      <c r="KR62" s="150"/>
      <c r="KS62" s="150"/>
      <c r="KT62" s="150"/>
      <c r="KU62" s="150"/>
      <c r="KV62" s="150"/>
      <c r="KW62" s="150"/>
      <c r="KX62" s="150"/>
      <c r="KY62" s="150"/>
      <c r="KZ62" s="150"/>
      <c r="LA62" s="150"/>
      <c r="LB62" s="150"/>
      <c r="LC62" s="150"/>
      <c r="LD62" s="150"/>
      <c r="LE62" s="150"/>
      <c r="LF62" s="150"/>
      <c r="LG62" s="150"/>
      <c r="LH62" s="150"/>
      <c r="LI62" s="150"/>
      <c r="LJ62" s="150"/>
      <c r="LK62" s="150"/>
      <c r="LL62" s="150"/>
      <c r="LM62" s="150"/>
      <c r="LN62" s="150"/>
      <c r="LO62" s="150"/>
      <c r="LP62" s="150"/>
      <c r="LQ62" s="150"/>
      <c r="LR62" s="150"/>
      <c r="LS62" s="150"/>
      <c r="LT62" s="150"/>
      <c r="LU62" s="150"/>
      <c r="LV62" s="150"/>
      <c r="LW62" s="150"/>
      <c r="LX62" s="150"/>
      <c r="LY62" s="150"/>
      <c r="LZ62" s="150"/>
      <c r="MA62" s="150"/>
      <c r="MB62" s="150"/>
      <c r="MC62" s="150"/>
      <c r="MD62" s="150"/>
      <c r="ME62" s="150"/>
      <c r="MF62" s="150"/>
      <c r="MG62" s="150"/>
      <c r="MH62" s="150"/>
      <c r="MI62" s="150"/>
      <c r="MJ62" s="150"/>
      <c r="MK62" s="150"/>
      <c r="ML62" s="150"/>
      <c r="MM62" s="150"/>
      <c r="MN62" s="150"/>
      <c r="MO62" s="150"/>
      <c r="MP62" s="150"/>
      <c r="MQ62" s="150"/>
      <c r="MR62" s="150"/>
      <c r="MS62" s="150"/>
      <c r="MT62" s="150"/>
      <c r="MU62" s="150"/>
      <c r="MV62" s="150"/>
      <c r="MW62" s="150"/>
      <c r="MX62" s="150"/>
      <c r="MY62" s="150"/>
      <c r="MZ62" s="150"/>
      <c r="NA62" s="150"/>
      <c r="NB62" s="150"/>
      <c r="NC62" s="150"/>
      <c r="ND62" s="150"/>
      <c r="NE62" s="150"/>
      <c r="NF62" s="150"/>
      <c r="NG62" s="150"/>
      <c r="NH62" s="150"/>
      <c r="NI62" s="150"/>
      <c r="NJ62" s="150"/>
      <c r="NK62" s="150"/>
      <c r="NL62" s="150"/>
      <c r="NM62" s="150"/>
      <c r="NN62" s="150"/>
      <c r="NO62" s="150"/>
      <c r="NP62" s="150"/>
      <c r="NQ62" s="150"/>
      <c r="NR62" s="150"/>
      <c r="NS62" s="150"/>
      <c r="NT62" s="150"/>
      <c r="NU62" s="150"/>
      <c r="NV62" s="150"/>
      <c r="NW62" s="150"/>
      <c r="NX62" s="150"/>
      <c r="NY62" s="150"/>
      <c r="NZ62" s="150"/>
      <c r="OA62" s="150"/>
      <c r="OB62" s="150"/>
      <c r="OC62" s="150"/>
      <c r="OD62" s="150"/>
      <c r="OE62" s="150"/>
    </row>
    <row r="63" spans="1:395">
      <c r="A63" s="19"/>
      <c r="B63" s="17"/>
      <c r="C63" s="48">
        <v>2041</v>
      </c>
      <c r="D63" s="114">
        <v>0</v>
      </c>
      <c r="E63" s="114">
        <v>1.776730899583616</v>
      </c>
      <c r="F63" s="114">
        <f t="shared" si="24"/>
        <v>239.33333333333334</v>
      </c>
      <c r="G63" s="114">
        <f t="shared" si="25"/>
        <v>225.66666666666666</v>
      </c>
      <c r="H63" s="114">
        <f t="shared" si="26"/>
        <v>267</v>
      </c>
      <c r="I63" s="114">
        <f t="shared" si="47"/>
        <v>534</v>
      </c>
      <c r="J63" s="150"/>
      <c r="K63" s="48">
        <v>2041</v>
      </c>
      <c r="L63" s="114">
        <v>0</v>
      </c>
      <c r="M63" s="114">
        <v>1.776730899583616</v>
      </c>
      <c r="N63" s="114">
        <f t="shared" si="27"/>
        <v>173.33333333333334</v>
      </c>
      <c r="O63" s="114">
        <f t="shared" si="28"/>
        <v>161.66666666666666</v>
      </c>
      <c r="P63" s="114">
        <f t="shared" si="29"/>
        <v>201</v>
      </c>
      <c r="Q63" s="114">
        <f t="shared" si="30"/>
        <v>402</v>
      </c>
      <c r="R63" s="150"/>
      <c r="S63" s="48">
        <v>2041</v>
      </c>
      <c r="T63" s="114">
        <v>0</v>
      </c>
      <c r="U63" s="114">
        <v>1.776730899583616</v>
      </c>
      <c r="V63" s="114">
        <f t="shared" si="31"/>
        <v>130.66666666666666</v>
      </c>
      <c r="W63" s="114">
        <f t="shared" si="32"/>
        <v>118.33333333333333</v>
      </c>
      <c r="X63" s="114">
        <f t="shared" si="33"/>
        <v>164</v>
      </c>
      <c r="Y63" s="114">
        <f t="shared" si="34"/>
        <v>328</v>
      </c>
      <c r="Z63" s="150"/>
      <c r="AA63" s="48">
        <v>2041</v>
      </c>
      <c r="AB63" s="114">
        <v>0</v>
      </c>
      <c r="AC63" s="114">
        <v>1.776730899583616</v>
      </c>
      <c r="AD63" s="114">
        <f t="shared" si="35"/>
        <v>70</v>
      </c>
      <c r="AE63" s="114">
        <f t="shared" si="36"/>
        <v>57</v>
      </c>
      <c r="AF63" s="114">
        <f t="shared" si="37"/>
        <v>111</v>
      </c>
      <c r="AG63" s="114">
        <f t="shared" si="38"/>
        <v>222</v>
      </c>
      <c r="AH63" s="150"/>
      <c r="AI63" s="48">
        <v>2041</v>
      </c>
      <c r="AJ63" s="114">
        <v>0</v>
      </c>
      <c r="AK63" s="114">
        <v>1.776730899583616</v>
      </c>
      <c r="AL63" s="114">
        <f t="shared" si="39"/>
        <v>199.33333333333334</v>
      </c>
      <c r="AM63" s="114">
        <f t="shared" si="40"/>
        <v>188.16666666666666</v>
      </c>
      <c r="AN63" s="114">
        <f t="shared" si="41"/>
        <v>222</v>
      </c>
      <c r="AO63" s="114">
        <f t="shared" si="42"/>
        <v>444</v>
      </c>
      <c r="AP63" s="150"/>
      <c r="AQ63" s="48">
        <v>2041</v>
      </c>
      <c r="AR63" s="114">
        <v>0</v>
      </c>
      <c r="AS63" s="114">
        <v>1.776730899583616</v>
      </c>
      <c r="AT63" s="114">
        <f t="shared" si="43"/>
        <v>93</v>
      </c>
      <c r="AU63" s="114">
        <f t="shared" si="44"/>
        <v>82</v>
      </c>
      <c r="AV63" s="114">
        <f t="shared" si="45"/>
        <v>125</v>
      </c>
      <c r="AW63" s="114">
        <f t="shared" si="46"/>
        <v>250</v>
      </c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  <c r="DT63" s="150"/>
      <c r="DU63" s="150"/>
      <c r="DV63" s="150"/>
      <c r="DW63" s="150"/>
      <c r="DX63" s="150"/>
      <c r="DY63" s="150"/>
      <c r="DZ63" s="150"/>
      <c r="EA63" s="150"/>
      <c r="EB63" s="150"/>
      <c r="EC63" s="150"/>
      <c r="ED63" s="150"/>
      <c r="EE63" s="150"/>
      <c r="EF63" s="150"/>
      <c r="EG63" s="150"/>
      <c r="EH63" s="150"/>
      <c r="EI63" s="150"/>
      <c r="EJ63" s="150"/>
      <c r="EK63" s="150"/>
      <c r="EL63" s="150"/>
      <c r="EM63" s="150"/>
      <c r="EN63" s="150"/>
      <c r="EO63" s="150"/>
      <c r="EP63" s="150"/>
      <c r="EQ63" s="150"/>
      <c r="ER63" s="150"/>
      <c r="ES63" s="150"/>
      <c r="ET63" s="150"/>
      <c r="EU63" s="150"/>
      <c r="EV63" s="150"/>
      <c r="EW63" s="150"/>
      <c r="EX63" s="150"/>
      <c r="EY63" s="150"/>
      <c r="EZ63" s="150"/>
      <c r="FA63" s="150"/>
      <c r="FB63" s="150"/>
      <c r="FC63" s="150"/>
      <c r="FD63" s="150"/>
      <c r="FE63" s="150"/>
      <c r="FF63" s="150"/>
      <c r="FG63" s="150"/>
      <c r="FH63" s="150"/>
      <c r="FI63" s="150"/>
      <c r="FJ63" s="150"/>
      <c r="FK63" s="150"/>
      <c r="FL63" s="150"/>
      <c r="FM63" s="150"/>
      <c r="FN63" s="150"/>
      <c r="FO63" s="150"/>
      <c r="FP63" s="150"/>
      <c r="FQ63" s="150"/>
      <c r="FR63" s="150"/>
      <c r="FS63" s="150"/>
      <c r="FT63" s="150"/>
      <c r="FU63" s="150"/>
      <c r="FV63" s="150"/>
      <c r="FW63" s="150"/>
      <c r="FX63" s="150"/>
      <c r="FY63" s="150"/>
      <c r="FZ63" s="150"/>
      <c r="GA63" s="150"/>
      <c r="GB63" s="150"/>
      <c r="GC63" s="150"/>
      <c r="GD63" s="150"/>
      <c r="GE63" s="150"/>
      <c r="GF63" s="150"/>
      <c r="GG63" s="150"/>
      <c r="GH63" s="150"/>
      <c r="GI63" s="150"/>
      <c r="GJ63" s="150"/>
      <c r="GK63" s="150"/>
      <c r="GL63" s="150"/>
      <c r="GM63" s="150"/>
      <c r="GN63" s="150"/>
      <c r="GO63" s="150"/>
      <c r="GP63" s="150"/>
      <c r="GQ63" s="150"/>
      <c r="GR63" s="150"/>
      <c r="GS63" s="150"/>
      <c r="GT63" s="150"/>
      <c r="GU63" s="150"/>
      <c r="GV63" s="150"/>
      <c r="GW63" s="150"/>
      <c r="GX63" s="150"/>
      <c r="GY63" s="150"/>
      <c r="GZ63" s="150"/>
      <c r="HA63" s="150"/>
      <c r="HB63" s="150"/>
      <c r="HC63" s="150"/>
      <c r="HD63" s="150"/>
      <c r="HE63" s="150"/>
      <c r="HF63" s="150"/>
      <c r="HG63" s="150"/>
      <c r="HH63" s="150"/>
      <c r="HI63" s="150"/>
      <c r="HJ63" s="150"/>
      <c r="HK63" s="150"/>
      <c r="HL63" s="150"/>
      <c r="HM63" s="150"/>
      <c r="HN63" s="150"/>
      <c r="HO63" s="150"/>
      <c r="HP63" s="150"/>
      <c r="HQ63" s="150"/>
      <c r="HR63" s="150"/>
      <c r="HS63" s="150"/>
      <c r="HT63" s="150"/>
      <c r="HU63" s="150"/>
      <c r="HV63" s="150"/>
      <c r="HW63" s="150"/>
      <c r="HX63" s="150"/>
      <c r="HY63" s="150"/>
      <c r="HZ63" s="150"/>
      <c r="IA63" s="150"/>
      <c r="IB63" s="150"/>
      <c r="IC63" s="150"/>
      <c r="ID63" s="150"/>
      <c r="IE63" s="150"/>
      <c r="IF63" s="150"/>
      <c r="IG63" s="150"/>
      <c r="IH63" s="150"/>
      <c r="II63" s="150"/>
      <c r="IJ63" s="150"/>
      <c r="IK63" s="150"/>
      <c r="IL63" s="150"/>
      <c r="IM63" s="150"/>
      <c r="IN63" s="150"/>
      <c r="IO63" s="150"/>
      <c r="IP63" s="150"/>
      <c r="IQ63" s="150"/>
      <c r="IR63" s="150"/>
      <c r="IS63" s="150"/>
      <c r="IT63" s="150"/>
      <c r="IU63" s="150"/>
      <c r="IV63" s="150"/>
      <c r="IW63" s="150"/>
      <c r="IX63" s="150"/>
      <c r="IY63" s="150"/>
      <c r="IZ63" s="150"/>
      <c r="JA63" s="150"/>
      <c r="JB63" s="150"/>
      <c r="JC63" s="150"/>
      <c r="JD63" s="150"/>
      <c r="JE63" s="150"/>
      <c r="JF63" s="150"/>
      <c r="JG63" s="150"/>
      <c r="JH63" s="150"/>
      <c r="JI63" s="150"/>
      <c r="JJ63" s="150"/>
      <c r="JK63" s="150"/>
      <c r="JL63" s="150"/>
      <c r="JM63" s="150"/>
      <c r="JN63" s="150"/>
      <c r="JO63" s="150"/>
      <c r="JP63" s="150"/>
      <c r="JQ63" s="150"/>
      <c r="JR63" s="150"/>
      <c r="JS63" s="150"/>
      <c r="JT63" s="150"/>
      <c r="JU63" s="150"/>
      <c r="JV63" s="150"/>
      <c r="JW63" s="150"/>
      <c r="JX63" s="150"/>
      <c r="JY63" s="150"/>
      <c r="JZ63" s="150"/>
      <c r="KA63" s="150"/>
      <c r="KB63" s="150"/>
      <c r="KC63" s="150"/>
      <c r="KD63" s="150"/>
      <c r="KE63" s="150"/>
      <c r="KF63" s="150"/>
      <c r="KG63" s="150"/>
      <c r="KH63" s="150"/>
      <c r="KI63" s="150"/>
      <c r="KJ63" s="150"/>
      <c r="KK63" s="150"/>
      <c r="KL63" s="150"/>
      <c r="KM63" s="150"/>
      <c r="KN63" s="150"/>
      <c r="KO63" s="150"/>
      <c r="KP63" s="150"/>
      <c r="KQ63" s="150"/>
      <c r="KR63" s="150"/>
      <c r="KS63" s="150"/>
      <c r="KT63" s="150"/>
      <c r="KU63" s="150"/>
      <c r="KV63" s="150"/>
      <c r="KW63" s="150"/>
      <c r="KX63" s="150"/>
      <c r="KY63" s="150"/>
      <c r="KZ63" s="150"/>
      <c r="LA63" s="150"/>
      <c r="LB63" s="150"/>
      <c r="LC63" s="150"/>
      <c r="LD63" s="150"/>
      <c r="LE63" s="150"/>
      <c r="LF63" s="150"/>
      <c r="LG63" s="150"/>
      <c r="LH63" s="150"/>
      <c r="LI63" s="150"/>
      <c r="LJ63" s="150"/>
      <c r="LK63" s="150"/>
      <c r="LL63" s="150"/>
      <c r="LM63" s="150"/>
      <c r="LN63" s="150"/>
      <c r="LO63" s="150"/>
      <c r="LP63" s="150"/>
      <c r="LQ63" s="150"/>
      <c r="LR63" s="150"/>
      <c r="LS63" s="150"/>
      <c r="LT63" s="150"/>
      <c r="LU63" s="150"/>
      <c r="LV63" s="150"/>
      <c r="LW63" s="150"/>
      <c r="LX63" s="150"/>
      <c r="LY63" s="150"/>
      <c r="LZ63" s="150"/>
      <c r="MA63" s="150"/>
      <c r="MB63" s="150"/>
      <c r="MC63" s="150"/>
      <c r="MD63" s="150"/>
      <c r="ME63" s="150"/>
      <c r="MF63" s="150"/>
      <c r="MG63" s="150"/>
      <c r="MH63" s="150"/>
      <c r="MI63" s="150"/>
      <c r="MJ63" s="150"/>
      <c r="MK63" s="150"/>
      <c r="ML63" s="150"/>
      <c r="MM63" s="150"/>
      <c r="MN63" s="150"/>
      <c r="MO63" s="150"/>
      <c r="MP63" s="150"/>
      <c r="MQ63" s="150"/>
      <c r="MR63" s="150"/>
      <c r="MS63" s="150"/>
      <c r="MT63" s="150"/>
      <c r="MU63" s="150"/>
      <c r="MV63" s="150"/>
      <c r="MW63" s="150"/>
      <c r="MX63" s="150"/>
      <c r="MY63" s="150"/>
      <c r="MZ63" s="150"/>
      <c r="NA63" s="150"/>
      <c r="NB63" s="150"/>
      <c r="NC63" s="150"/>
      <c r="ND63" s="150"/>
      <c r="NE63" s="150"/>
      <c r="NF63" s="150"/>
      <c r="NG63" s="150"/>
      <c r="NH63" s="150"/>
      <c r="NI63" s="150"/>
      <c r="NJ63" s="150"/>
      <c r="NK63" s="150"/>
      <c r="NL63" s="150"/>
      <c r="NM63" s="150"/>
      <c r="NN63" s="150"/>
      <c r="NO63" s="150"/>
      <c r="NP63" s="150"/>
      <c r="NQ63" s="150"/>
      <c r="NR63" s="150"/>
      <c r="NS63" s="150"/>
      <c r="NT63" s="150"/>
      <c r="NU63" s="150"/>
      <c r="NV63" s="150"/>
      <c r="NW63" s="150"/>
      <c r="NX63" s="150"/>
      <c r="NY63" s="150"/>
      <c r="NZ63" s="150"/>
      <c r="OA63" s="150"/>
      <c r="OB63" s="150"/>
      <c r="OC63" s="150"/>
      <c r="OD63" s="150"/>
      <c r="OE63" s="150"/>
    </row>
    <row r="64" spans="1:395">
      <c r="A64" s="19"/>
      <c r="B64" s="17"/>
      <c r="C64" s="48">
        <v>2042</v>
      </c>
      <c r="D64" s="114">
        <v>0</v>
      </c>
      <c r="E64" s="114">
        <v>1.6364626706691203</v>
      </c>
      <c r="F64" s="114">
        <f t="shared" si="24"/>
        <v>222.33333333333334</v>
      </c>
      <c r="G64" s="114">
        <f t="shared" si="25"/>
        <v>209.66666666666666</v>
      </c>
      <c r="H64" s="114">
        <f t="shared" si="26"/>
        <v>248</v>
      </c>
      <c r="I64" s="114">
        <f t="shared" si="47"/>
        <v>496</v>
      </c>
      <c r="J64" s="150"/>
      <c r="K64" s="48">
        <v>2042</v>
      </c>
      <c r="L64" s="114">
        <v>0</v>
      </c>
      <c r="M64" s="114">
        <v>1.6364626706691203</v>
      </c>
      <c r="N64" s="114">
        <f t="shared" si="27"/>
        <v>162</v>
      </c>
      <c r="O64" s="114">
        <f t="shared" si="28"/>
        <v>151</v>
      </c>
      <c r="P64" s="114">
        <f t="shared" si="29"/>
        <v>187</v>
      </c>
      <c r="Q64" s="114">
        <f t="shared" si="30"/>
        <v>374</v>
      </c>
      <c r="R64" s="150"/>
      <c r="S64" s="48">
        <v>2042</v>
      </c>
      <c r="T64" s="114">
        <v>0</v>
      </c>
      <c r="U64" s="114">
        <v>1.6364626706691203</v>
      </c>
      <c r="V64" s="114">
        <f t="shared" si="31"/>
        <v>122</v>
      </c>
      <c r="W64" s="114">
        <f t="shared" si="32"/>
        <v>110.5</v>
      </c>
      <c r="X64" s="114">
        <f t="shared" si="33"/>
        <v>152</v>
      </c>
      <c r="Y64" s="114">
        <f t="shared" si="34"/>
        <v>304</v>
      </c>
      <c r="Z64" s="150"/>
      <c r="AA64" s="48">
        <v>2042</v>
      </c>
      <c r="AB64" s="114">
        <v>0</v>
      </c>
      <c r="AC64" s="114">
        <v>1.6364626706691203</v>
      </c>
      <c r="AD64" s="114">
        <f t="shared" si="35"/>
        <v>65.333333333333329</v>
      </c>
      <c r="AE64" s="114">
        <f t="shared" si="36"/>
        <v>53.166666666666664</v>
      </c>
      <c r="AF64" s="114">
        <f t="shared" si="37"/>
        <v>104</v>
      </c>
      <c r="AG64" s="114">
        <f t="shared" si="38"/>
        <v>208</v>
      </c>
      <c r="AH64" s="150"/>
      <c r="AI64" s="48">
        <v>2042</v>
      </c>
      <c r="AJ64" s="114">
        <v>0</v>
      </c>
      <c r="AK64" s="114">
        <v>1.6364626706691203</v>
      </c>
      <c r="AL64" s="114">
        <f t="shared" si="39"/>
        <v>184.66666666666666</v>
      </c>
      <c r="AM64" s="114">
        <f t="shared" si="40"/>
        <v>174.33333333333334</v>
      </c>
      <c r="AN64" s="114">
        <f t="shared" si="41"/>
        <v>206</v>
      </c>
      <c r="AO64" s="114">
        <f t="shared" si="42"/>
        <v>412</v>
      </c>
      <c r="AP64" s="150"/>
      <c r="AQ64" s="48">
        <v>2042</v>
      </c>
      <c r="AR64" s="114">
        <v>0</v>
      </c>
      <c r="AS64" s="114">
        <v>1.6364626706691203</v>
      </c>
      <c r="AT64" s="114">
        <f t="shared" si="43"/>
        <v>86.666666666666657</v>
      </c>
      <c r="AU64" s="114">
        <f t="shared" si="44"/>
        <v>76.333333333333329</v>
      </c>
      <c r="AV64" s="114">
        <f t="shared" si="45"/>
        <v>116</v>
      </c>
      <c r="AW64" s="114">
        <f t="shared" si="46"/>
        <v>232</v>
      </c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  <c r="EC64" s="150"/>
      <c r="ED64" s="150"/>
      <c r="EE64" s="150"/>
      <c r="EF64" s="150"/>
      <c r="EG64" s="150"/>
      <c r="EH64" s="150"/>
      <c r="EI64" s="150"/>
      <c r="EJ64" s="150"/>
      <c r="EK64" s="150"/>
      <c r="EL64" s="150"/>
      <c r="EM64" s="150"/>
      <c r="EN64" s="150"/>
      <c r="EO64" s="150"/>
      <c r="EP64" s="150"/>
      <c r="EQ64" s="150"/>
      <c r="ER64" s="150"/>
      <c r="ES64" s="150"/>
      <c r="ET64" s="150"/>
      <c r="EU64" s="150"/>
      <c r="EV64" s="150"/>
      <c r="EW64" s="150"/>
      <c r="EX64" s="150"/>
      <c r="EY64" s="150"/>
      <c r="EZ64" s="150"/>
      <c r="FA64" s="150"/>
      <c r="FB64" s="150"/>
      <c r="FC64" s="150"/>
      <c r="FD64" s="150"/>
      <c r="FE64" s="150"/>
      <c r="FF64" s="150"/>
      <c r="FG64" s="150"/>
      <c r="FH64" s="150"/>
      <c r="FI64" s="150"/>
      <c r="FJ64" s="150"/>
      <c r="FK64" s="150"/>
      <c r="FL64" s="150"/>
      <c r="FM64" s="150"/>
      <c r="FN64" s="150"/>
      <c r="FO64" s="150"/>
      <c r="FP64" s="150"/>
      <c r="FQ64" s="150"/>
      <c r="FR64" s="150"/>
      <c r="FS64" s="150"/>
      <c r="FT64" s="150"/>
      <c r="FU64" s="150"/>
      <c r="FV64" s="150"/>
      <c r="FW64" s="150"/>
      <c r="FX64" s="150"/>
      <c r="FY64" s="150"/>
      <c r="FZ64" s="150"/>
      <c r="GA64" s="150"/>
      <c r="GB64" s="150"/>
      <c r="GC64" s="150"/>
      <c r="GD64" s="150"/>
      <c r="GE64" s="150"/>
      <c r="GF64" s="150"/>
      <c r="GG64" s="150"/>
      <c r="GH64" s="150"/>
      <c r="GI64" s="150"/>
      <c r="GJ64" s="150"/>
      <c r="GK64" s="150"/>
      <c r="GL64" s="150"/>
      <c r="GM64" s="150"/>
      <c r="GN64" s="150"/>
      <c r="GO64" s="150"/>
      <c r="GP64" s="150"/>
      <c r="GQ64" s="150"/>
      <c r="GR64" s="150"/>
      <c r="GS64" s="150"/>
      <c r="GT64" s="150"/>
      <c r="GU64" s="150"/>
      <c r="GV64" s="150"/>
      <c r="GW64" s="150"/>
      <c r="GX64" s="150"/>
      <c r="GY64" s="150"/>
      <c r="GZ64" s="150"/>
      <c r="HA64" s="150"/>
      <c r="HB64" s="150"/>
      <c r="HC64" s="150"/>
      <c r="HD64" s="150"/>
      <c r="HE64" s="150"/>
      <c r="HF64" s="150"/>
      <c r="HG64" s="150"/>
      <c r="HH64" s="150"/>
      <c r="HI64" s="150"/>
      <c r="HJ64" s="150"/>
      <c r="HK64" s="150"/>
      <c r="HL64" s="150"/>
      <c r="HM64" s="150"/>
      <c r="HN64" s="150"/>
      <c r="HO64" s="150"/>
      <c r="HP64" s="150"/>
      <c r="HQ64" s="150"/>
      <c r="HR64" s="150"/>
      <c r="HS64" s="150"/>
      <c r="HT64" s="150"/>
      <c r="HU64" s="150"/>
      <c r="HV64" s="150"/>
      <c r="HW64" s="150"/>
      <c r="HX64" s="150"/>
      <c r="HY64" s="150"/>
      <c r="HZ64" s="150"/>
      <c r="IA64" s="150"/>
      <c r="IB64" s="150"/>
      <c r="IC64" s="150"/>
      <c r="ID64" s="150"/>
      <c r="IE64" s="150"/>
      <c r="IF64" s="150"/>
      <c r="IG64" s="150"/>
      <c r="IH64" s="150"/>
      <c r="II64" s="150"/>
      <c r="IJ64" s="150"/>
      <c r="IK64" s="150"/>
      <c r="IL64" s="150"/>
      <c r="IM64" s="150"/>
      <c r="IN64" s="150"/>
      <c r="IO64" s="150"/>
      <c r="IP64" s="150"/>
      <c r="IQ64" s="150"/>
      <c r="IR64" s="150"/>
      <c r="IS64" s="150"/>
      <c r="IT64" s="150"/>
      <c r="IU64" s="150"/>
      <c r="IV64" s="150"/>
      <c r="IW64" s="150"/>
      <c r="IX64" s="150"/>
      <c r="IY64" s="150"/>
      <c r="IZ64" s="150"/>
      <c r="JA64" s="150"/>
      <c r="JB64" s="150"/>
      <c r="JC64" s="150"/>
      <c r="JD64" s="150"/>
      <c r="JE64" s="150"/>
      <c r="JF64" s="150"/>
      <c r="JG64" s="150"/>
      <c r="JH64" s="150"/>
      <c r="JI64" s="150"/>
      <c r="JJ64" s="150"/>
      <c r="JK64" s="150"/>
      <c r="JL64" s="150"/>
      <c r="JM64" s="150"/>
      <c r="JN64" s="150"/>
      <c r="JO64" s="150"/>
      <c r="JP64" s="150"/>
      <c r="JQ64" s="150"/>
      <c r="JR64" s="150"/>
      <c r="JS64" s="150"/>
      <c r="JT64" s="150"/>
      <c r="JU64" s="150"/>
      <c r="JV64" s="150"/>
      <c r="JW64" s="150"/>
      <c r="JX64" s="150"/>
      <c r="JY64" s="150"/>
      <c r="JZ64" s="150"/>
      <c r="KA64" s="150"/>
      <c r="KB64" s="150"/>
      <c r="KC64" s="150"/>
      <c r="KD64" s="150"/>
      <c r="KE64" s="150"/>
      <c r="KF64" s="150"/>
      <c r="KG64" s="150"/>
      <c r="KH64" s="150"/>
      <c r="KI64" s="150"/>
      <c r="KJ64" s="150"/>
      <c r="KK64" s="150"/>
      <c r="KL64" s="150"/>
      <c r="KM64" s="150"/>
      <c r="KN64" s="150"/>
      <c r="KO64" s="150"/>
      <c r="KP64" s="150"/>
      <c r="KQ64" s="150"/>
      <c r="KR64" s="150"/>
      <c r="KS64" s="150"/>
      <c r="KT64" s="150"/>
      <c r="KU64" s="150"/>
      <c r="KV64" s="150"/>
      <c r="KW64" s="150"/>
      <c r="KX64" s="150"/>
      <c r="KY64" s="150"/>
      <c r="KZ64" s="150"/>
      <c r="LA64" s="150"/>
      <c r="LB64" s="150"/>
      <c r="LC64" s="150"/>
      <c r="LD64" s="150"/>
      <c r="LE64" s="150"/>
      <c r="LF64" s="150"/>
      <c r="LG64" s="150"/>
      <c r="LH64" s="150"/>
      <c r="LI64" s="150"/>
      <c r="LJ64" s="150"/>
      <c r="LK64" s="150"/>
      <c r="LL64" s="150"/>
      <c r="LM64" s="150"/>
      <c r="LN64" s="150"/>
      <c r="LO64" s="150"/>
      <c r="LP64" s="150"/>
      <c r="LQ64" s="150"/>
      <c r="LR64" s="150"/>
      <c r="LS64" s="150"/>
      <c r="LT64" s="150"/>
      <c r="LU64" s="150"/>
      <c r="LV64" s="150"/>
      <c r="LW64" s="150"/>
      <c r="LX64" s="150"/>
      <c r="LY64" s="150"/>
      <c r="LZ64" s="150"/>
      <c r="MA64" s="150"/>
      <c r="MB64" s="150"/>
      <c r="MC64" s="150"/>
      <c r="MD64" s="150"/>
      <c r="ME64" s="150"/>
      <c r="MF64" s="150"/>
      <c r="MG64" s="150"/>
      <c r="MH64" s="150"/>
      <c r="MI64" s="150"/>
      <c r="MJ64" s="150"/>
      <c r="MK64" s="150"/>
      <c r="ML64" s="150"/>
      <c r="MM64" s="150"/>
      <c r="MN64" s="150"/>
      <c r="MO64" s="150"/>
      <c r="MP64" s="150"/>
      <c r="MQ64" s="150"/>
      <c r="MR64" s="150"/>
      <c r="MS64" s="150"/>
      <c r="MT64" s="150"/>
      <c r="MU64" s="150"/>
      <c r="MV64" s="150"/>
      <c r="MW64" s="150"/>
      <c r="MX64" s="150"/>
      <c r="MY64" s="150"/>
      <c r="MZ64" s="150"/>
      <c r="NA64" s="150"/>
      <c r="NB64" s="150"/>
      <c r="NC64" s="150"/>
      <c r="ND64" s="150"/>
      <c r="NE64" s="150"/>
      <c r="NF64" s="150"/>
      <c r="NG64" s="150"/>
      <c r="NH64" s="150"/>
      <c r="NI64" s="150"/>
      <c r="NJ64" s="150"/>
      <c r="NK64" s="150"/>
      <c r="NL64" s="150"/>
      <c r="NM64" s="150"/>
      <c r="NN64" s="150"/>
      <c r="NO64" s="150"/>
      <c r="NP64" s="150"/>
      <c r="NQ64" s="150"/>
      <c r="NR64" s="150"/>
      <c r="NS64" s="150"/>
      <c r="NT64" s="150"/>
      <c r="NU64" s="150"/>
      <c r="NV64" s="150"/>
      <c r="NW64" s="150"/>
      <c r="NX64" s="150"/>
      <c r="NY64" s="150"/>
      <c r="NZ64" s="150"/>
      <c r="OA64" s="150"/>
      <c r="OB64" s="150"/>
      <c r="OC64" s="150"/>
      <c r="OD64" s="150"/>
      <c r="OE64" s="150"/>
    </row>
    <row r="65" spans="1:395">
      <c r="A65" s="19"/>
      <c r="B65" s="17"/>
      <c r="C65" s="48">
        <v>2043</v>
      </c>
      <c r="D65" s="114">
        <v>0</v>
      </c>
      <c r="E65" s="114">
        <v>1.4961944417546242</v>
      </c>
      <c r="F65" s="114">
        <f t="shared" si="24"/>
        <v>205.33333333333334</v>
      </c>
      <c r="G65" s="114">
        <f t="shared" si="25"/>
        <v>193.66666666666666</v>
      </c>
      <c r="H65" s="114">
        <f t="shared" si="26"/>
        <v>229</v>
      </c>
      <c r="I65" s="114">
        <f t="shared" si="47"/>
        <v>458</v>
      </c>
      <c r="J65" s="150"/>
      <c r="K65" s="48">
        <v>2043</v>
      </c>
      <c r="L65" s="114">
        <v>0</v>
      </c>
      <c r="M65" s="114">
        <v>1.4961944417546242</v>
      </c>
      <c r="N65" s="114">
        <f t="shared" si="27"/>
        <v>149</v>
      </c>
      <c r="O65" s="114">
        <f t="shared" si="28"/>
        <v>139</v>
      </c>
      <c r="P65" s="114">
        <f t="shared" si="29"/>
        <v>172</v>
      </c>
      <c r="Q65" s="114">
        <f t="shared" si="30"/>
        <v>344</v>
      </c>
      <c r="R65" s="150"/>
      <c r="S65" s="48">
        <v>2043</v>
      </c>
      <c r="T65" s="114">
        <v>0</v>
      </c>
      <c r="U65" s="114">
        <v>1.4961944417546242</v>
      </c>
      <c r="V65" s="114">
        <f t="shared" si="31"/>
        <v>112.33333333333333</v>
      </c>
      <c r="W65" s="114">
        <f t="shared" si="32"/>
        <v>101.66666666666667</v>
      </c>
      <c r="X65" s="114">
        <f t="shared" si="33"/>
        <v>141</v>
      </c>
      <c r="Y65" s="114">
        <f t="shared" si="34"/>
        <v>282</v>
      </c>
      <c r="Z65" s="150"/>
      <c r="AA65" s="48">
        <v>2043</v>
      </c>
      <c r="AB65" s="114">
        <v>0</v>
      </c>
      <c r="AC65" s="114">
        <v>1.4961944417546242</v>
      </c>
      <c r="AD65" s="114">
        <f t="shared" si="35"/>
        <v>60.333333333333329</v>
      </c>
      <c r="AE65" s="114">
        <f t="shared" si="36"/>
        <v>49.166666666666664</v>
      </c>
      <c r="AF65" s="114">
        <f t="shared" si="37"/>
        <v>96</v>
      </c>
      <c r="AG65" s="114">
        <f t="shared" si="38"/>
        <v>192</v>
      </c>
      <c r="AH65" s="150"/>
      <c r="AI65" s="48">
        <v>2043</v>
      </c>
      <c r="AJ65" s="114">
        <v>0</v>
      </c>
      <c r="AK65" s="114">
        <v>1.4961944417546242</v>
      </c>
      <c r="AL65" s="114">
        <f t="shared" si="39"/>
        <v>171.33333333333334</v>
      </c>
      <c r="AM65" s="114">
        <f t="shared" si="40"/>
        <v>161.66666666666666</v>
      </c>
      <c r="AN65" s="114">
        <f t="shared" si="41"/>
        <v>190</v>
      </c>
      <c r="AO65" s="114">
        <f t="shared" si="42"/>
        <v>380</v>
      </c>
      <c r="AP65" s="150"/>
      <c r="AQ65" s="48">
        <v>2043</v>
      </c>
      <c r="AR65" s="114">
        <v>0</v>
      </c>
      <c r="AS65" s="114">
        <v>1.4961944417546242</v>
      </c>
      <c r="AT65" s="114">
        <f t="shared" si="43"/>
        <v>80</v>
      </c>
      <c r="AU65" s="114">
        <f t="shared" si="44"/>
        <v>70.5</v>
      </c>
      <c r="AV65" s="114">
        <f t="shared" si="45"/>
        <v>107</v>
      </c>
      <c r="AW65" s="114">
        <f t="shared" si="46"/>
        <v>214</v>
      </c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  <c r="CM65" s="150"/>
      <c r="CN65" s="150"/>
      <c r="CO65" s="150"/>
      <c r="CP65" s="150"/>
      <c r="CQ65" s="150"/>
      <c r="CR65" s="150"/>
      <c r="CS65" s="150"/>
      <c r="CT65" s="150"/>
      <c r="CU65" s="150"/>
      <c r="CV65" s="150"/>
      <c r="CW65" s="150"/>
      <c r="CX65" s="150"/>
      <c r="CY65" s="150"/>
      <c r="CZ65" s="150"/>
      <c r="DA65" s="150"/>
      <c r="DB65" s="150"/>
      <c r="DC65" s="150"/>
      <c r="DD65" s="150"/>
      <c r="DE65" s="150"/>
      <c r="DF65" s="150"/>
      <c r="DG65" s="150"/>
      <c r="DH65" s="150"/>
      <c r="DI65" s="150"/>
      <c r="DJ65" s="150"/>
      <c r="DK65" s="150"/>
      <c r="DL65" s="150"/>
      <c r="DM65" s="150"/>
      <c r="DN65" s="150"/>
      <c r="DO65" s="150"/>
      <c r="DP65" s="150"/>
      <c r="DQ65" s="150"/>
      <c r="DR65" s="150"/>
      <c r="DS65" s="150"/>
      <c r="DT65" s="150"/>
      <c r="DU65" s="150"/>
      <c r="DV65" s="150"/>
      <c r="DW65" s="150"/>
      <c r="DX65" s="150"/>
      <c r="DY65" s="150"/>
      <c r="DZ65" s="150"/>
      <c r="EA65" s="150"/>
      <c r="EB65" s="150"/>
      <c r="EC65" s="150"/>
      <c r="ED65" s="150"/>
      <c r="EE65" s="150"/>
      <c r="EF65" s="150"/>
      <c r="EG65" s="150"/>
      <c r="EH65" s="150"/>
      <c r="EI65" s="150"/>
      <c r="EJ65" s="150"/>
      <c r="EK65" s="150"/>
      <c r="EL65" s="150"/>
      <c r="EM65" s="150"/>
      <c r="EN65" s="150"/>
      <c r="EO65" s="150"/>
      <c r="EP65" s="150"/>
      <c r="EQ65" s="150"/>
      <c r="ER65" s="150"/>
      <c r="ES65" s="150"/>
      <c r="ET65" s="150"/>
      <c r="EU65" s="150"/>
      <c r="EV65" s="150"/>
      <c r="EW65" s="150"/>
      <c r="EX65" s="150"/>
      <c r="EY65" s="150"/>
      <c r="EZ65" s="150"/>
      <c r="FA65" s="150"/>
      <c r="FB65" s="150"/>
      <c r="FC65" s="150"/>
      <c r="FD65" s="150"/>
      <c r="FE65" s="150"/>
      <c r="FF65" s="150"/>
      <c r="FG65" s="150"/>
      <c r="FH65" s="150"/>
      <c r="FI65" s="150"/>
      <c r="FJ65" s="150"/>
      <c r="FK65" s="150"/>
      <c r="FL65" s="150"/>
      <c r="FM65" s="150"/>
      <c r="FN65" s="150"/>
      <c r="FO65" s="150"/>
      <c r="FP65" s="150"/>
      <c r="FQ65" s="150"/>
      <c r="FR65" s="150"/>
      <c r="FS65" s="150"/>
      <c r="FT65" s="150"/>
      <c r="FU65" s="150"/>
      <c r="FV65" s="150"/>
      <c r="FW65" s="150"/>
      <c r="FX65" s="150"/>
      <c r="FY65" s="150"/>
      <c r="FZ65" s="150"/>
      <c r="GA65" s="150"/>
      <c r="GB65" s="150"/>
      <c r="GC65" s="150"/>
      <c r="GD65" s="150"/>
      <c r="GE65" s="150"/>
      <c r="GF65" s="150"/>
      <c r="GG65" s="150"/>
      <c r="GH65" s="150"/>
      <c r="GI65" s="150"/>
      <c r="GJ65" s="150"/>
      <c r="GK65" s="150"/>
      <c r="GL65" s="150"/>
      <c r="GM65" s="150"/>
      <c r="GN65" s="150"/>
      <c r="GO65" s="150"/>
      <c r="GP65" s="150"/>
      <c r="GQ65" s="150"/>
      <c r="GR65" s="150"/>
      <c r="GS65" s="150"/>
      <c r="GT65" s="150"/>
      <c r="GU65" s="150"/>
      <c r="GV65" s="150"/>
      <c r="GW65" s="150"/>
      <c r="GX65" s="150"/>
      <c r="GY65" s="150"/>
      <c r="GZ65" s="150"/>
      <c r="HA65" s="150"/>
      <c r="HB65" s="150"/>
      <c r="HC65" s="150"/>
      <c r="HD65" s="150"/>
      <c r="HE65" s="150"/>
      <c r="HF65" s="150"/>
      <c r="HG65" s="150"/>
      <c r="HH65" s="150"/>
      <c r="HI65" s="150"/>
      <c r="HJ65" s="150"/>
      <c r="HK65" s="150"/>
      <c r="HL65" s="150"/>
      <c r="HM65" s="150"/>
      <c r="HN65" s="150"/>
      <c r="HO65" s="150"/>
      <c r="HP65" s="150"/>
      <c r="HQ65" s="150"/>
      <c r="HR65" s="150"/>
      <c r="HS65" s="150"/>
      <c r="HT65" s="150"/>
      <c r="HU65" s="150"/>
      <c r="HV65" s="150"/>
      <c r="HW65" s="150"/>
      <c r="HX65" s="150"/>
      <c r="HY65" s="150"/>
      <c r="HZ65" s="150"/>
      <c r="IA65" s="150"/>
      <c r="IB65" s="150"/>
      <c r="IC65" s="150"/>
      <c r="ID65" s="150"/>
      <c r="IE65" s="150"/>
      <c r="IF65" s="150"/>
      <c r="IG65" s="150"/>
      <c r="IH65" s="150"/>
      <c r="II65" s="150"/>
      <c r="IJ65" s="150"/>
      <c r="IK65" s="150"/>
      <c r="IL65" s="150"/>
      <c r="IM65" s="150"/>
      <c r="IN65" s="150"/>
      <c r="IO65" s="150"/>
      <c r="IP65" s="150"/>
      <c r="IQ65" s="150"/>
      <c r="IR65" s="150"/>
      <c r="IS65" s="150"/>
      <c r="IT65" s="150"/>
      <c r="IU65" s="150"/>
      <c r="IV65" s="150"/>
      <c r="IW65" s="150"/>
      <c r="IX65" s="150"/>
      <c r="IY65" s="150"/>
      <c r="IZ65" s="150"/>
      <c r="JA65" s="150"/>
      <c r="JB65" s="150"/>
      <c r="JC65" s="150"/>
      <c r="JD65" s="150"/>
      <c r="JE65" s="150"/>
      <c r="JF65" s="150"/>
      <c r="JG65" s="150"/>
      <c r="JH65" s="150"/>
      <c r="JI65" s="150"/>
      <c r="JJ65" s="150"/>
      <c r="JK65" s="150"/>
      <c r="JL65" s="150"/>
      <c r="JM65" s="150"/>
      <c r="JN65" s="150"/>
      <c r="JO65" s="150"/>
      <c r="JP65" s="150"/>
      <c r="JQ65" s="150"/>
      <c r="JR65" s="150"/>
      <c r="JS65" s="150"/>
      <c r="JT65" s="150"/>
      <c r="JU65" s="150"/>
      <c r="JV65" s="150"/>
      <c r="JW65" s="150"/>
      <c r="JX65" s="150"/>
      <c r="JY65" s="150"/>
      <c r="JZ65" s="150"/>
      <c r="KA65" s="150"/>
      <c r="KB65" s="150"/>
      <c r="KC65" s="150"/>
      <c r="KD65" s="150"/>
      <c r="KE65" s="150"/>
      <c r="KF65" s="150"/>
      <c r="KG65" s="150"/>
      <c r="KH65" s="150"/>
      <c r="KI65" s="150"/>
      <c r="KJ65" s="150"/>
      <c r="KK65" s="150"/>
      <c r="KL65" s="150"/>
      <c r="KM65" s="150"/>
      <c r="KN65" s="150"/>
      <c r="KO65" s="150"/>
      <c r="KP65" s="150"/>
      <c r="KQ65" s="150"/>
      <c r="KR65" s="150"/>
      <c r="KS65" s="150"/>
      <c r="KT65" s="150"/>
      <c r="KU65" s="150"/>
      <c r="KV65" s="150"/>
      <c r="KW65" s="150"/>
      <c r="KX65" s="150"/>
      <c r="KY65" s="150"/>
      <c r="KZ65" s="150"/>
      <c r="LA65" s="150"/>
      <c r="LB65" s="150"/>
      <c r="LC65" s="150"/>
      <c r="LD65" s="150"/>
      <c r="LE65" s="150"/>
      <c r="LF65" s="150"/>
      <c r="LG65" s="150"/>
      <c r="LH65" s="150"/>
      <c r="LI65" s="150"/>
      <c r="LJ65" s="150"/>
      <c r="LK65" s="150"/>
      <c r="LL65" s="150"/>
      <c r="LM65" s="150"/>
      <c r="LN65" s="150"/>
      <c r="LO65" s="150"/>
      <c r="LP65" s="150"/>
      <c r="LQ65" s="150"/>
      <c r="LR65" s="150"/>
      <c r="LS65" s="150"/>
      <c r="LT65" s="150"/>
      <c r="LU65" s="150"/>
      <c r="LV65" s="150"/>
      <c r="LW65" s="150"/>
      <c r="LX65" s="150"/>
      <c r="LY65" s="150"/>
      <c r="LZ65" s="150"/>
      <c r="MA65" s="150"/>
      <c r="MB65" s="150"/>
      <c r="MC65" s="150"/>
      <c r="MD65" s="150"/>
      <c r="ME65" s="150"/>
      <c r="MF65" s="150"/>
      <c r="MG65" s="150"/>
      <c r="MH65" s="150"/>
      <c r="MI65" s="150"/>
      <c r="MJ65" s="150"/>
      <c r="MK65" s="150"/>
      <c r="ML65" s="150"/>
      <c r="MM65" s="150"/>
      <c r="MN65" s="150"/>
      <c r="MO65" s="150"/>
      <c r="MP65" s="150"/>
      <c r="MQ65" s="150"/>
      <c r="MR65" s="150"/>
      <c r="MS65" s="150"/>
      <c r="MT65" s="150"/>
      <c r="MU65" s="150"/>
      <c r="MV65" s="150"/>
      <c r="MW65" s="150"/>
      <c r="MX65" s="150"/>
      <c r="MY65" s="150"/>
      <c r="MZ65" s="150"/>
      <c r="NA65" s="150"/>
      <c r="NB65" s="150"/>
      <c r="NC65" s="150"/>
      <c r="ND65" s="150"/>
      <c r="NE65" s="150"/>
      <c r="NF65" s="150"/>
      <c r="NG65" s="150"/>
      <c r="NH65" s="150"/>
      <c r="NI65" s="150"/>
      <c r="NJ65" s="150"/>
      <c r="NK65" s="150"/>
      <c r="NL65" s="150"/>
      <c r="NM65" s="150"/>
      <c r="NN65" s="150"/>
      <c r="NO65" s="150"/>
      <c r="NP65" s="150"/>
      <c r="NQ65" s="150"/>
      <c r="NR65" s="150"/>
      <c r="NS65" s="150"/>
      <c r="NT65" s="150"/>
      <c r="NU65" s="150"/>
      <c r="NV65" s="150"/>
      <c r="NW65" s="150"/>
      <c r="NX65" s="150"/>
      <c r="NY65" s="150"/>
      <c r="NZ65" s="150"/>
      <c r="OA65" s="150"/>
      <c r="OB65" s="150"/>
      <c r="OC65" s="150"/>
      <c r="OD65" s="150"/>
      <c r="OE65" s="150"/>
    </row>
    <row r="66" spans="1:395">
      <c r="A66" s="19"/>
      <c r="B66" s="17"/>
      <c r="C66" s="48">
        <v>2044</v>
      </c>
      <c r="D66" s="114">
        <v>0</v>
      </c>
      <c r="E66" s="114">
        <v>1.3559262128401279</v>
      </c>
      <c r="F66" s="114">
        <f t="shared" si="24"/>
        <v>188.33333333333334</v>
      </c>
      <c r="G66" s="114">
        <f t="shared" si="25"/>
        <v>177.66666666666666</v>
      </c>
      <c r="H66" s="114">
        <f t="shared" si="26"/>
        <v>210</v>
      </c>
      <c r="I66" s="114">
        <f t="shared" si="47"/>
        <v>420</v>
      </c>
      <c r="J66" s="150"/>
      <c r="K66" s="48">
        <v>2044</v>
      </c>
      <c r="L66" s="114">
        <v>0</v>
      </c>
      <c r="M66" s="114">
        <v>1.3559262128401279</v>
      </c>
      <c r="N66" s="114">
        <f t="shared" si="27"/>
        <v>136.33333333333334</v>
      </c>
      <c r="O66" s="114">
        <f t="shared" si="28"/>
        <v>127.16666666666667</v>
      </c>
      <c r="P66" s="114">
        <f t="shared" si="29"/>
        <v>158</v>
      </c>
      <c r="Q66" s="114">
        <f t="shared" si="30"/>
        <v>316</v>
      </c>
      <c r="R66" s="150"/>
      <c r="S66" s="48">
        <v>2044</v>
      </c>
      <c r="T66" s="114">
        <v>0</v>
      </c>
      <c r="U66" s="114">
        <v>1.3559262128401279</v>
      </c>
      <c r="V66" s="114">
        <f t="shared" si="31"/>
        <v>103.33333333333333</v>
      </c>
      <c r="W66" s="114">
        <f t="shared" si="32"/>
        <v>93.666666666666671</v>
      </c>
      <c r="X66" s="114">
        <f t="shared" si="33"/>
        <v>129</v>
      </c>
      <c r="Y66" s="114">
        <f t="shared" si="34"/>
        <v>258</v>
      </c>
      <c r="Z66" s="150"/>
      <c r="AA66" s="48">
        <v>2044</v>
      </c>
      <c r="AB66" s="114">
        <v>0</v>
      </c>
      <c r="AC66" s="114">
        <v>1.3559262128401279</v>
      </c>
      <c r="AD66" s="114">
        <f t="shared" si="35"/>
        <v>55.666666666666664</v>
      </c>
      <c r="AE66" s="114">
        <f t="shared" si="36"/>
        <v>45.333333333333329</v>
      </c>
      <c r="AF66" s="114">
        <f t="shared" si="37"/>
        <v>88</v>
      </c>
      <c r="AG66" s="114">
        <f t="shared" si="38"/>
        <v>176</v>
      </c>
      <c r="AH66" s="150"/>
      <c r="AI66" s="48">
        <v>2044</v>
      </c>
      <c r="AJ66" s="114">
        <v>0</v>
      </c>
      <c r="AK66" s="114">
        <v>1.3559262128401279</v>
      </c>
      <c r="AL66" s="114">
        <f t="shared" si="39"/>
        <v>156.66666666666666</v>
      </c>
      <c r="AM66" s="114">
        <f t="shared" si="40"/>
        <v>147.83333333333334</v>
      </c>
      <c r="AN66" s="114">
        <f t="shared" si="41"/>
        <v>175</v>
      </c>
      <c r="AO66" s="114">
        <f t="shared" si="42"/>
        <v>350</v>
      </c>
      <c r="AP66" s="150"/>
      <c r="AQ66" s="48">
        <v>2044</v>
      </c>
      <c r="AR66" s="114">
        <v>0</v>
      </c>
      <c r="AS66" s="114">
        <v>1.3559262128401279</v>
      </c>
      <c r="AT66" s="114">
        <f t="shared" si="43"/>
        <v>73.333333333333329</v>
      </c>
      <c r="AU66" s="114">
        <f t="shared" si="44"/>
        <v>64.666666666666671</v>
      </c>
      <c r="AV66" s="114">
        <f t="shared" si="45"/>
        <v>98</v>
      </c>
      <c r="AW66" s="114">
        <f t="shared" si="46"/>
        <v>196</v>
      </c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/>
      <c r="CV66" s="150"/>
      <c r="CW66" s="150"/>
      <c r="CX66" s="150"/>
      <c r="CY66" s="150"/>
      <c r="CZ66" s="150"/>
      <c r="DA66" s="150"/>
      <c r="DB66" s="150"/>
      <c r="DC66" s="150"/>
      <c r="DD66" s="150"/>
      <c r="DE66" s="150"/>
      <c r="DF66" s="150"/>
      <c r="DG66" s="150"/>
      <c r="DH66" s="150"/>
      <c r="DI66" s="150"/>
      <c r="DJ66" s="150"/>
      <c r="DK66" s="150"/>
      <c r="DL66" s="150"/>
      <c r="DM66" s="150"/>
      <c r="DN66" s="150"/>
      <c r="DO66" s="150"/>
      <c r="DP66" s="150"/>
      <c r="DQ66" s="150"/>
      <c r="DR66" s="150"/>
      <c r="DS66" s="150"/>
      <c r="DT66" s="150"/>
      <c r="DU66" s="150"/>
      <c r="DV66" s="150"/>
      <c r="DW66" s="150"/>
      <c r="DX66" s="150"/>
      <c r="DY66" s="150"/>
      <c r="DZ66" s="150"/>
      <c r="EA66" s="150"/>
      <c r="EB66" s="150"/>
      <c r="EC66" s="150"/>
      <c r="ED66" s="150"/>
      <c r="EE66" s="150"/>
      <c r="EF66" s="150"/>
      <c r="EG66" s="150"/>
      <c r="EH66" s="150"/>
      <c r="EI66" s="150"/>
      <c r="EJ66" s="150"/>
      <c r="EK66" s="150"/>
      <c r="EL66" s="150"/>
      <c r="EM66" s="150"/>
      <c r="EN66" s="150"/>
      <c r="EO66" s="150"/>
      <c r="EP66" s="150"/>
      <c r="EQ66" s="150"/>
      <c r="ER66" s="150"/>
      <c r="ES66" s="150"/>
      <c r="ET66" s="150"/>
      <c r="EU66" s="150"/>
      <c r="EV66" s="150"/>
      <c r="EW66" s="150"/>
      <c r="EX66" s="150"/>
      <c r="EY66" s="150"/>
      <c r="EZ66" s="150"/>
      <c r="FA66" s="150"/>
      <c r="FB66" s="150"/>
      <c r="FC66" s="150"/>
      <c r="FD66" s="150"/>
      <c r="FE66" s="150"/>
      <c r="FF66" s="150"/>
      <c r="FG66" s="150"/>
      <c r="FH66" s="150"/>
      <c r="FI66" s="150"/>
      <c r="FJ66" s="150"/>
      <c r="FK66" s="150"/>
      <c r="FL66" s="150"/>
      <c r="FM66" s="150"/>
      <c r="FN66" s="150"/>
      <c r="FO66" s="150"/>
      <c r="FP66" s="150"/>
      <c r="FQ66" s="150"/>
      <c r="FR66" s="150"/>
      <c r="FS66" s="150"/>
      <c r="FT66" s="150"/>
      <c r="FU66" s="150"/>
      <c r="FV66" s="150"/>
      <c r="FW66" s="150"/>
      <c r="FX66" s="150"/>
      <c r="FY66" s="150"/>
      <c r="FZ66" s="150"/>
      <c r="GA66" s="150"/>
      <c r="GB66" s="150"/>
      <c r="GC66" s="150"/>
      <c r="GD66" s="150"/>
      <c r="GE66" s="150"/>
      <c r="GF66" s="150"/>
      <c r="GG66" s="150"/>
      <c r="GH66" s="150"/>
      <c r="GI66" s="150"/>
      <c r="GJ66" s="150"/>
      <c r="GK66" s="150"/>
      <c r="GL66" s="150"/>
      <c r="GM66" s="150"/>
      <c r="GN66" s="150"/>
      <c r="GO66" s="150"/>
      <c r="GP66" s="150"/>
      <c r="GQ66" s="150"/>
      <c r="GR66" s="150"/>
      <c r="GS66" s="150"/>
      <c r="GT66" s="150"/>
      <c r="GU66" s="150"/>
      <c r="GV66" s="150"/>
      <c r="GW66" s="150"/>
      <c r="GX66" s="150"/>
      <c r="GY66" s="150"/>
      <c r="GZ66" s="150"/>
      <c r="HA66" s="150"/>
      <c r="HB66" s="150"/>
      <c r="HC66" s="150"/>
      <c r="HD66" s="150"/>
      <c r="HE66" s="150"/>
      <c r="HF66" s="150"/>
      <c r="HG66" s="150"/>
      <c r="HH66" s="150"/>
      <c r="HI66" s="150"/>
      <c r="HJ66" s="150"/>
      <c r="HK66" s="150"/>
      <c r="HL66" s="150"/>
      <c r="HM66" s="150"/>
      <c r="HN66" s="150"/>
      <c r="HO66" s="150"/>
      <c r="HP66" s="150"/>
      <c r="HQ66" s="150"/>
      <c r="HR66" s="150"/>
      <c r="HS66" s="150"/>
      <c r="HT66" s="150"/>
      <c r="HU66" s="150"/>
      <c r="HV66" s="150"/>
      <c r="HW66" s="150"/>
      <c r="HX66" s="150"/>
      <c r="HY66" s="150"/>
      <c r="HZ66" s="150"/>
      <c r="IA66" s="150"/>
      <c r="IB66" s="150"/>
      <c r="IC66" s="150"/>
      <c r="ID66" s="150"/>
      <c r="IE66" s="150"/>
      <c r="IF66" s="150"/>
      <c r="IG66" s="150"/>
      <c r="IH66" s="150"/>
      <c r="II66" s="150"/>
      <c r="IJ66" s="150"/>
      <c r="IK66" s="150"/>
      <c r="IL66" s="150"/>
      <c r="IM66" s="150"/>
      <c r="IN66" s="150"/>
      <c r="IO66" s="150"/>
      <c r="IP66" s="150"/>
      <c r="IQ66" s="150"/>
      <c r="IR66" s="150"/>
      <c r="IS66" s="150"/>
      <c r="IT66" s="150"/>
      <c r="IU66" s="150"/>
      <c r="IV66" s="150"/>
      <c r="IW66" s="150"/>
      <c r="IX66" s="150"/>
      <c r="IY66" s="150"/>
      <c r="IZ66" s="150"/>
      <c r="JA66" s="150"/>
      <c r="JB66" s="150"/>
      <c r="JC66" s="150"/>
      <c r="JD66" s="150"/>
      <c r="JE66" s="150"/>
      <c r="JF66" s="150"/>
      <c r="JG66" s="150"/>
      <c r="JH66" s="150"/>
      <c r="JI66" s="150"/>
      <c r="JJ66" s="150"/>
      <c r="JK66" s="150"/>
      <c r="JL66" s="150"/>
      <c r="JM66" s="150"/>
      <c r="JN66" s="150"/>
      <c r="JO66" s="150"/>
      <c r="JP66" s="150"/>
      <c r="JQ66" s="150"/>
      <c r="JR66" s="150"/>
      <c r="JS66" s="150"/>
      <c r="JT66" s="150"/>
      <c r="JU66" s="150"/>
      <c r="JV66" s="150"/>
      <c r="JW66" s="150"/>
      <c r="JX66" s="150"/>
      <c r="JY66" s="150"/>
      <c r="JZ66" s="150"/>
      <c r="KA66" s="150"/>
      <c r="KB66" s="150"/>
      <c r="KC66" s="150"/>
      <c r="KD66" s="150"/>
      <c r="KE66" s="150"/>
      <c r="KF66" s="150"/>
      <c r="KG66" s="150"/>
      <c r="KH66" s="150"/>
      <c r="KI66" s="150"/>
      <c r="KJ66" s="150"/>
      <c r="KK66" s="150"/>
      <c r="KL66" s="150"/>
      <c r="KM66" s="150"/>
      <c r="KN66" s="150"/>
      <c r="KO66" s="150"/>
      <c r="KP66" s="150"/>
      <c r="KQ66" s="150"/>
      <c r="KR66" s="150"/>
      <c r="KS66" s="150"/>
      <c r="KT66" s="150"/>
      <c r="KU66" s="150"/>
      <c r="KV66" s="150"/>
      <c r="KW66" s="150"/>
      <c r="KX66" s="150"/>
      <c r="KY66" s="150"/>
      <c r="KZ66" s="150"/>
      <c r="LA66" s="150"/>
      <c r="LB66" s="150"/>
      <c r="LC66" s="150"/>
      <c r="LD66" s="150"/>
      <c r="LE66" s="150"/>
      <c r="LF66" s="150"/>
      <c r="LG66" s="150"/>
      <c r="LH66" s="150"/>
      <c r="LI66" s="150"/>
      <c r="LJ66" s="150"/>
      <c r="LK66" s="150"/>
      <c r="LL66" s="150"/>
      <c r="LM66" s="150"/>
      <c r="LN66" s="150"/>
      <c r="LO66" s="150"/>
      <c r="LP66" s="150"/>
      <c r="LQ66" s="150"/>
      <c r="LR66" s="150"/>
      <c r="LS66" s="150"/>
      <c r="LT66" s="150"/>
      <c r="LU66" s="150"/>
      <c r="LV66" s="150"/>
      <c r="LW66" s="150"/>
      <c r="LX66" s="150"/>
      <c r="LY66" s="150"/>
      <c r="LZ66" s="150"/>
      <c r="MA66" s="150"/>
      <c r="MB66" s="150"/>
      <c r="MC66" s="150"/>
      <c r="MD66" s="150"/>
      <c r="ME66" s="150"/>
      <c r="MF66" s="150"/>
      <c r="MG66" s="150"/>
      <c r="MH66" s="150"/>
      <c r="MI66" s="150"/>
      <c r="MJ66" s="150"/>
      <c r="MK66" s="150"/>
      <c r="ML66" s="150"/>
      <c r="MM66" s="150"/>
      <c r="MN66" s="150"/>
      <c r="MO66" s="150"/>
      <c r="MP66" s="150"/>
      <c r="MQ66" s="150"/>
      <c r="MR66" s="150"/>
      <c r="MS66" s="150"/>
      <c r="MT66" s="150"/>
      <c r="MU66" s="150"/>
      <c r="MV66" s="150"/>
      <c r="MW66" s="150"/>
      <c r="MX66" s="150"/>
      <c r="MY66" s="150"/>
      <c r="MZ66" s="150"/>
      <c r="NA66" s="150"/>
      <c r="NB66" s="150"/>
      <c r="NC66" s="150"/>
      <c r="ND66" s="150"/>
      <c r="NE66" s="150"/>
      <c r="NF66" s="150"/>
      <c r="NG66" s="150"/>
      <c r="NH66" s="150"/>
      <c r="NI66" s="150"/>
      <c r="NJ66" s="150"/>
      <c r="NK66" s="150"/>
      <c r="NL66" s="150"/>
      <c r="NM66" s="150"/>
      <c r="NN66" s="150"/>
      <c r="NO66" s="150"/>
      <c r="NP66" s="150"/>
      <c r="NQ66" s="150"/>
      <c r="NR66" s="150"/>
      <c r="NS66" s="150"/>
      <c r="NT66" s="150"/>
      <c r="NU66" s="150"/>
      <c r="NV66" s="150"/>
      <c r="NW66" s="150"/>
      <c r="NX66" s="150"/>
      <c r="NY66" s="150"/>
      <c r="NZ66" s="150"/>
      <c r="OA66" s="150"/>
      <c r="OB66" s="150"/>
      <c r="OC66" s="150"/>
      <c r="OD66" s="150"/>
      <c r="OE66" s="150"/>
    </row>
    <row r="67" spans="1:395">
      <c r="A67" s="19"/>
      <c r="B67" s="17"/>
      <c r="C67" s="48">
        <v>2045</v>
      </c>
      <c r="D67" s="114">
        <v>0</v>
      </c>
      <c r="E67" s="114">
        <v>1.2156579839256321</v>
      </c>
      <c r="F67" s="114">
        <f t="shared" si="24"/>
        <v>171.33333333333334</v>
      </c>
      <c r="G67" s="114">
        <f t="shared" si="25"/>
        <v>161.66666666666666</v>
      </c>
      <c r="H67" s="114">
        <f t="shared" si="26"/>
        <v>191</v>
      </c>
      <c r="I67" s="114">
        <f t="shared" si="47"/>
        <v>382</v>
      </c>
      <c r="J67" s="150"/>
      <c r="K67" s="48">
        <v>2045</v>
      </c>
      <c r="L67" s="114">
        <v>0</v>
      </c>
      <c r="M67" s="114">
        <v>1.2156579839256321</v>
      </c>
      <c r="N67" s="114">
        <f t="shared" si="27"/>
        <v>124.66666666666666</v>
      </c>
      <c r="O67" s="114">
        <f t="shared" si="28"/>
        <v>116.33333333333333</v>
      </c>
      <c r="P67" s="114">
        <f t="shared" si="29"/>
        <v>144</v>
      </c>
      <c r="Q67" s="114">
        <f t="shared" si="30"/>
        <v>288</v>
      </c>
      <c r="R67" s="150"/>
      <c r="S67" s="48">
        <v>2045</v>
      </c>
      <c r="T67" s="114">
        <v>0</v>
      </c>
      <c r="U67" s="114">
        <v>1.2156579839256321</v>
      </c>
      <c r="V67" s="114">
        <f t="shared" si="31"/>
        <v>93.666666666666657</v>
      </c>
      <c r="W67" s="114">
        <f t="shared" si="32"/>
        <v>84.833333333333329</v>
      </c>
      <c r="X67" s="114">
        <f t="shared" si="33"/>
        <v>117</v>
      </c>
      <c r="Y67" s="114">
        <f t="shared" si="34"/>
        <v>234</v>
      </c>
      <c r="Z67" s="150"/>
      <c r="AA67" s="48">
        <v>2045</v>
      </c>
      <c r="AB67" s="114">
        <v>0</v>
      </c>
      <c r="AC67" s="114">
        <v>1.2156579839256321</v>
      </c>
      <c r="AD67" s="114">
        <f t="shared" si="35"/>
        <v>50.666666666666664</v>
      </c>
      <c r="AE67" s="114">
        <f t="shared" si="36"/>
        <v>41.333333333333329</v>
      </c>
      <c r="AF67" s="114">
        <f t="shared" si="37"/>
        <v>80</v>
      </c>
      <c r="AG67" s="114">
        <f t="shared" si="38"/>
        <v>160</v>
      </c>
      <c r="AH67" s="150"/>
      <c r="AI67" s="48">
        <v>2045</v>
      </c>
      <c r="AJ67" s="114">
        <v>0</v>
      </c>
      <c r="AK67" s="114">
        <v>1.2156579839256321</v>
      </c>
      <c r="AL67" s="114">
        <f t="shared" si="39"/>
        <v>142</v>
      </c>
      <c r="AM67" s="114">
        <f t="shared" si="40"/>
        <v>134</v>
      </c>
      <c r="AN67" s="114">
        <f t="shared" si="41"/>
        <v>159</v>
      </c>
      <c r="AO67" s="114">
        <f t="shared" si="42"/>
        <v>318</v>
      </c>
      <c r="AP67" s="150"/>
      <c r="AQ67" s="48">
        <v>2045</v>
      </c>
      <c r="AR67" s="114">
        <v>0</v>
      </c>
      <c r="AS67" s="114">
        <v>1.2156579839256321</v>
      </c>
      <c r="AT67" s="114">
        <f t="shared" si="43"/>
        <v>66.666666666666671</v>
      </c>
      <c r="AU67" s="114">
        <f t="shared" si="44"/>
        <v>58.833333333333336</v>
      </c>
      <c r="AV67" s="114">
        <f t="shared" si="45"/>
        <v>89</v>
      </c>
      <c r="AW67" s="114">
        <f t="shared" si="46"/>
        <v>178</v>
      </c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150"/>
      <c r="CX67" s="150"/>
      <c r="CY67" s="150"/>
      <c r="CZ67" s="150"/>
      <c r="DA67" s="150"/>
      <c r="DB67" s="150"/>
      <c r="DC67" s="150"/>
      <c r="DD67" s="150"/>
      <c r="DE67" s="150"/>
      <c r="DF67" s="150"/>
      <c r="DG67" s="150"/>
      <c r="DH67" s="150"/>
      <c r="DI67" s="150"/>
      <c r="DJ67" s="150"/>
      <c r="DK67" s="150"/>
      <c r="DL67" s="150"/>
      <c r="DM67" s="150"/>
      <c r="DN67" s="150"/>
      <c r="DO67" s="150"/>
      <c r="DP67" s="150"/>
      <c r="DQ67" s="150"/>
      <c r="DR67" s="150"/>
      <c r="DS67" s="150"/>
      <c r="DT67" s="150"/>
      <c r="DU67" s="150"/>
      <c r="DV67" s="150"/>
      <c r="DW67" s="150"/>
      <c r="DX67" s="150"/>
      <c r="DY67" s="150"/>
      <c r="DZ67" s="150"/>
      <c r="EA67" s="150"/>
      <c r="EB67" s="150"/>
      <c r="EC67" s="150"/>
      <c r="ED67" s="150"/>
      <c r="EE67" s="150"/>
      <c r="EF67" s="150"/>
      <c r="EG67" s="150"/>
      <c r="EH67" s="150"/>
      <c r="EI67" s="150"/>
      <c r="EJ67" s="150"/>
      <c r="EK67" s="150"/>
      <c r="EL67" s="150"/>
      <c r="EM67" s="150"/>
      <c r="EN67" s="150"/>
      <c r="EO67" s="150"/>
      <c r="EP67" s="150"/>
      <c r="EQ67" s="150"/>
      <c r="ER67" s="150"/>
      <c r="ES67" s="150"/>
      <c r="ET67" s="150"/>
      <c r="EU67" s="150"/>
      <c r="EV67" s="150"/>
      <c r="EW67" s="150"/>
      <c r="EX67" s="150"/>
      <c r="EY67" s="150"/>
      <c r="EZ67" s="150"/>
      <c r="FA67" s="150"/>
      <c r="FB67" s="150"/>
      <c r="FC67" s="150"/>
      <c r="FD67" s="150"/>
      <c r="FE67" s="150"/>
      <c r="FF67" s="150"/>
      <c r="FG67" s="150"/>
      <c r="FH67" s="150"/>
      <c r="FI67" s="150"/>
      <c r="FJ67" s="150"/>
      <c r="FK67" s="150"/>
      <c r="FL67" s="150"/>
      <c r="FM67" s="150"/>
      <c r="FN67" s="150"/>
      <c r="FO67" s="150"/>
      <c r="FP67" s="150"/>
      <c r="FQ67" s="150"/>
      <c r="FR67" s="150"/>
      <c r="FS67" s="150"/>
      <c r="FT67" s="150"/>
      <c r="FU67" s="150"/>
      <c r="FV67" s="150"/>
      <c r="FW67" s="150"/>
      <c r="FX67" s="150"/>
      <c r="FY67" s="150"/>
      <c r="FZ67" s="150"/>
      <c r="GA67" s="150"/>
      <c r="GB67" s="150"/>
      <c r="GC67" s="150"/>
      <c r="GD67" s="150"/>
      <c r="GE67" s="150"/>
      <c r="GF67" s="150"/>
      <c r="GG67" s="150"/>
      <c r="GH67" s="150"/>
      <c r="GI67" s="150"/>
      <c r="GJ67" s="150"/>
      <c r="GK67" s="150"/>
      <c r="GL67" s="150"/>
      <c r="GM67" s="150"/>
      <c r="GN67" s="150"/>
      <c r="GO67" s="150"/>
      <c r="GP67" s="150"/>
      <c r="GQ67" s="150"/>
      <c r="GR67" s="150"/>
      <c r="GS67" s="150"/>
      <c r="GT67" s="150"/>
      <c r="GU67" s="150"/>
      <c r="GV67" s="150"/>
      <c r="GW67" s="150"/>
      <c r="GX67" s="150"/>
      <c r="GY67" s="150"/>
      <c r="GZ67" s="150"/>
      <c r="HA67" s="150"/>
      <c r="HB67" s="150"/>
      <c r="HC67" s="150"/>
      <c r="HD67" s="150"/>
      <c r="HE67" s="150"/>
      <c r="HF67" s="150"/>
      <c r="HG67" s="150"/>
      <c r="HH67" s="150"/>
      <c r="HI67" s="150"/>
      <c r="HJ67" s="150"/>
      <c r="HK67" s="150"/>
      <c r="HL67" s="150"/>
      <c r="HM67" s="150"/>
      <c r="HN67" s="150"/>
      <c r="HO67" s="150"/>
      <c r="HP67" s="150"/>
      <c r="HQ67" s="150"/>
      <c r="HR67" s="150"/>
      <c r="HS67" s="150"/>
      <c r="HT67" s="150"/>
      <c r="HU67" s="150"/>
      <c r="HV67" s="150"/>
      <c r="HW67" s="150"/>
      <c r="HX67" s="150"/>
      <c r="HY67" s="150"/>
      <c r="HZ67" s="150"/>
      <c r="IA67" s="150"/>
      <c r="IB67" s="150"/>
      <c r="IC67" s="150"/>
      <c r="ID67" s="150"/>
      <c r="IE67" s="150"/>
      <c r="IF67" s="150"/>
      <c r="IG67" s="150"/>
      <c r="IH67" s="150"/>
      <c r="II67" s="150"/>
      <c r="IJ67" s="150"/>
      <c r="IK67" s="150"/>
      <c r="IL67" s="150"/>
      <c r="IM67" s="150"/>
      <c r="IN67" s="150"/>
      <c r="IO67" s="150"/>
      <c r="IP67" s="150"/>
      <c r="IQ67" s="150"/>
      <c r="IR67" s="150"/>
      <c r="IS67" s="150"/>
      <c r="IT67" s="150"/>
      <c r="IU67" s="150"/>
      <c r="IV67" s="150"/>
      <c r="IW67" s="150"/>
      <c r="IX67" s="150"/>
      <c r="IY67" s="150"/>
      <c r="IZ67" s="150"/>
      <c r="JA67" s="150"/>
      <c r="JB67" s="150"/>
      <c r="JC67" s="150"/>
      <c r="JD67" s="150"/>
      <c r="JE67" s="150"/>
      <c r="JF67" s="150"/>
      <c r="JG67" s="150"/>
      <c r="JH67" s="150"/>
      <c r="JI67" s="150"/>
      <c r="JJ67" s="150"/>
      <c r="JK67" s="150"/>
      <c r="JL67" s="150"/>
      <c r="JM67" s="150"/>
      <c r="JN67" s="150"/>
      <c r="JO67" s="150"/>
      <c r="JP67" s="150"/>
      <c r="JQ67" s="150"/>
      <c r="JR67" s="150"/>
      <c r="JS67" s="150"/>
      <c r="JT67" s="150"/>
      <c r="JU67" s="150"/>
      <c r="JV67" s="150"/>
      <c r="JW67" s="150"/>
      <c r="JX67" s="150"/>
      <c r="JY67" s="150"/>
      <c r="JZ67" s="150"/>
      <c r="KA67" s="150"/>
      <c r="KB67" s="150"/>
      <c r="KC67" s="150"/>
      <c r="KD67" s="150"/>
      <c r="KE67" s="150"/>
      <c r="KF67" s="150"/>
      <c r="KG67" s="150"/>
      <c r="KH67" s="150"/>
      <c r="KI67" s="150"/>
      <c r="KJ67" s="150"/>
      <c r="KK67" s="150"/>
      <c r="KL67" s="150"/>
      <c r="KM67" s="150"/>
      <c r="KN67" s="150"/>
      <c r="KO67" s="150"/>
      <c r="KP67" s="150"/>
      <c r="KQ67" s="150"/>
      <c r="KR67" s="150"/>
      <c r="KS67" s="150"/>
      <c r="KT67" s="150"/>
      <c r="KU67" s="150"/>
      <c r="KV67" s="150"/>
      <c r="KW67" s="150"/>
      <c r="KX67" s="150"/>
      <c r="KY67" s="150"/>
      <c r="KZ67" s="150"/>
      <c r="LA67" s="150"/>
      <c r="LB67" s="150"/>
      <c r="LC67" s="150"/>
      <c r="LD67" s="150"/>
      <c r="LE67" s="150"/>
      <c r="LF67" s="150"/>
      <c r="LG67" s="150"/>
      <c r="LH67" s="150"/>
      <c r="LI67" s="150"/>
      <c r="LJ67" s="150"/>
      <c r="LK67" s="150"/>
      <c r="LL67" s="150"/>
      <c r="LM67" s="150"/>
      <c r="LN67" s="150"/>
      <c r="LO67" s="150"/>
      <c r="LP67" s="150"/>
      <c r="LQ67" s="150"/>
      <c r="LR67" s="150"/>
      <c r="LS67" s="150"/>
      <c r="LT67" s="150"/>
      <c r="LU67" s="150"/>
      <c r="LV67" s="150"/>
      <c r="LW67" s="150"/>
      <c r="LX67" s="150"/>
      <c r="LY67" s="150"/>
      <c r="LZ67" s="150"/>
      <c r="MA67" s="150"/>
      <c r="MB67" s="150"/>
      <c r="MC67" s="150"/>
      <c r="MD67" s="150"/>
      <c r="ME67" s="150"/>
      <c r="MF67" s="150"/>
      <c r="MG67" s="150"/>
      <c r="MH67" s="150"/>
      <c r="MI67" s="150"/>
      <c r="MJ67" s="150"/>
      <c r="MK67" s="150"/>
      <c r="ML67" s="150"/>
      <c r="MM67" s="150"/>
      <c r="MN67" s="150"/>
      <c r="MO67" s="150"/>
      <c r="MP67" s="150"/>
      <c r="MQ67" s="150"/>
      <c r="MR67" s="150"/>
      <c r="MS67" s="150"/>
      <c r="MT67" s="150"/>
      <c r="MU67" s="150"/>
      <c r="MV67" s="150"/>
      <c r="MW67" s="150"/>
      <c r="MX67" s="150"/>
      <c r="MY67" s="150"/>
      <c r="MZ67" s="150"/>
      <c r="NA67" s="150"/>
      <c r="NB67" s="150"/>
      <c r="NC67" s="150"/>
      <c r="ND67" s="150"/>
      <c r="NE67" s="150"/>
      <c r="NF67" s="150"/>
      <c r="NG67" s="150"/>
      <c r="NH67" s="150"/>
      <c r="NI67" s="150"/>
      <c r="NJ67" s="150"/>
      <c r="NK67" s="150"/>
      <c r="NL67" s="150"/>
      <c r="NM67" s="150"/>
      <c r="NN67" s="150"/>
      <c r="NO67" s="150"/>
      <c r="NP67" s="150"/>
      <c r="NQ67" s="150"/>
      <c r="NR67" s="150"/>
      <c r="NS67" s="150"/>
      <c r="NT67" s="150"/>
      <c r="NU67" s="150"/>
      <c r="NV67" s="150"/>
      <c r="NW67" s="150"/>
      <c r="NX67" s="150"/>
      <c r="NY67" s="150"/>
      <c r="NZ67" s="150"/>
      <c r="OA67" s="150"/>
      <c r="OB67" s="150"/>
      <c r="OC67" s="150"/>
      <c r="OD67" s="150"/>
      <c r="OE67" s="150"/>
    </row>
    <row r="68" spans="1:395">
      <c r="A68" s="19"/>
      <c r="B68" s="17"/>
      <c r="C68" s="48">
        <v>2046</v>
      </c>
      <c r="D68" s="114">
        <v>0</v>
      </c>
      <c r="E68" s="114">
        <v>1.0909751137794133</v>
      </c>
      <c r="F68" s="114">
        <f t="shared" si="24"/>
        <v>154.33333333333334</v>
      </c>
      <c r="G68" s="114">
        <f t="shared" si="25"/>
        <v>145.66666666666666</v>
      </c>
      <c r="H68" s="114">
        <f t="shared" si="26"/>
        <v>172</v>
      </c>
      <c r="I68" s="114">
        <f t="shared" si="47"/>
        <v>344</v>
      </c>
      <c r="J68" s="150"/>
      <c r="K68" s="48">
        <v>2046</v>
      </c>
      <c r="L68" s="114">
        <v>0</v>
      </c>
      <c r="M68" s="114">
        <v>1.0909751137794133</v>
      </c>
      <c r="N68" s="114">
        <f t="shared" si="27"/>
        <v>112</v>
      </c>
      <c r="O68" s="114">
        <f t="shared" si="28"/>
        <v>104.5</v>
      </c>
      <c r="P68" s="114">
        <f t="shared" si="29"/>
        <v>129</v>
      </c>
      <c r="Q68" s="114">
        <f t="shared" si="30"/>
        <v>258</v>
      </c>
      <c r="R68" s="150"/>
      <c r="S68" s="48">
        <v>2046</v>
      </c>
      <c r="T68" s="114">
        <v>0</v>
      </c>
      <c r="U68" s="114">
        <v>1.0909751137794133</v>
      </c>
      <c r="V68" s="114">
        <f t="shared" si="31"/>
        <v>84</v>
      </c>
      <c r="W68" s="114">
        <f t="shared" si="32"/>
        <v>76</v>
      </c>
      <c r="X68" s="114">
        <f t="shared" si="33"/>
        <v>105</v>
      </c>
      <c r="Y68" s="114">
        <f t="shared" si="34"/>
        <v>210</v>
      </c>
      <c r="Z68" s="150"/>
      <c r="AA68" s="48">
        <v>2046</v>
      </c>
      <c r="AB68" s="114">
        <v>0</v>
      </c>
      <c r="AC68" s="114">
        <v>1.0909751137794133</v>
      </c>
      <c r="AD68" s="114">
        <f t="shared" si="35"/>
        <v>44.666666666666664</v>
      </c>
      <c r="AE68" s="114">
        <f t="shared" si="36"/>
        <v>36.333333333333329</v>
      </c>
      <c r="AF68" s="114">
        <f t="shared" si="37"/>
        <v>72</v>
      </c>
      <c r="AG68" s="114">
        <f t="shared" si="38"/>
        <v>144</v>
      </c>
      <c r="AH68" s="150"/>
      <c r="AI68" s="48">
        <v>2046</v>
      </c>
      <c r="AJ68" s="114">
        <v>0</v>
      </c>
      <c r="AK68" s="114">
        <v>1.0909751137794133</v>
      </c>
      <c r="AL68" s="114">
        <f t="shared" si="39"/>
        <v>128.33333333333334</v>
      </c>
      <c r="AM68" s="114">
        <f t="shared" si="40"/>
        <v>121.16666666666667</v>
      </c>
      <c r="AN68" s="114">
        <f t="shared" si="41"/>
        <v>143</v>
      </c>
      <c r="AO68" s="114">
        <f t="shared" si="42"/>
        <v>286</v>
      </c>
      <c r="AP68" s="150"/>
      <c r="AQ68" s="48">
        <v>2046</v>
      </c>
      <c r="AR68" s="114">
        <v>0</v>
      </c>
      <c r="AS68" s="114">
        <v>1.0909751137794133</v>
      </c>
      <c r="AT68" s="114">
        <f t="shared" si="43"/>
        <v>60.333333333333329</v>
      </c>
      <c r="AU68" s="114">
        <f t="shared" si="44"/>
        <v>53.166666666666664</v>
      </c>
      <c r="AV68" s="114">
        <f t="shared" si="45"/>
        <v>80</v>
      </c>
      <c r="AW68" s="114">
        <f t="shared" si="46"/>
        <v>160</v>
      </c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  <c r="CU68" s="150"/>
      <c r="CV68" s="150"/>
      <c r="CW68" s="150"/>
      <c r="CX68" s="150"/>
      <c r="CY68" s="150"/>
      <c r="CZ68" s="150"/>
      <c r="DA68" s="150"/>
      <c r="DB68" s="150"/>
      <c r="DC68" s="150"/>
      <c r="DD68" s="150"/>
      <c r="DE68" s="150"/>
      <c r="DF68" s="150"/>
      <c r="DG68" s="150"/>
      <c r="DH68" s="150"/>
      <c r="DI68" s="150"/>
      <c r="DJ68" s="150"/>
      <c r="DK68" s="150"/>
      <c r="DL68" s="150"/>
      <c r="DM68" s="150"/>
      <c r="DN68" s="150"/>
      <c r="DO68" s="150"/>
      <c r="DP68" s="150"/>
      <c r="DQ68" s="150"/>
      <c r="DR68" s="150"/>
      <c r="DS68" s="150"/>
      <c r="DT68" s="150"/>
      <c r="DU68" s="150"/>
      <c r="DV68" s="150"/>
      <c r="DW68" s="150"/>
      <c r="DX68" s="150"/>
      <c r="DY68" s="150"/>
      <c r="DZ68" s="150"/>
      <c r="EA68" s="150"/>
      <c r="EB68" s="150"/>
      <c r="EC68" s="150"/>
      <c r="ED68" s="150"/>
      <c r="EE68" s="150"/>
      <c r="EF68" s="150"/>
      <c r="EG68" s="150"/>
      <c r="EH68" s="150"/>
      <c r="EI68" s="150"/>
      <c r="EJ68" s="150"/>
      <c r="EK68" s="150"/>
      <c r="EL68" s="150"/>
      <c r="EM68" s="150"/>
      <c r="EN68" s="150"/>
      <c r="EO68" s="150"/>
      <c r="EP68" s="150"/>
      <c r="EQ68" s="150"/>
      <c r="ER68" s="150"/>
      <c r="ES68" s="150"/>
      <c r="ET68" s="150"/>
      <c r="EU68" s="150"/>
      <c r="EV68" s="150"/>
      <c r="EW68" s="150"/>
      <c r="EX68" s="150"/>
      <c r="EY68" s="150"/>
      <c r="EZ68" s="150"/>
      <c r="FA68" s="150"/>
      <c r="FB68" s="150"/>
      <c r="FC68" s="150"/>
      <c r="FD68" s="150"/>
      <c r="FE68" s="150"/>
      <c r="FF68" s="150"/>
      <c r="FG68" s="150"/>
      <c r="FH68" s="150"/>
      <c r="FI68" s="150"/>
      <c r="FJ68" s="150"/>
      <c r="FK68" s="150"/>
      <c r="FL68" s="150"/>
      <c r="FM68" s="150"/>
      <c r="FN68" s="150"/>
      <c r="FO68" s="150"/>
      <c r="FP68" s="150"/>
      <c r="FQ68" s="150"/>
      <c r="FR68" s="150"/>
      <c r="FS68" s="150"/>
      <c r="FT68" s="150"/>
      <c r="FU68" s="150"/>
      <c r="FV68" s="150"/>
      <c r="FW68" s="150"/>
      <c r="FX68" s="150"/>
      <c r="FY68" s="150"/>
      <c r="FZ68" s="150"/>
      <c r="GA68" s="150"/>
      <c r="GB68" s="150"/>
      <c r="GC68" s="150"/>
      <c r="GD68" s="150"/>
      <c r="GE68" s="150"/>
      <c r="GF68" s="150"/>
      <c r="GG68" s="150"/>
      <c r="GH68" s="150"/>
      <c r="GI68" s="150"/>
      <c r="GJ68" s="150"/>
      <c r="GK68" s="150"/>
      <c r="GL68" s="150"/>
      <c r="GM68" s="150"/>
      <c r="GN68" s="150"/>
      <c r="GO68" s="150"/>
      <c r="GP68" s="150"/>
      <c r="GQ68" s="150"/>
      <c r="GR68" s="150"/>
      <c r="GS68" s="150"/>
      <c r="GT68" s="150"/>
      <c r="GU68" s="150"/>
      <c r="GV68" s="150"/>
      <c r="GW68" s="150"/>
      <c r="GX68" s="150"/>
      <c r="GY68" s="150"/>
      <c r="GZ68" s="150"/>
      <c r="HA68" s="150"/>
      <c r="HB68" s="150"/>
      <c r="HC68" s="150"/>
      <c r="HD68" s="150"/>
      <c r="HE68" s="150"/>
      <c r="HF68" s="150"/>
      <c r="HG68" s="150"/>
      <c r="HH68" s="150"/>
      <c r="HI68" s="150"/>
      <c r="HJ68" s="150"/>
      <c r="HK68" s="150"/>
      <c r="HL68" s="150"/>
      <c r="HM68" s="150"/>
      <c r="HN68" s="150"/>
      <c r="HO68" s="150"/>
      <c r="HP68" s="150"/>
      <c r="HQ68" s="150"/>
      <c r="HR68" s="150"/>
      <c r="HS68" s="150"/>
      <c r="HT68" s="150"/>
      <c r="HU68" s="150"/>
      <c r="HV68" s="150"/>
      <c r="HW68" s="150"/>
      <c r="HX68" s="150"/>
      <c r="HY68" s="150"/>
      <c r="HZ68" s="150"/>
      <c r="IA68" s="150"/>
      <c r="IB68" s="150"/>
      <c r="IC68" s="150"/>
      <c r="ID68" s="150"/>
      <c r="IE68" s="150"/>
      <c r="IF68" s="150"/>
      <c r="IG68" s="150"/>
      <c r="IH68" s="150"/>
      <c r="II68" s="150"/>
      <c r="IJ68" s="150"/>
      <c r="IK68" s="150"/>
      <c r="IL68" s="150"/>
      <c r="IM68" s="150"/>
      <c r="IN68" s="150"/>
      <c r="IO68" s="150"/>
      <c r="IP68" s="150"/>
      <c r="IQ68" s="150"/>
      <c r="IR68" s="150"/>
      <c r="IS68" s="150"/>
      <c r="IT68" s="150"/>
      <c r="IU68" s="150"/>
      <c r="IV68" s="150"/>
      <c r="IW68" s="150"/>
      <c r="IX68" s="150"/>
      <c r="IY68" s="150"/>
      <c r="IZ68" s="150"/>
      <c r="JA68" s="150"/>
      <c r="JB68" s="150"/>
      <c r="JC68" s="150"/>
      <c r="JD68" s="150"/>
      <c r="JE68" s="150"/>
      <c r="JF68" s="150"/>
      <c r="JG68" s="150"/>
      <c r="JH68" s="150"/>
      <c r="JI68" s="150"/>
      <c r="JJ68" s="150"/>
      <c r="JK68" s="150"/>
      <c r="JL68" s="150"/>
      <c r="JM68" s="150"/>
      <c r="JN68" s="150"/>
      <c r="JO68" s="150"/>
      <c r="JP68" s="150"/>
      <c r="JQ68" s="150"/>
      <c r="JR68" s="150"/>
      <c r="JS68" s="150"/>
      <c r="JT68" s="150"/>
      <c r="JU68" s="150"/>
      <c r="JV68" s="150"/>
      <c r="JW68" s="150"/>
      <c r="JX68" s="150"/>
      <c r="JY68" s="150"/>
      <c r="JZ68" s="150"/>
      <c r="KA68" s="150"/>
      <c r="KB68" s="150"/>
      <c r="KC68" s="150"/>
      <c r="KD68" s="150"/>
      <c r="KE68" s="150"/>
      <c r="KF68" s="150"/>
      <c r="KG68" s="150"/>
      <c r="KH68" s="150"/>
      <c r="KI68" s="150"/>
      <c r="KJ68" s="150"/>
      <c r="KK68" s="150"/>
      <c r="KL68" s="150"/>
      <c r="KM68" s="150"/>
      <c r="KN68" s="150"/>
      <c r="KO68" s="150"/>
      <c r="KP68" s="150"/>
      <c r="KQ68" s="150"/>
      <c r="KR68" s="150"/>
      <c r="KS68" s="150"/>
      <c r="KT68" s="150"/>
      <c r="KU68" s="150"/>
      <c r="KV68" s="150"/>
      <c r="KW68" s="150"/>
      <c r="KX68" s="150"/>
      <c r="KY68" s="150"/>
      <c r="KZ68" s="150"/>
      <c r="LA68" s="150"/>
      <c r="LB68" s="150"/>
      <c r="LC68" s="150"/>
      <c r="LD68" s="150"/>
      <c r="LE68" s="150"/>
      <c r="LF68" s="150"/>
      <c r="LG68" s="150"/>
      <c r="LH68" s="150"/>
      <c r="LI68" s="150"/>
      <c r="LJ68" s="150"/>
      <c r="LK68" s="150"/>
      <c r="LL68" s="150"/>
      <c r="LM68" s="150"/>
      <c r="LN68" s="150"/>
      <c r="LO68" s="150"/>
      <c r="LP68" s="150"/>
      <c r="LQ68" s="150"/>
      <c r="LR68" s="150"/>
      <c r="LS68" s="150"/>
      <c r="LT68" s="150"/>
      <c r="LU68" s="150"/>
      <c r="LV68" s="150"/>
      <c r="LW68" s="150"/>
      <c r="LX68" s="150"/>
      <c r="LY68" s="150"/>
      <c r="LZ68" s="150"/>
      <c r="MA68" s="150"/>
      <c r="MB68" s="150"/>
      <c r="MC68" s="150"/>
      <c r="MD68" s="150"/>
      <c r="ME68" s="150"/>
      <c r="MF68" s="150"/>
      <c r="MG68" s="150"/>
      <c r="MH68" s="150"/>
      <c r="MI68" s="150"/>
      <c r="MJ68" s="150"/>
      <c r="MK68" s="150"/>
      <c r="ML68" s="150"/>
      <c r="MM68" s="150"/>
      <c r="MN68" s="150"/>
      <c r="MO68" s="150"/>
      <c r="MP68" s="150"/>
      <c r="MQ68" s="150"/>
      <c r="MR68" s="150"/>
      <c r="MS68" s="150"/>
      <c r="MT68" s="150"/>
      <c r="MU68" s="150"/>
      <c r="MV68" s="150"/>
      <c r="MW68" s="150"/>
      <c r="MX68" s="150"/>
      <c r="MY68" s="150"/>
      <c r="MZ68" s="150"/>
      <c r="NA68" s="150"/>
      <c r="NB68" s="150"/>
      <c r="NC68" s="150"/>
      <c r="ND68" s="150"/>
      <c r="NE68" s="150"/>
      <c r="NF68" s="150"/>
      <c r="NG68" s="150"/>
      <c r="NH68" s="150"/>
      <c r="NI68" s="150"/>
      <c r="NJ68" s="150"/>
      <c r="NK68" s="150"/>
      <c r="NL68" s="150"/>
      <c r="NM68" s="150"/>
      <c r="NN68" s="150"/>
      <c r="NO68" s="150"/>
      <c r="NP68" s="150"/>
      <c r="NQ68" s="150"/>
      <c r="NR68" s="150"/>
      <c r="NS68" s="150"/>
      <c r="NT68" s="150"/>
      <c r="NU68" s="150"/>
      <c r="NV68" s="150"/>
      <c r="NW68" s="150"/>
      <c r="NX68" s="150"/>
      <c r="NY68" s="150"/>
      <c r="NZ68" s="150"/>
      <c r="OA68" s="150"/>
      <c r="OB68" s="150"/>
      <c r="OC68" s="150"/>
      <c r="OD68" s="150"/>
      <c r="OE68" s="150"/>
    </row>
    <row r="69" spans="1:395">
      <c r="A69" s="19"/>
      <c r="B69" s="17"/>
      <c r="C69" s="48">
        <v>2047</v>
      </c>
      <c r="D69" s="114">
        <v>0</v>
      </c>
      <c r="E69" s="114">
        <v>0.95070688486491739</v>
      </c>
      <c r="F69" s="114">
        <f t="shared" si="24"/>
        <v>136.66666666666666</v>
      </c>
      <c r="G69" s="114">
        <f t="shared" si="25"/>
        <v>128.83333333333334</v>
      </c>
      <c r="H69" s="114">
        <f t="shared" si="26"/>
        <v>153</v>
      </c>
      <c r="I69" s="114">
        <f t="shared" si="47"/>
        <v>306</v>
      </c>
      <c r="J69" s="150"/>
      <c r="K69" s="48">
        <v>2047</v>
      </c>
      <c r="L69" s="114">
        <v>0</v>
      </c>
      <c r="M69" s="114">
        <v>0.95070688486491739</v>
      </c>
      <c r="N69" s="114">
        <f t="shared" si="27"/>
        <v>99.333333333333329</v>
      </c>
      <c r="O69" s="114">
        <f t="shared" si="28"/>
        <v>92.666666666666671</v>
      </c>
      <c r="P69" s="114">
        <f t="shared" si="29"/>
        <v>115</v>
      </c>
      <c r="Q69" s="114">
        <f t="shared" si="30"/>
        <v>230</v>
      </c>
      <c r="R69" s="150"/>
      <c r="S69" s="48">
        <v>2047</v>
      </c>
      <c r="T69" s="114">
        <v>0</v>
      </c>
      <c r="U69" s="114">
        <v>0.95070688486491739</v>
      </c>
      <c r="V69" s="114">
        <f t="shared" si="31"/>
        <v>75</v>
      </c>
      <c r="W69" s="114">
        <f t="shared" si="32"/>
        <v>68</v>
      </c>
      <c r="X69" s="114">
        <f t="shared" si="33"/>
        <v>94</v>
      </c>
      <c r="Y69" s="114">
        <f t="shared" si="34"/>
        <v>188</v>
      </c>
      <c r="Z69" s="150"/>
      <c r="AA69" s="48">
        <v>2047</v>
      </c>
      <c r="AB69" s="114">
        <v>0</v>
      </c>
      <c r="AC69" s="114">
        <v>0.95070688486491739</v>
      </c>
      <c r="AD69" s="114">
        <f t="shared" si="35"/>
        <v>40</v>
      </c>
      <c r="AE69" s="114">
        <f t="shared" si="36"/>
        <v>32.5</v>
      </c>
      <c r="AF69" s="114">
        <f t="shared" si="37"/>
        <v>64</v>
      </c>
      <c r="AG69" s="114">
        <f t="shared" si="38"/>
        <v>128</v>
      </c>
      <c r="AH69" s="150"/>
      <c r="AI69" s="48">
        <v>2047</v>
      </c>
      <c r="AJ69" s="114">
        <v>0</v>
      </c>
      <c r="AK69" s="114">
        <v>0.95070688486491739</v>
      </c>
      <c r="AL69" s="114">
        <f t="shared" si="39"/>
        <v>113.66666666666667</v>
      </c>
      <c r="AM69" s="114">
        <f t="shared" si="40"/>
        <v>107.33333333333333</v>
      </c>
      <c r="AN69" s="114">
        <f t="shared" si="41"/>
        <v>127</v>
      </c>
      <c r="AO69" s="114">
        <f t="shared" si="42"/>
        <v>254</v>
      </c>
      <c r="AP69" s="150"/>
      <c r="AQ69" s="48">
        <v>2047</v>
      </c>
      <c r="AR69" s="114">
        <v>0</v>
      </c>
      <c r="AS69" s="114">
        <v>0.95070688486491739</v>
      </c>
      <c r="AT69" s="114">
        <f t="shared" si="43"/>
        <v>52.666666666666664</v>
      </c>
      <c r="AU69" s="114">
        <f t="shared" si="44"/>
        <v>46.333333333333336</v>
      </c>
      <c r="AV69" s="114">
        <f t="shared" si="45"/>
        <v>71</v>
      </c>
      <c r="AW69" s="114">
        <f t="shared" si="46"/>
        <v>142</v>
      </c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  <c r="EC69" s="150"/>
      <c r="ED69" s="150"/>
      <c r="EE69" s="150"/>
      <c r="EF69" s="150"/>
      <c r="EG69" s="150"/>
      <c r="EH69" s="150"/>
      <c r="EI69" s="150"/>
      <c r="EJ69" s="150"/>
      <c r="EK69" s="150"/>
      <c r="EL69" s="150"/>
      <c r="EM69" s="150"/>
      <c r="EN69" s="150"/>
      <c r="EO69" s="150"/>
      <c r="EP69" s="150"/>
      <c r="EQ69" s="150"/>
      <c r="ER69" s="150"/>
      <c r="ES69" s="150"/>
      <c r="ET69" s="150"/>
      <c r="EU69" s="150"/>
      <c r="EV69" s="150"/>
      <c r="EW69" s="150"/>
      <c r="EX69" s="150"/>
      <c r="EY69" s="150"/>
      <c r="EZ69" s="150"/>
      <c r="FA69" s="150"/>
      <c r="FB69" s="150"/>
      <c r="FC69" s="150"/>
      <c r="FD69" s="150"/>
      <c r="FE69" s="150"/>
      <c r="FF69" s="150"/>
      <c r="FG69" s="150"/>
      <c r="FH69" s="150"/>
      <c r="FI69" s="150"/>
      <c r="FJ69" s="150"/>
      <c r="FK69" s="150"/>
      <c r="FL69" s="150"/>
      <c r="FM69" s="150"/>
      <c r="FN69" s="150"/>
      <c r="FO69" s="150"/>
      <c r="FP69" s="150"/>
      <c r="FQ69" s="150"/>
      <c r="FR69" s="150"/>
      <c r="FS69" s="150"/>
      <c r="FT69" s="150"/>
      <c r="FU69" s="150"/>
      <c r="FV69" s="150"/>
      <c r="FW69" s="150"/>
      <c r="FX69" s="150"/>
      <c r="FY69" s="150"/>
      <c r="FZ69" s="150"/>
      <c r="GA69" s="150"/>
      <c r="GB69" s="150"/>
      <c r="GC69" s="150"/>
      <c r="GD69" s="150"/>
      <c r="GE69" s="150"/>
      <c r="GF69" s="150"/>
      <c r="GG69" s="150"/>
      <c r="GH69" s="150"/>
      <c r="GI69" s="150"/>
      <c r="GJ69" s="150"/>
      <c r="GK69" s="150"/>
      <c r="GL69" s="150"/>
      <c r="GM69" s="150"/>
      <c r="GN69" s="150"/>
      <c r="GO69" s="150"/>
      <c r="GP69" s="150"/>
      <c r="GQ69" s="150"/>
      <c r="GR69" s="150"/>
      <c r="GS69" s="150"/>
      <c r="GT69" s="150"/>
      <c r="GU69" s="150"/>
      <c r="GV69" s="150"/>
      <c r="GW69" s="150"/>
      <c r="GX69" s="150"/>
      <c r="GY69" s="150"/>
      <c r="GZ69" s="150"/>
      <c r="HA69" s="150"/>
      <c r="HB69" s="150"/>
      <c r="HC69" s="150"/>
      <c r="HD69" s="150"/>
      <c r="HE69" s="150"/>
      <c r="HF69" s="150"/>
      <c r="HG69" s="150"/>
      <c r="HH69" s="150"/>
      <c r="HI69" s="150"/>
      <c r="HJ69" s="150"/>
      <c r="HK69" s="150"/>
      <c r="HL69" s="150"/>
      <c r="HM69" s="150"/>
      <c r="HN69" s="150"/>
      <c r="HO69" s="150"/>
      <c r="HP69" s="150"/>
      <c r="HQ69" s="150"/>
      <c r="HR69" s="150"/>
      <c r="HS69" s="150"/>
      <c r="HT69" s="150"/>
      <c r="HU69" s="150"/>
      <c r="HV69" s="150"/>
      <c r="HW69" s="150"/>
      <c r="HX69" s="150"/>
      <c r="HY69" s="150"/>
      <c r="HZ69" s="150"/>
      <c r="IA69" s="150"/>
      <c r="IB69" s="150"/>
      <c r="IC69" s="150"/>
      <c r="ID69" s="150"/>
      <c r="IE69" s="150"/>
      <c r="IF69" s="150"/>
      <c r="IG69" s="150"/>
      <c r="IH69" s="150"/>
      <c r="II69" s="150"/>
      <c r="IJ69" s="150"/>
      <c r="IK69" s="150"/>
      <c r="IL69" s="150"/>
      <c r="IM69" s="150"/>
      <c r="IN69" s="150"/>
      <c r="IO69" s="150"/>
      <c r="IP69" s="150"/>
      <c r="IQ69" s="150"/>
      <c r="IR69" s="150"/>
      <c r="IS69" s="150"/>
      <c r="IT69" s="150"/>
      <c r="IU69" s="150"/>
      <c r="IV69" s="150"/>
      <c r="IW69" s="150"/>
      <c r="IX69" s="150"/>
      <c r="IY69" s="150"/>
      <c r="IZ69" s="150"/>
      <c r="JA69" s="150"/>
      <c r="JB69" s="150"/>
      <c r="JC69" s="150"/>
      <c r="JD69" s="150"/>
      <c r="JE69" s="150"/>
      <c r="JF69" s="150"/>
      <c r="JG69" s="150"/>
      <c r="JH69" s="150"/>
      <c r="JI69" s="150"/>
      <c r="JJ69" s="150"/>
      <c r="JK69" s="150"/>
      <c r="JL69" s="150"/>
      <c r="JM69" s="150"/>
      <c r="JN69" s="150"/>
      <c r="JO69" s="150"/>
      <c r="JP69" s="150"/>
      <c r="JQ69" s="150"/>
      <c r="JR69" s="150"/>
      <c r="JS69" s="150"/>
      <c r="JT69" s="150"/>
      <c r="JU69" s="150"/>
      <c r="JV69" s="150"/>
      <c r="JW69" s="150"/>
      <c r="JX69" s="150"/>
      <c r="JY69" s="150"/>
      <c r="JZ69" s="150"/>
      <c r="KA69" s="150"/>
      <c r="KB69" s="150"/>
      <c r="KC69" s="150"/>
      <c r="KD69" s="150"/>
      <c r="KE69" s="150"/>
      <c r="KF69" s="150"/>
      <c r="KG69" s="150"/>
      <c r="KH69" s="150"/>
      <c r="KI69" s="150"/>
      <c r="KJ69" s="150"/>
      <c r="KK69" s="150"/>
      <c r="KL69" s="150"/>
      <c r="KM69" s="150"/>
      <c r="KN69" s="150"/>
      <c r="KO69" s="150"/>
      <c r="KP69" s="150"/>
      <c r="KQ69" s="150"/>
      <c r="KR69" s="150"/>
      <c r="KS69" s="150"/>
      <c r="KT69" s="150"/>
      <c r="KU69" s="150"/>
      <c r="KV69" s="150"/>
      <c r="KW69" s="150"/>
      <c r="KX69" s="150"/>
      <c r="KY69" s="150"/>
      <c r="KZ69" s="150"/>
      <c r="LA69" s="150"/>
      <c r="LB69" s="150"/>
      <c r="LC69" s="150"/>
      <c r="LD69" s="150"/>
      <c r="LE69" s="150"/>
      <c r="LF69" s="150"/>
      <c r="LG69" s="150"/>
      <c r="LH69" s="150"/>
      <c r="LI69" s="150"/>
      <c r="LJ69" s="150"/>
      <c r="LK69" s="150"/>
      <c r="LL69" s="150"/>
      <c r="LM69" s="150"/>
      <c r="LN69" s="150"/>
      <c r="LO69" s="150"/>
      <c r="LP69" s="150"/>
      <c r="LQ69" s="150"/>
      <c r="LR69" s="150"/>
      <c r="LS69" s="150"/>
      <c r="LT69" s="150"/>
      <c r="LU69" s="150"/>
      <c r="LV69" s="150"/>
      <c r="LW69" s="150"/>
      <c r="LX69" s="150"/>
      <c r="LY69" s="150"/>
      <c r="LZ69" s="150"/>
      <c r="MA69" s="150"/>
      <c r="MB69" s="150"/>
      <c r="MC69" s="150"/>
      <c r="MD69" s="150"/>
      <c r="ME69" s="150"/>
      <c r="MF69" s="150"/>
      <c r="MG69" s="150"/>
      <c r="MH69" s="150"/>
      <c r="MI69" s="150"/>
      <c r="MJ69" s="150"/>
      <c r="MK69" s="150"/>
      <c r="ML69" s="150"/>
      <c r="MM69" s="150"/>
      <c r="MN69" s="150"/>
      <c r="MO69" s="150"/>
      <c r="MP69" s="150"/>
      <c r="MQ69" s="150"/>
      <c r="MR69" s="150"/>
      <c r="MS69" s="150"/>
      <c r="MT69" s="150"/>
      <c r="MU69" s="150"/>
      <c r="MV69" s="150"/>
      <c r="MW69" s="150"/>
      <c r="MX69" s="150"/>
      <c r="MY69" s="150"/>
      <c r="MZ69" s="150"/>
      <c r="NA69" s="150"/>
      <c r="NB69" s="150"/>
      <c r="NC69" s="150"/>
      <c r="ND69" s="150"/>
      <c r="NE69" s="150"/>
      <c r="NF69" s="150"/>
      <c r="NG69" s="150"/>
      <c r="NH69" s="150"/>
      <c r="NI69" s="150"/>
      <c r="NJ69" s="150"/>
      <c r="NK69" s="150"/>
      <c r="NL69" s="150"/>
      <c r="NM69" s="150"/>
      <c r="NN69" s="150"/>
      <c r="NO69" s="150"/>
      <c r="NP69" s="150"/>
      <c r="NQ69" s="150"/>
      <c r="NR69" s="150"/>
      <c r="NS69" s="150"/>
      <c r="NT69" s="150"/>
      <c r="NU69" s="150"/>
      <c r="NV69" s="150"/>
      <c r="NW69" s="150"/>
      <c r="NX69" s="150"/>
      <c r="NY69" s="150"/>
      <c r="NZ69" s="150"/>
      <c r="OA69" s="150"/>
      <c r="OB69" s="150"/>
      <c r="OC69" s="150"/>
      <c r="OD69" s="150"/>
      <c r="OE69" s="150"/>
    </row>
    <row r="70" spans="1:395">
      <c r="A70" s="19"/>
      <c r="B70" s="17"/>
      <c r="C70" s="48">
        <v>2048</v>
      </c>
      <c r="D70" s="114">
        <v>0</v>
      </c>
      <c r="E70" s="114">
        <v>0.81043865595042119</v>
      </c>
      <c r="F70" s="114">
        <f t="shared" si="24"/>
        <v>119.66666666666667</v>
      </c>
      <c r="G70" s="114">
        <f t="shared" si="25"/>
        <v>112.83333333333333</v>
      </c>
      <c r="H70" s="114">
        <f t="shared" si="26"/>
        <v>134</v>
      </c>
      <c r="I70" s="114">
        <f t="shared" si="47"/>
        <v>268</v>
      </c>
      <c r="J70" s="150"/>
      <c r="K70" s="48">
        <v>2048</v>
      </c>
      <c r="L70" s="114">
        <v>0</v>
      </c>
      <c r="M70" s="114">
        <v>0.81043865595042119</v>
      </c>
      <c r="N70" s="114">
        <f t="shared" si="27"/>
        <v>86.666666666666671</v>
      </c>
      <c r="O70" s="114">
        <f t="shared" si="28"/>
        <v>80.833333333333329</v>
      </c>
      <c r="P70" s="114">
        <f t="shared" si="29"/>
        <v>100</v>
      </c>
      <c r="Q70" s="114">
        <f t="shared" si="30"/>
        <v>200</v>
      </c>
      <c r="R70" s="150"/>
      <c r="S70" s="48">
        <v>2048</v>
      </c>
      <c r="T70" s="114">
        <v>0</v>
      </c>
      <c r="U70" s="114">
        <v>0.81043865595042119</v>
      </c>
      <c r="V70" s="114">
        <f t="shared" si="31"/>
        <v>65.333333333333329</v>
      </c>
      <c r="W70" s="114">
        <f t="shared" si="32"/>
        <v>59.166666666666664</v>
      </c>
      <c r="X70" s="114">
        <f t="shared" si="33"/>
        <v>82</v>
      </c>
      <c r="Y70" s="114">
        <f t="shared" si="34"/>
        <v>164</v>
      </c>
      <c r="Z70" s="150"/>
      <c r="AA70" s="48">
        <v>2048</v>
      </c>
      <c r="AB70" s="114">
        <v>0</v>
      </c>
      <c r="AC70" s="114">
        <v>0.81043865595042119</v>
      </c>
      <c r="AD70" s="114">
        <f t="shared" si="35"/>
        <v>35</v>
      </c>
      <c r="AE70" s="114">
        <f t="shared" si="36"/>
        <v>28.5</v>
      </c>
      <c r="AF70" s="114">
        <f t="shared" si="37"/>
        <v>56</v>
      </c>
      <c r="AG70" s="114">
        <f t="shared" si="38"/>
        <v>112</v>
      </c>
      <c r="AH70" s="150"/>
      <c r="AI70" s="48">
        <v>2048</v>
      </c>
      <c r="AJ70" s="114">
        <v>0</v>
      </c>
      <c r="AK70" s="114">
        <v>0.81043865595042119</v>
      </c>
      <c r="AL70" s="114">
        <f t="shared" si="39"/>
        <v>99.333333333333329</v>
      </c>
      <c r="AM70" s="114">
        <f t="shared" si="40"/>
        <v>93.666666666666671</v>
      </c>
      <c r="AN70" s="114">
        <f t="shared" si="41"/>
        <v>111</v>
      </c>
      <c r="AO70" s="114">
        <f t="shared" si="42"/>
        <v>222</v>
      </c>
      <c r="AP70" s="150"/>
      <c r="AQ70" s="48">
        <v>2048</v>
      </c>
      <c r="AR70" s="114">
        <v>0</v>
      </c>
      <c r="AS70" s="114">
        <v>0.81043865595042119</v>
      </c>
      <c r="AT70" s="114">
        <f t="shared" si="43"/>
        <v>46</v>
      </c>
      <c r="AU70" s="114">
        <f t="shared" si="44"/>
        <v>40.5</v>
      </c>
      <c r="AV70" s="114">
        <f t="shared" si="45"/>
        <v>62</v>
      </c>
      <c r="AW70" s="114">
        <f t="shared" si="46"/>
        <v>124</v>
      </c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  <c r="EC70" s="150"/>
      <c r="ED70" s="150"/>
      <c r="EE70" s="150"/>
      <c r="EF70" s="150"/>
      <c r="EG70" s="150"/>
      <c r="EH70" s="150"/>
      <c r="EI70" s="150"/>
      <c r="EJ70" s="150"/>
      <c r="EK70" s="150"/>
      <c r="EL70" s="150"/>
      <c r="EM70" s="150"/>
      <c r="EN70" s="150"/>
      <c r="EO70" s="150"/>
      <c r="EP70" s="150"/>
      <c r="EQ70" s="150"/>
      <c r="ER70" s="150"/>
      <c r="ES70" s="150"/>
      <c r="ET70" s="150"/>
      <c r="EU70" s="150"/>
      <c r="EV70" s="150"/>
      <c r="EW70" s="150"/>
      <c r="EX70" s="150"/>
      <c r="EY70" s="150"/>
      <c r="EZ70" s="150"/>
      <c r="FA70" s="150"/>
      <c r="FB70" s="150"/>
      <c r="FC70" s="150"/>
      <c r="FD70" s="150"/>
      <c r="FE70" s="150"/>
      <c r="FF70" s="150"/>
      <c r="FG70" s="150"/>
      <c r="FH70" s="150"/>
      <c r="FI70" s="150"/>
      <c r="FJ70" s="150"/>
      <c r="FK70" s="150"/>
      <c r="FL70" s="150"/>
      <c r="FM70" s="150"/>
      <c r="FN70" s="150"/>
      <c r="FO70" s="150"/>
      <c r="FP70" s="150"/>
      <c r="FQ70" s="150"/>
      <c r="FR70" s="150"/>
      <c r="FS70" s="150"/>
      <c r="FT70" s="150"/>
      <c r="FU70" s="150"/>
      <c r="FV70" s="150"/>
      <c r="FW70" s="150"/>
      <c r="FX70" s="150"/>
      <c r="FY70" s="150"/>
      <c r="FZ70" s="150"/>
      <c r="GA70" s="150"/>
      <c r="GB70" s="150"/>
      <c r="GC70" s="150"/>
      <c r="GD70" s="150"/>
      <c r="GE70" s="150"/>
      <c r="GF70" s="150"/>
      <c r="GG70" s="150"/>
      <c r="GH70" s="150"/>
      <c r="GI70" s="150"/>
      <c r="GJ70" s="150"/>
      <c r="GK70" s="150"/>
      <c r="GL70" s="150"/>
      <c r="GM70" s="150"/>
      <c r="GN70" s="150"/>
      <c r="GO70" s="150"/>
      <c r="GP70" s="150"/>
      <c r="GQ70" s="150"/>
      <c r="GR70" s="150"/>
      <c r="GS70" s="150"/>
      <c r="GT70" s="150"/>
      <c r="GU70" s="150"/>
      <c r="GV70" s="150"/>
      <c r="GW70" s="150"/>
      <c r="GX70" s="150"/>
      <c r="GY70" s="150"/>
      <c r="GZ70" s="150"/>
      <c r="HA70" s="150"/>
      <c r="HB70" s="150"/>
      <c r="HC70" s="150"/>
      <c r="HD70" s="150"/>
      <c r="HE70" s="150"/>
      <c r="HF70" s="150"/>
      <c r="HG70" s="150"/>
      <c r="HH70" s="150"/>
      <c r="HI70" s="150"/>
      <c r="HJ70" s="150"/>
      <c r="HK70" s="150"/>
      <c r="HL70" s="150"/>
      <c r="HM70" s="150"/>
      <c r="HN70" s="150"/>
      <c r="HO70" s="150"/>
      <c r="HP70" s="150"/>
      <c r="HQ70" s="150"/>
      <c r="HR70" s="150"/>
      <c r="HS70" s="150"/>
      <c r="HT70" s="150"/>
      <c r="HU70" s="150"/>
      <c r="HV70" s="150"/>
      <c r="HW70" s="150"/>
      <c r="HX70" s="150"/>
      <c r="HY70" s="150"/>
      <c r="HZ70" s="150"/>
      <c r="IA70" s="150"/>
      <c r="IB70" s="150"/>
      <c r="IC70" s="150"/>
      <c r="ID70" s="150"/>
      <c r="IE70" s="150"/>
      <c r="IF70" s="150"/>
      <c r="IG70" s="150"/>
      <c r="IH70" s="150"/>
      <c r="II70" s="150"/>
      <c r="IJ70" s="150"/>
      <c r="IK70" s="150"/>
      <c r="IL70" s="150"/>
      <c r="IM70" s="150"/>
      <c r="IN70" s="150"/>
      <c r="IO70" s="150"/>
      <c r="IP70" s="150"/>
      <c r="IQ70" s="150"/>
      <c r="IR70" s="150"/>
      <c r="IS70" s="150"/>
      <c r="IT70" s="150"/>
      <c r="IU70" s="150"/>
      <c r="IV70" s="150"/>
      <c r="IW70" s="150"/>
      <c r="IX70" s="150"/>
      <c r="IY70" s="150"/>
      <c r="IZ70" s="150"/>
      <c r="JA70" s="150"/>
      <c r="JB70" s="150"/>
      <c r="JC70" s="150"/>
      <c r="JD70" s="150"/>
      <c r="JE70" s="150"/>
      <c r="JF70" s="150"/>
      <c r="JG70" s="150"/>
      <c r="JH70" s="150"/>
      <c r="JI70" s="150"/>
      <c r="JJ70" s="150"/>
      <c r="JK70" s="150"/>
      <c r="JL70" s="150"/>
      <c r="JM70" s="150"/>
      <c r="JN70" s="150"/>
      <c r="JO70" s="150"/>
      <c r="JP70" s="150"/>
      <c r="JQ70" s="150"/>
      <c r="JR70" s="150"/>
      <c r="JS70" s="150"/>
      <c r="JT70" s="150"/>
      <c r="JU70" s="150"/>
      <c r="JV70" s="150"/>
      <c r="JW70" s="150"/>
      <c r="JX70" s="150"/>
      <c r="JY70" s="150"/>
      <c r="JZ70" s="150"/>
      <c r="KA70" s="150"/>
      <c r="KB70" s="150"/>
      <c r="KC70" s="150"/>
      <c r="KD70" s="150"/>
      <c r="KE70" s="150"/>
      <c r="KF70" s="150"/>
      <c r="KG70" s="150"/>
      <c r="KH70" s="150"/>
      <c r="KI70" s="150"/>
      <c r="KJ70" s="150"/>
      <c r="KK70" s="150"/>
      <c r="KL70" s="150"/>
      <c r="KM70" s="150"/>
      <c r="KN70" s="150"/>
      <c r="KO70" s="150"/>
      <c r="KP70" s="150"/>
      <c r="KQ70" s="150"/>
      <c r="KR70" s="150"/>
      <c r="KS70" s="150"/>
      <c r="KT70" s="150"/>
      <c r="KU70" s="150"/>
      <c r="KV70" s="150"/>
      <c r="KW70" s="150"/>
      <c r="KX70" s="150"/>
      <c r="KY70" s="150"/>
      <c r="KZ70" s="150"/>
      <c r="LA70" s="150"/>
      <c r="LB70" s="150"/>
      <c r="LC70" s="150"/>
      <c r="LD70" s="150"/>
      <c r="LE70" s="150"/>
      <c r="LF70" s="150"/>
      <c r="LG70" s="150"/>
      <c r="LH70" s="150"/>
      <c r="LI70" s="150"/>
      <c r="LJ70" s="150"/>
      <c r="LK70" s="150"/>
      <c r="LL70" s="150"/>
      <c r="LM70" s="150"/>
      <c r="LN70" s="150"/>
      <c r="LO70" s="150"/>
      <c r="LP70" s="150"/>
      <c r="LQ70" s="150"/>
      <c r="LR70" s="150"/>
      <c r="LS70" s="150"/>
      <c r="LT70" s="150"/>
      <c r="LU70" s="150"/>
      <c r="LV70" s="150"/>
      <c r="LW70" s="150"/>
      <c r="LX70" s="150"/>
      <c r="LY70" s="150"/>
      <c r="LZ70" s="150"/>
      <c r="MA70" s="150"/>
      <c r="MB70" s="150"/>
      <c r="MC70" s="150"/>
      <c r="MD70" s="150"/>
      <c r="ME70" s="150"/>
      <c r="MF70" s="150"/>
      <c r="MG70" s="150"/>
      <c r="MH70" s="150"/>
      <c r="MI70" s="150"/>
      <c r="MJ70" s="150"/>
      <c r="MK70" s="150"/>
      <c r="ML70" s="150"/>
      <c r="MM70" s="150"/>
      <c r="MN70" s="150"/>
      <c r="MO70" s="150"/>
      <c r="MP70" s="150"/>
      <c r="MQ70" s="150"/>
      <c r="MR70" s="150"/>
      <c r="MS70" s="150"/>
      <c r="MT70" s="150"/>
      <c r="MU70" s="150"/>
      <c r="MV70" s="150"/>
      <c r="MW70" s="150"/>
      <c r="MX70" s="150"/>
      <c r="MY70" s="150"/>
      <c r="MZ70" s="150"/>
      <c r="NA70" s="150"/>
      <c r="NB70" s="150"/>
      <c r="NC70" s="150"/>
      <c r="ND70" s="150"/>
      <c r="NE70" s="150"/>
      <c r="NF70" s="150"/>
      <c r="NG70" s="150"/>
      <c r="NH70" s="150"/>
      <c r="NI70" s="150"/>
      <c r="NJ70" s="150"/>
      <c r="NK70" s="150"/>
      <c r="NL70" s="150"/>
      <c r="NM70" s="150"/>
      <c r="NN70" s="150"/>
      <c r="NO70" s="150"/>
      <c r="NP70" s="150"/>
      <c r="NQ70" s="150"/>
      <c r="NR70" s="150"/>
      <c r="NS70" s="150"/>
      <c r="NT70" s="150"/>
      <c r="NU70" s="150"/>
      <c r="NV70" s="150"/>
      <c r="NW70" s="150"/>
      <c r="NX70" s="150"/>
      <c r="NY70" s="150"/>
      <c r="NZ70" s="150"/>
      <c r="OA70" s="150"/>
      <c r="OB70" s="150"/>
      <c r="OC70" s="150"/>
      <c r="OD70" s="150"/>
      <c r="OE70" s="150"/>
    </row>
    <row r="71" spans="1:395">
      <c r="A71" s="19"/>
      <c r="B71" s="17"/>
      <c r="C71" s="48">
        <v>2049</v>
      </c>
      <c r="D71" s="114">
        <v>0</v>
      </c>
      <c r="E71" s="114">
        <v>0.67017042703592533</v>
      </c>
      <c r="F71" s="114">
        <f t="shared" si="24"/>
        <v>102.66666666666667</v>
      </c>
      <c r="G71" s="114">
        <f t="shared" si="25"/>
        <v>96.833333333333329</v>
      </c>
      <c r="H71" s="114">
        <f t="shared" si="26"/>
        <v>115</v>
      </c>
      <c r="I71" s="114">
        <f t="shared" si="47"/>
        <v>230</v>
      </c>
      <c r="J71" s="150"/>
      <c r="K71" s="48">
        <v>2049</v>
      </c>
      <c r="L71" s="114">
        <v>0</v>
      </c>
      <c r="M71" s="114">
        <v>0.67017042703592533</v>
      </c>
      <c r="N71" s="114">
        <f t="shared" si="27"/>
        <v>74</v>
      </c>
      <c r="O71" s="114">
        <f t="shared" si="28"/>
        <v>69</v>
      </c>
      <c r="P71" s="114">
        <f t="shared" si="29"/>
        <v>86</v>
      </c>
      <c r="Q71" s="114">
        <f t="shared" si="30"/>
        <v>172</v>
      </c>
      <c r="R71" s="150"/>
      <c r="S71" s="48">
        <v>2049</v>
      </c>
      <c r="T71" s="114">
        <v>0</v>
      </c>
      <c r="U71" s="114">
        <v>0.67017042703592533</v>
      </c>
      <c r="V71" s="114">
        <f t="shared" si="31"/>
        <v>56.666666666666664</v>
      </c>
      <c r="W71" s="114">
        <f t="shared" si="32"/>
        <v>51.333333333333336</v>
      </c>
      <c r="X71" s="114">
        <f t="shared" si="33"/>
        <v>70</v>
      </c>
      <c r="Y71" s="114">
        <f t="shared" si="34"/>
        <v>140</v>
      </c>
      <c r="Z71" s="150"/>
      <c r="AA71" s="48">
        <v>2049</v>
      </c>
      <c r="AB71" s="114">
        <v>0</v>
      </c>
      <c r="AC71" s="114">
        <v>0.67017042703592533</v>
      </c>
      <c r="AD71" s="114">
        <f t="shared" si="35"/>
        <v>30.333333333333332</v>
      </c>
      <c r="AE71" s="114">
        <f t="shared" si="36"/>
        <v>24.666666666666664</v>
      </c>
      <c r="AF71" s="114">
        <f t="shared" si="37"/>
        <v>48</v>
      </c>
      <c r="AG71" s="114">
        <f t="shared" si="38"/>
        <v>96</v>
      </c>
      <c r="AH71" s="150"/>
      <c r="AI71" s="48">
        <v>2049</v>
      </c>
      <c r="AJ71" s="114">
        <v>0</v>
      </c>
      <c r="AK71" s="114">
        <v>0.67017042703592533</v>
      </c>
      <c r="AL71" s="114">
        <f t="shared" si="39"/>
        <v>85.666666666666671</v>
      </c>
      <c r="AM71" s="114">
        <f t="shared" si="40"/>
        <v>80.833333333333329</v>
      </c>
      <c r="AN71" s="114">
        <f t="shared" si="41"/>
        <v>95</v>
      </c>
      <c r="AO71" s="114">
        <f t="shared" si="42"/>
        <v>190</v>
      </c>
      <c r="AP71" s="150"/>
      <c r="AQ71" s="48">
        <v>2049</v>
      </c>
      <c r="AR71" s="114">
        <v>0</v>
      </c>
      <c r="AS71" s="114">
        <v>0.67017042703592533</v>
      </c>
      <c r="AT71" s="114">
        <f t="shared" si="43"/>
        <v>39.333333333333329</v>
      </c>
      <c r="AU71" s="114">
        <f t="shared" si="44"/>
        <v>34.666666666666664</v>
      </c>
      <c r="AV71" s="114">
        <f t="shared" si="45"/>
        <v>53</v>
      </c>
      <c r="AW71" s="114">
        <f t="shared" si="46"/>
        <v>106</v>
      </c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  <c r="EC71" s="150"/>
      <c r="ED71" s="150"/>
      <c r="EE71" s="150"/>
      <c r="EF71" s="150"/>
      <c r="EG71" s="150"/>
      <c r="EH71" s="150"/>
      <c r="EI71" s="150"/>
      <c r="EJ71" s="150"/>
      <c r="EK71" s="150"/>
      <c r="EL71" s="150"/>
      <c r="EM71" s="150"/>
      <c r="EN71" s="150"/>
      <c r="EO71" s="150"/>
      <c r="EP71" s="150"/>
      <c r="EQ71" s="150"/>
      <c r="ER71" s="150"/>
      <c r="ES71" s="150"/>
      <c r="ET71" s="150"/>
      <c r="EU71" s="150"/>
      <c r="EV71" s="150"/>
      <c r="EW71" s="150"/>
      <c r="EX71" s="150"/>
      <c r="EY71" s="150"/>
      <c r="EZ71" s="150"/>
      <c r="FA71" s="150"/>
      <c r="FB71" s="150"/>
      <c r="FC71" s="150"/>
      <c r="FD71" s="150"/>
      <c r="FE71" s="150"/>
      <c r="FF71" s="150"/>
      <c r="FG71" s="150"/>
      <c r="FH71" s="150"/>
      <c r="FI71" s="150"/>
      <c r="FJ71" s="150"/>
      <c r="FK71" s="150"/>
      <c r="FL71" s="150"/>
      <c r="FM71" s="150"/>
      <c r="FN71" s="150"/>
      <c r="FO71" s="150"/>
      <c r="FP71" s="150"/>
      <c r="FQ71" s="150"/>
      <c r="FR71" s="150"/>
      <c r="FS71" s="150"/>
      <c r="FT71" s="150"/>
      <c r="FU71" s="150"/>
      <c r="FV71" s="150"/>
      <c r="FW71" s="150"/>
      <c r="FX71" s="150"/>
      <c r="FY71" s="150"/>
      <c r="FZ71" s="150"/>
      <c r="GA71" s="150"/>
      <c r="GB71" s="150"/>
      <c r="GC71" s="150"/>
      <c r="GD71" s="150"/>
      <c r="GE71" s="150"/>
      <c r="GF71" s="150"/>
      <c r="GG71" s="150"/>
      <c r="GH71" s="150"/>
      <c r="GI71" s="150"/>
      <c r="GJ71" s="150"/>
      <c r="GK71" s="150"/>
      <c r="GL71" s="150"/>
      <c r="GM71" s="150"/>
      <c r="GN71" s="150"/>
      <c r="GO71" s="150"/>
      <c r="GP71" s="150"/>
      <c r="GQ71" s="150"/>
      <c r="GR71" s="150"/>
      <c r="GS71" s="150"/>
      <c r="GT71" s="150"/>
      <c r="GU71" s="150"/>
      <c r="GV71" s="150"/>
      <c r="GW71" s="150"/>
      <c r="GX71" s="150"/>
      <c r="GY71" s="150"/>
      <c r="GZ71" s="150"/>
      <c r="HA71" s="150"/>
      <c r="HB71" s="150"/>
      <c r="HC71" s="150"/>
      <c r="HD71" s="150"/>
      <c r="HE71" s="150"/>
      <c r="HF71" s="150"/>
      <c r="HG71" s="150"/>
      <c r="HH71" s="150"/>
      <c r="HI71" s="150"/>
      <c r="HJ71" s="150"/>
      <c r="HK71" s="150"/>
      <c r="HL71" s="150"/>
      <c r="HM71" s="150"/>
      <c r="HN71" s="150"/>
      <c r="HO71" s="150"/>
      <c r="HP71" s="150"/>
      <c r="HQ71" s="150"/>
      <c r="HR71" s="150"/>
      <c r="HS71" s="150"/>
      <c r="HT71" s="150"/>
      <c r="HU71" s="150"/>
      <c r="HV71" s="150"/>
      <c r="HW71" s="150"/>
      <c r="HX71" s="150"/>
      <c r="HY71" s="150"/>
      <c r="HZ71" s="150"/>
      <c r="IA71" s="150"/>
      <c r="IB71" s="150"/>
      <c r="IC71" s="150"/>
      <c r="ID71" s="150"/>
      <c r="IE71" s="150"/>
      <c r="IF71" s="150"/>
      <c r="IG71" s="150"/>
      <c r="IH71" s="150"/>
      <c r="II71" s="150"/>
      <c r="IJ71" s="150"/>
      <c r="IK71" s="150"/>
      <c r="IL71" s="150"/>
      <c r="IM71" s="150"/>
      <c r="IN71" s="150"/>
      <c r="IO71" s="150"/>
      <c r="IP71" s="150"/>
      <c r="IQ71" s="150"/>
      <c r="IR71" s="150"/>
      <c r="IS71" s="150"/>
      <c r="IT71" s="150"/>
      <c r="IU71" s="150"/>
      <c r="IV71" s="150"/>
      <c r="IW71" s="150"/>
      <c r="IX71" s="150"/>
      <c r="IY71" s="150"/>
      <c r="IZ71" s="150"/>
      <c r="JA71" s="150"/>
      <c r="JB71" s="150"/>
      <c r="JC71" s="150"/>
      <c r="JD71" s="150"/>
      <c r="JE71" s="150"/>
      <c r="JF71" s="150"/>
      <c r="JG71" s="150"/>
      <c r="JH71" s="150"/>
      <c r="JI71" s="150"/>
      <c r="JJ71" s="150"/>
      <c r="JK71" s="150"/>
      <c r="JL71" s="150"/>
      <c r="JM71" s="150"/>
      <c r="JN71" s="150"/>
      <c r="JO71" s="150"/>
      <c r="JP71" s="150"/>
      <c r="JQ71" s="150"/>
      <c r="JR71" s="150"/>
      <c r="JS71" s="150"/>
      <c r="JT71" s="150"/>
      <c r="JU71" s="150"/>
      <c r="JV71" s="150"/>
      <c r="JW71" s="150"/>
      <c r="JX71" s="150"/>
      <c r="JY71" s="150"/>
      <c r="JZ71" s="150"/>
      <c r="KA71" s="150"/>
      <c r="KB71" s="150"/>
      <c r="KC71" s="150"/>
      <c r="KD71" s="150"/>
      <c r="KE71" s="150"/>
      <c r="KF71" s="150"/>
      <c r="KG71" s="150"/>
      <c r="KH71" s="150"/>
      <c r="KI71" s="150"/>
      <c r="KJ71" s="150"/>
      <c r="KK71" s="150"/>
      <c r="KL71" s="150"/>
      <c r="KM71" s="150"/>
      <c r="KN71" s="150"/>
      <c r="KO71" s="150"/>
      <c r="KP71" s="150"/>
      <c r="KQ71" s="150"/>
      <c r="KR71" s="150"/>
      <c r="KS71" s="150"/>
      <c r="KT71" s="150"/>
      <c r="KU71" s="150"/>
      <c r="KV71" s="150"/>
      <c r="KW71" s="150"/>
      <c r="KX71" s="150"/>
      <c r="KY71" s="150"/>
      <c r="KZ71" s="150"/>
      <c r="LA71" s="150"/>
      <c r="LB71" s="150"/>
      <c r="LC71" s="150"/>
      <c r="LD71" s="150"/>
      <c r="LE71" s="150"/>
      <c r="LF71" s="150"/>
      <c r="LG71" s="150"/>
      <c r="LH71" s="150"/>
      <c r="LI71" s="150"/>
      <c r="LJ71" s="150"/>
      <c r="LK71" s="150"/>
      <c r="LL71" s="150"/>
      <c r="LM71" s="150"/>
      <c r="LN71" s="150"/>
      <c r="LO71" s="150"/>
      <c r="LP71" s="150"/>
      <c r="LQ71" s="150"/>
      <c r="LR71" s="150"/>
      <c r="LS71" s="150"/>
      <c r="LT71" s="150"/>
      <c r="LU71" s="150"/>
      <c r="LV71" s="150"/>
      <c r="LW71" s="150"/>
      <c r="LX71" s="150"/>
      <c r="LY71" s="150"/>
      <c r="LZ71" s="150"/>
      <c r="MA71" s="150"/>
      <c r="MB71" s="150"/>
      <c r="MC71" s="150"/>
      <c r="MD71" s="150"/>
      <c r="ME71" s="150"/>
      <c r="MF71" s="150"/>
      <c r="MG71" s="150"/>
      <c r="MH71" s="150"/>
      <c r="MI71" s="150"/>
      <c r="MJ71" s="150"/>
      <c r="MK71" s="150"/>
      <c r="ML71" s="150"/>
      <c r="MM71" s="150"/>
      <c r="MN71" s="150"/>
      <c r="MO71" s="150"/>
      <c r="MP71" s="150"/>
      <c r="MQ71" s="150"/>
      <c r="MR71" s="150"/>
      <c r="MS71" s="150"/>
      <c r="MT71" s="150"/>
      <c r="MU71" s="150"/>
      <c r="MV71" s="150"/>
      <c r="MW71" s="150"/>
      <c r="MX71" s="150"/>
      <c r="MY71" s="150"/>
      <c r="MZ71" s="150"/>
      <c r="NA71" s="150"/>
      <c r="NB71" s="150"/>
      <c r="NC71" s="150"/>
      <c r="ND71" s="150"/>
      <c r="NE71" s="150"/>
      <c r="NF71" s="150"/>
      <c r="NG71" s="150"/>
      <c r="NH71" s="150"/>
      <c r="NI71" s="150"/>
      <c r="NJ71" s="150"/>
      <c r="NK71" s="150"/>
      <c r="NL71" s="150"/>
      <c r="NM71" s="150"/>
      <c r="NN71" s="150"/>
      <c r="NO71" s="150"/>
      <c r="NP71" s="150"/>
      <c r="NQ71" s="150"/>
      <c r="NR71" s="150"/>
      <c r="NS71" s="150"/>
      <c r="NT71" s="150"/>
      <c r="NU71" s="150"/>
      <c r="NV71" s="150"/>
      <c r="NW71" s="150"/>
      <c r="NX71" s="150"/>
      <c r="NY71" s="150"/>
      <c r="NZ71" s="150"/>
      <c r="OA71" s="150"/>
      <c r="OB71" s="150"/>
      <c r="OC71" s="150"/>
      <c r="OD71" s="150"/>
      <c r="OE71" s="150"/>
    </row>
    <row r="72" spans="1:395">
      <c r="A72" s="19"/>
      <c r="B72" s="17"/>
      <c r="C72" s="48">
        <v>2050</v>
      </c>
      <c r="D72" s="114">
        <v>0</v>
      </c>
      <c r="E72" s="114">
        <v>0.52990219812142936</v>
      </c>
      <c r="F72" s="114">
        <f t="shared" si="24"/>
        <v>85.666666666666671</v>
      </c>
      <c r="G72" s="114">
        <f t="shared" si="25"/>
        <v>80.833333333333329</v>
      </c>
      <c r="H72" s="114">
        <f t="shared" si="26"/>
        <v>96</v>
      </c>
      <c r="I72" s="114">
        <f t="shared" si="47"/>
        <v>192</v>
      </c>
      <c r="J72" s="150"/>
      <c r="K72" s="48">
        <v>2050</v>
      </c>
      <c r="L72" s="114">
        <v>0</v>
      </c>
      <c r="M72" s="114">
        <v>0.52990219812142936</v>
      </c>
      <c r="N72" s="114">
        <f t="shared" si="27"/>
        <v>62.333333333333329</v>
      </c>
      <c r="O72" s="114">
        <f>1/6*Y141+Z141</f>
        <v>58.166666666666664</v>
      </c>
      <c r="P72" s="114">
        <f t="shared" si="29"/>
        <v>72</v>
      </c>
      <c r="Q72" s="114">
        <f t="shared" si="30"/>
        <v>144</v>
      </c>
      <c r="R72" s="150"/>
      <c r="S72" s="48">
        <v>2050</v>
      </c>
      <c r="T72" s="114">
        <v>0</v>
      </c>
      <c r="U72" s="114">
        <v>0.52990219812142936</v>
      </c>
      <c r="V72" s="114">
        <f t="shared" si="31"/>
        <v>46.666666666666664</v>
      </c>
      <c r="W72" s="114">
        <f t="shared" si="32"/>
        <v>42.333333333333336</v>
      </c>
      <c r="X72" s="114">
        <f t="shared" si="33"/>
        <v>59</v>
      </c>
      <c r="Y72" s="114">
        <f t="shared" si="34"/>
        <v>118</v>
      </c>
      <c r="Z72" s="150"/>
      <c r="AA72" s="48">
        <v>2050</v>
      </c>
      <c r="AB72" s="114">
        <v>0</v>
      </c>
      <c r="AC72" s="114">
        <v>0.52990219812142936</v>
      </c>
      <c r="AD72" s="114">
        <f t="shared" si="35"/>
        <v>25.333333333333332</v>
      </c>
      <c r="AE72" s="114">
        <f t="shared" si="36"/>
        <v>20.666666666666664</v>
      </c>
      <c r="AF72" s="114">
        <f t="shared" si="37"/>
        <v>40</v>
      </c>
      <c r="AG72" s="114">
        <f t="shared" si="38"/>
        <v>80</v>
      </c>
      <c r="AH72" s="150"/>
      <c r="AI72" s="48">
        <v>2050</v>
      </c>
      <c r="AJ72" s="114">
        <v>0</v>
      </c>
      <c r="AK72" s="114">
        <v>0.52990219812142936</v>
      </c>
      <c r="AL72" s="114">
        <f t="shared" si="39"/>
        <v>71</v>
      </c>
      <c r="AM72" s="114">
        <f t="shared" si="40"/>
        <v>67</v>
      </c>
      <c r="AN72" s="114">
        <f t="shared" si="41"/>
        <v>79</v>
      </c>
      <c r="AO72" s="114">
        <f t="shared" si="42"/>
        <v>158</v>
      </c>
      <c r="AP72" s="150"/>
      <c r="AQ72" s="48">
        <v>2050</v>
      </c>
      <c r="AR72" s="114">
        <v>0</v>
      </c>
      <c r="AS72" s="114">
        <v>0.52990219812142936</v>
      </c>
      <c r="AT72" s="114">
        <f t="shared" si="43"/>
        <v>33</v>
      </c>
      <c r="AU72" s="114">
        <f t="shared" si="44"/>
        <v>29</v>
      </c>
      <c r="AV72" s="114">
        <f t="shared" si="45"/>
        <v>44</v>
      </c>
      <c r="AW72" s="114">
        <f t="shared" si="46"/>
        <v>88</v>
      </c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  <c r="EC72" s="150"/>
      <c r="ED72" s="150"/>
      <c r="EE72" s="150"/>
      <c r="EF72" s="150"/>
      <c r="EG72" s="150"/>
      <c r="EH72" s="150"/>
      <c r="EI72" s="150"/>
      <c r="EJ72" s="150"/>
      <c r="EK72" s="150"/>
      <c r="EL72" s="150"/>
      <c r="EM72" s="150"/>
      <c r="EN72" s="150"/>
      <c r="EO72" s="150"/>
      <c r="EP72" s="150"/>
      <c r="EQ72" s="150"/>
      <c r="ER72" s="150"/>
      <c r="ES72" s="150"/>
      <c r="ET72" s="150"/>
      <c r="EU72" s="150"/>
      <c r="EV72" s="150"/>
      <c r="EW72" s="150"/>
      <c r="EX72" s="150"/>
      <c r="EY72" s="150"/>
      <c r="EZ72" s="150"/>
      <c r="FA72" s="150"/>
      <c r="FB72" s="150"/>
      <c r="FC72" s="150"/>
      <c r="FD72" s="150"/>
      <c r="FE72" s="150"/>
      <c r="FF72" s="150"/>
      <c r="FG72" s="150"/>
      <c r="FH72" s="150"/>
      <c r="FI72" s="150"/>
      <c r="FJ72" s="150"/>
      <c r="FK72" s="150"/>
      <c r="FL72" s="150"/>
      <c r="FM72" s="150"/>
      <c r="FN72" s="150"/>
      <c r="FO72" s="150"/>
      <c r="FP72" s="150"/>
      <c r="FQ72" s="150"/>
      <c r="FR72" s="150"/>
      <c r="FS72" s="150"/>
      <c r="FT72" s="150"/>
      <c r="FU72" s="150"/>
      <c r="FV72" s="150"/>
      <c r="FW72" s="150"/>
      <c r="FX72" s="150"/>
      <c r="FY72" s="150"/>
      <c r="FZ72" s="150"/>
      <c r="GA72" s="150"/>
      <c r="GB72" s="150"/>
      <c r="GC72" s="150"/>
      <c r="GD72" s="150"/>
      <c r="GE72" s="150"/>
      <c r="GF72" s="150"/>
      <c r="GG72" s="150"/>
      <c r="GH72" s="150"/>
      <c r="GI72" s="150"/>
      <c r="GJ72" s="150"/>
      <c r="GK72" s="150"/>
      <c r="GL72" s="150"/>
      <c r="GM72" s="150"/>
      <c r="GN72" s="150"/>
      <c r="GO72" s="150"/>
      <c r="GP72" s="150"/>
      <c r="GQ72" s="150"/>
      <c r="GR72" s="150"/>
      <c r="GS72" s="150"/>
      <c r="GT72" s="150"/>
      <c r="GU72" s="150"/>
      <c r="GV72" s="150"/>
      <c r="GW72" s="150"/>
      <c r="GX72" s="150"/>
      <c r="GY72" s="150"/>
      <c r="GZ72" s="150"/>
      <c r="HA72" s="150"/>
      <c r="HB72" s="150"/>
      <c r="HC72" s="150"/>
      <c r="HD72" s="150"/>
      <c r="HE72" s="150"/>
      <c r="HF72" s="150"/>
      <c r="HG72" s="150"/>
      <c r="HH72" s="150"/>
      <c r="HI72" s="150"/>
      <c r="HJ72" s="150"/>
      <c r="HK72" s="150"/>
      <c r="HL72" s="150"/>
      <c r="HM72" s="150"/>
      <c r="HN72" s="150"/>
      <c r="HO72" s="150"/>
      <c r="HP72" s="150"/>
      <c r="HQ72" s="150"/>
      <c r="HR72" s="150"/>
      <c r="HS72" s="150"/>
      <c r="HT72" s="150"/>
      <c r="HU72" s="150"/>
      <c r="HV72" s="150"/>
      <c r="HW72" s="150"/>
      <c r="HX72" s="150"/>
      <c r="HY72" s="150"/>
      <c r="HZ72" s="150"/>
      <c r="IA72" s="150"/>
      <c r="IB72" s="150"/>
      <c r="IC72" s="150"/>
      <c r="ID72" s="150"/>
      <c r="IE72" s="150"/>
      <c r="IF72" s="150"/>
      <c r="IG72" s="150"/>
      <c r="IH72" s="150"/>
      <c r="II72" s="150"/>
      <c r="IJ72" s="150"/>
      <c r="IK72" s="150"/>
      <c r="IL72" s="150"/>
      <c r="IM72" s="150"/>
      <c r="IN72" s="150"/>
      <c r="IO72" s="150"/>
      <c r="IP72" s="150"/>
      <c r="IQ72" s="150"/>
      <c r="IR72" s="150"/>
      <c r="IS72" s="150"/>
      <c r="IT72" s="150"/>
      <c r="IU72" s="150"/>
      <c r="IV72" s="150"/>
      <c r="IW72" s="150"/>
      <c r="IX72" s="150"/>
      <c r="IY72" s="150"/>
      <c r="IZ72" s="150"/>
      <c r="JA72" s="150"/>
      <c r="JB72" s="150"/>
      <c r="JC72" s="150"/>
      <c r="JD72" s="150"/>
      <c r="JE72" s="150"/>
      <c r="JF72" s="150"/>
      <c r="JG72" s="150"/>
      <c r="JH72" s="150"/>
      <c r="JI72" s="150"/>
      <c r="JJ72" s="150"/>
      <c r="JK72" s="150"/>
      <c r="JL72" s="150"/>
      <c r="JM72" s="150"/>
      <c r="JN72" s="150"/>
      <c r="JO72" s="150"/>
      <c r="JP72" s="150"/>
      <c r="JQ72" s="150"/>
      <c r="JR72" s="150"/>
      <c r="JS72" s="150"/>
      <c r="JT72" s="150"/>
      <c r="JU72" s="150"/>
      <c r="JV72" s="150"/>
      <c r="JW72" s="150"/>
      <c r="JX72" s="150"/>
      <c r="JY72" s="150"/>
      <c r="JZ72" s="150"/>
      <c r="KA72" s="150"/>
      <c r="KB72" s="150"/>
      <c r="KC72" s="150"/>
      <c r="KD72" s="150"/>
      <c r="KE72" s="150"/>
      <c r="KF72" s="150"/>
      <c r="KG72" s="150"/>
      <c r="KH72" s="150"/>
      <c r="KI72" s="150"/>
      <c r="KJ72" s="150"/>
      <c r="KK72" s="150"/>
      <c r="KL72" s="150"/>
      <c r="KM72" s="150"/>
      <c r="KN72" s="150"/>
      <c r="KO72" s="150"/>
      <c r="KP72" s="150"/>
      <c r="KQ72" s="150"/>
      <c r="KR72" s="150"/>
      <c r="KS72" s="150"/>
      <c r="KT72" s="150"/>
      <c r="KU72" s="150"/>
      <c r="KV72" s="150"/>
      <c r="KW72" s="150"/>
      <c r="KX72" s="150"/>
      <c r="KY72" s="150"/>
      <c r="KZ72" s="150"/>
      <c r="LA72" s="150"/>
      <c r="LB72" s="150"/>
      <c r="LC72" s="150"/>
      <c r="LD72" s="150"/>
      <c r="LE72" s="150"/>
      <c r="LF72" s="150"/>
      <c r="LG72" s="150"/>
      <c r="LH72" s="150"/>
      <c r="LI72" s="150"/>
      <c r="LJ72" s="150"/>
      <c r="LK72" s="150"/>
      <c r="LL72" s="150"/>
      <c r="LM72" s="150"/>
      <c r="LN72" s="150"/>
      <c r="LO72" s="150"/>
      <c r="LP72" s="150"/>
      <c r="LQ72" s="150"/>
      <c r="LR72" s="150"/>
      <c r="LS72" s="150"/>
      <c r="LT72" s="150"/>
      <c r="LU72" s="150"/>
      <c r="LV72" s="150"/>
      <c r="LW72" s="150"/>
      <c r="LX72" s="150"/>
      <c r="LY72" s="150"/>
      <c r="LZ72" s="150"/>
      <c r="MA72" s="150"/>
      <c r="MB72" s="150"/>
      <c r="MC72" s="150"/>
      <c r="MD72" s="150"/>
      <c r="ME72" s="150"/>
      <c r="MF72" s="150"/>
      <c r="MG72" s="150"/>
      <c r="MH72" s="150"/>
      <c r="MI72" s="150"/>
      <c r="MJ72" s="150"/>
      <c r="MK72" s="150"/>
      <c r="ML72" s="150"/>
      <c r="MM72" s="150"/>
      <c r="MN72" s="150"/>
      <c r="MO72" s="150"/>
      <c r="MP72" s="150"/>
      <c r="MQ72" s="150"/>
      <c r="MR72" s="150"/>
      <c r="MS72" s="150"/>
      <c r="MT72" s="150"/>
      <c r="MU72" s="150"/>
      <c r="MV72" s="150"/>
      <c r="MW72" s="150"/>
      <c r="MX72" s="150"/>
      <c r="MY72" s="150"/>
      <c r="MZ72" s="150"/>
      <c r="NA72" s="150"/>
      <c r="NB72" s="150"/>
      <c r="NC72" s="150"/>
      <c r="ND72" s="150"/>
      <c r="NE72" s="150"/>
      <c r="NF72" s="150"/>
      <c r="NG72" s="150"/>
      <c r="NH72" s="150"/>
      <c r="NI72" s="150"/>
      <c r="NJ72" s="150"/>
      <c r="NK72" s="150"/>
      <c r="NL72" s="150"/>
      <c r="NM72" s="150"/>
      <c r="NN72" s="150"/>
      <c r="NO72" s="150"/>
      <c r="NP72" s="150"/>
      <c r="NQ72" s="150"/>
      <c r="NR72" s="150"/>
      <c r="NS72" s="150"/>
      <c r="NT72" s="150"/>
      <c r="NU72" s="150"/>
      <c r="NV72" s="150"/>
      <c r="NW72" s="150"/>
      <c r="NX72" s="150"/>
      <c r="NY72" s="150"/>
      <c r="NZ72" s="150"/>
      <c r="OA72" s="150"/>
      <c r="OB72" s="150"/>
      <c r="OC72" s="150"/>
      <c r="OD72" s="150"/>
      <c r="OE72" s="150"/>
    </row>
    <row r="73" spans="1:395">
      <c r="A73" s="19"/>
      <c r="B73" s="17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0"/>
      <c r="DN73" s="150"/>
      <c r="DO73" s="150"/>
      <c r="DP73" s="150"/>
      <c r="DQ73" s="150"/>
      <c r="DR73" s="150"/>
      <c r="DS73" s="150"/>
      <c r="DT73" s="150"/>
      <c r="DU73" s="150"/>
      <c r="DV73" s="150"/>
      <c r="DW73" s="150"/>
      <c r="DX73" s="150"/>
      <c r="DY73" s="150"/>
      <c r="DZ73" s="150"/>
      <c r="EA73" s="150"/>
      <c r="EB73" s="150"/>
      <c r="EC73" s="150"/>
      <c r="ED73" s="150"/>
      <c r="EE73" s="150"/>
      <c r="EF73" s="150"/>
      <c r="EG73" s="150"/>
      <c r="EH73" s="150"/>
      <c r="EI73" s="150"/>
      <c r="EJ73" s="150"/>
      <c r="EK73" s="150"/>
      <c r="EL73" s="150"/>
      <c r="EM73" s="150"/>
      <c r="EN73" s="150"/>
      <c r="EO73" s="150"/>
      <c r="EP73" s="150"/>
      <c r="EQ73" s="150"/>
      <c r="ER73" s="150"/>
      <c r="ES73" s="150"/>
      <c r="ET73" s="150"/>
      <c r="EU73" s="150"/>
      <c r="EV73" s="150"/>
      <c r="EW73" s="150"/>
      <c r="EX73" s="150"/>
      <c r="EY73" s="150"/>
      <c r="EZ73" s="150"/>
      <c r="FA73" s="150"/>
      <c r="FB73" s="150"/>
      <c r="FC73" s="150"/>
      <c r="FD73" s="150"/>
      <c r="FE73" s="150"/>
      <c r="FF73" s="150"/>
      <c r="FG73" s="150"/>
      <c r="FH73" s="150"/>
      <c r="FI73" s="150"/>
      <c r="FJ73" s="150"/>
      <c r="FK73" s="150"/>
      <c r="FL73" s="150"/>
      <c r="FM73" s="150"/>
      <c r="FN73" s="150"/>
      <c r="FO73" s="150"/>
      <c r="FP73" s="150"/>
      <c r="FQ73" s="150"/>
      <c r="FR73" s="150"/>
      <c r="FS73" s="150"/>
      <c r="FT73" s="150"/>
      <c r="FU73" s="150"/>
      <c r="FV73" s="150"/>
      <c r="FW73" s="150"/>
      <c r="FX73" s="150"/>
      <c r="FY73" s="150"/>
      <c r="FZ73" s="150"/>
      <c r="GA73" s="150"/>
      <c r="GB73" s="150"/>
      <c r="GC73" s="150"/>
      <c r="GD73" s="150"/>
      <c r="GE73" s="150"/>
      <c r="GF73" s="150"/>
      <c r="GG73" s="150"/>
      <c r="GH73" s="150"/>
      <c r="GI73" s="150"/>
      <c r="GJ73" s="150"/>
      <c r="GK73" s="150"/>
      <c r="GL73" s="150"/>
      <c r="GM73" s="150"/>
      <c r="GN73" s="150"/>
      <c r="GO73" s="150"/>
      <c r="GP73" s="150"/>
      <c r="GQ73" s="150"/>
      <c r="GR73" s="150"/>
      <c r="GS73" s="150"/>
      <c r="GT73" s="150"/>
      <c r="GU73" s="150"/>
      <c r="GV73" s="150"/>
      <c r="GW73" s="150"/>
      <c r="GX73" s="150"/>
      <c r="GY73" s="150"/>
      <c r="GZ73" s="150"/>
      <c r="HA73" s="150"/>
      <c r="HB73" s="150"/>
      <c r="HC73" s="150"/>
      <c r="HD73" s="150"/>
      <c r="HE73" s="150"/>
      <c r="HF73" s="150"/>
      <c r="HG73" s="150"/>
      <c r="HH73" s="150"/>
      <c r="HI73" s="150"/>
      <c r="HJ73" s="150"/>
      <c r="HK73" s="150"/>
      <c r="HL73" s="150"/>
      <c r="HM73" s="150"/>
      <c r="HN73" s="150"/>
      <c r="HO73" s="150"/>
      <c r="HP73" s="150"/>
      <c r="HQ73" s="150"/>
      <c r="HR73" s="150"/>
      <c r="HS73" s="150"/>
      <c r="HT73" s="150"/>
      <c r="HU73" s="150"/>
      <c r="HV73" s="150"/>
      <c r="HW73" s="150"/>
      <c r="HX73" s="150"/>
      <c r="HY73" s="150"/>
      <c r="HZ73" s="150"/>
      <c r="IA73" s="150"/>
      <c r="IB73" s="150"/>
      <c r="IC73" s="150"/>
      <c r="ID73" s="150"/>
      <c r="IE73" s="150"/>
      <c r="IF73" s="150"/>
      <c r="IG73" s="150"/>
      <c r="IH73" s="150"/>
      <c r="II73" s="150"/>
      <c r="IJ73" s="150"/>
      <c r="IK73" s="150"/>
      <c r="IL73" s="150"/>
      <c r="IM73" s="150"/>
      <c r="IN73" s="150"/>
      <c r="IO73" s="150"/>
      <c r="IP73" s="150"/>
      <c r="IQ73" s="150"/>
      <c r="IR73" s="150"/>
      <c r="IS73" s="150"/>
      <c r="IT73" s="150"/>
      <c r="IU73" s="150"/>
      <c r="IV73" s="150"/>
      <c r="IW73" s="150"/>
      <c r="IX73" s="150"/>
      <c r="IY73" s="150"/>
      <c r="IZ73" s="150"/>
      <c r="JA73" s="150"/>
      <c r="JB73" s="150"/>
      <c r="JC73" s="150"/>
      <c r="JD73" s="150"/>
      <c r="JE73" s="150"/>
      <c r="JF73" s="150"/>
      <c r="JG73" s="150"/>
      <c r="JH73" s="150"/>
      <c r="JI73" s="150"/>
      <c r="JJ73" s="150"/>
      <c r="JK73" s="150"/>
      <c r="JL73" s="150"/>
      <c r="JM73" s="150"/>
      <c r="JN73" s="150"/>
      <c r="JO73" s="150"/>
      <c r="JP73" s="150"/>
      <c r="JQ73" s="150"/>
      <c r="JR73" s="150"/>
      <c r="JS73" s="150"/>
      <c r="JT73" s="150"/>
      <c r="JU73" s="150"/>
      <c r="JV73" s="150"/>
      <c r="JW73" s="150"/>
      <c r="JX73" s="150"/>
      <c r="JY73" s="150"/>
      <c r="JZ73" s="150"/>
      <c r="KA73" s="150"/>
      <c r="KB73" s="150"/>
      <c r="KC73" s="150"/>
      <c r="KD73" s="150"/>
      <c r="KE73" s="150"/>
      <c r="KF73" s="150"/>
      <c r="KG73" s="150"/>
      <c r="KH73" s="150"/>
      <c r="KI73" s="150"/>
      <c r="KJ73" s="150"/>
      <c r="KK73" s="150"/>
      <c r="KL73" s="150"/>
      <c r="KM73" s="150"/>
      <c r="KN73" s="150"/>
      <c r="KO73" s="150"/>
      <c r="KP73" s="150"/>
      <c r="KQ73" s="150"/>
      <c r="KR73" s="150"/>
      <c r="KS73" s="150"/>
      <c r="KT73" s="150"/>
      <c r="KU73" s="150"/>
      <c r="KV73" s="150"/>
      <c r="KW73" s="150"/>
      <c r="KX73" s="150"/>
      <c r="KY73" s="150"/>
      <c r="KZ73" s="150"/>
      <c r="LA73" s="150"/>
      <c r="LB73" s="150"/>
      <c r="LC73" s="150"/>
      <c r="LD73" s="150"/>
      <c r="LE73" s="150"/>
      <c r="LF73" s="150"/>
      <c r="LG73" s="150"/>
      <c r="LH73" s="150"/>
      <c r="LI73" s="150"/>
      <c r="LJ73" s="150"/>
      <c r="LK73" s="150"/>
      <c r="LL73" s="150"/>
      <c r="LM73" s="150"/>
      <c r="LN73" s="150"/>
      <c r="LO73" s="150"/>
      <c r="LP73" s="150"/>
      <c r="LQ73" s="150"/>
      <c r="LR73" s="150"/>
      <c r="LS73" s="150"/>
      <c r="LT73" s="150"/>
      <c r="LU73" s="150"/>
      <c r="LV73" s="150"/>
      <c r="LW73" s="150"/>
      <c r="LX73" s="150"/>
      <c r="LY73" s="150"/>
      <c r="LZ73" s="150"/>
      <c r="MA73" s="150"/>
      <c r="MB73" s="150"/>
      <c r="MC73" s="150"/>
      <c r="MD73" s="150"/>
      <c r="ME73" s="150"/>
      <c r="MF73" s="150"/>
      <c r="MG73" s="150"/>
      <c r="MH73" s="150"/>
      <c r="MI73" s="150"/>
      <c r="MJ73" s="150"/>
      <c r="MK73" s="150"/>
      <c r="ML73" s="150"/>
      <c r="MM73" s="150"/>
      <c r="MN73" s="150"/>
      <c r="MO73" s="150"/>
      <c r="MP73" s="150"/>
      <c r="MQ73" s="150"/>
      <c r="MR73" s="150"/>
      <c r="MS73" s="150"/>
      <c r="MT73" s="150"/>
      <c r="MU73" s="150"/>
      <c r="MV73" s="150"/>
      <c r="MW73" s="150"/>
      <c r="MX73" s="150"/>
      <c r="MY73" s="150"/>
      <c r="MZ73" s="150"/>
      <c r="NA73" s="150"/>
      <c r="NB73" s="150"/>
      <c r="NC73" s="150"/>
      <c r="ND73" s="150"/>
      <c r="NE73" s="150"/>
      <c r="NF73" s="150"/>
      <c r="NG73" s="150"/>
      <c r="NH73" s="150"/>
      <c r="NI73" s="150"/>
      <c r="NJ73" s="150"/>
      <c r="NK73" s="150"/>
      <c r="NL73" s="150"/>
      <c r="NM73" s="150"/>
      <c r="NN73" s="150"/>
      <c r="NO73" s="150"/>
      <c r="NP73" s="150"/>
      <c r="NQ73" s="150"/>
      <c r="NR73" s="150"/>
      <c r="NS73" s="150"/>
      <c r="NT73" s="150"/>
      <c r="NU73" s="150"/>
      <c r="NV73" s="150"/>
      <c r="NW73" s="150"/>
      <c r="NX73" s="150"/>
      <c r="NY73" s="150"/>
      <c r="NZ73" s="150"/>
      <c r="OA73" s="150"/>
      <c r="OB73" s="150"/>
      <c r="OC73" s="150"/>
      <c r="OD73" s="150"/>
      <c r="OE73" s="150"/>
    </row>
    <row r="74" spans="1:395">
      <c r="A74" s="19"/>
      <c r="B74" s="17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50"/>
      <c r="DQ74" s="150"/>
      <c r="DR74" s="150"/>
      <c r="DS74" s="150"/>
      <c r="DT74" s="150"/>
      <c r="DU74" s="150"/>
      <c r="DV74" s="150"/>
      <c r="DW74" s="150"/>
      <c r="DX74" s="150"/>
      <c r="DY74" s="150"/>
      <c r="DZ74" s="150"/>
      <c r="EA74" s="150"/>
      <c r="EB74" s="150"/>
      <c r="EC74" s="150"/>
      <c r="ED74" s="150"/>
      <c r="EE74" s="150"/>
      <c r="EF74" s="150"/>
      <c r="EG74" s="150"/>
      <c r="EH74" s="150"/>
      <c r="EI74" s="150"/>
      <c r="EJ74" s="150"/>
      <c r="EK74" s="150"/>
      <c r="EL74" s="150"/>
      <c r="EM74" s="150"/>
      <c r="EN74" s="150"/>
      <c r="EO74" s="150"/>
      <c r="EP74" s="150"/>
      <c r="EQ74" s="150"/>
      <c r="ER74" s="150"/>
      <c r="ES74" s="150"/>
      <c r="ET74" s="150"/>
      <c r="EU74" s="150"/>
      <c r="EV74" s="150"/>
      <c r="EW74" s="150"/>
      <c r="EX74" s="150"/>
      <c r="EY74" s="150"/>
      <c r="EZ74" s="150"/>
      <c r="FA74" s="150"/>
      <c r="FB74" s="150"/>
      <c r="FC74" s="150"/>
      <c r="FD74" s="150"/>
      <c r="FE74" s="150"/>
      <c r="FF74" s="150"/>
      <c r="FG74" s="150"/>
      <c r="FH74" s="150"/>
      <c r="FI74" s="150"/>
      <c r="FJ74" s="150"/>
      <c r="FK74" s="150"/>
      <c r="FL74" s="150"/>
      <c r="FM74" s="150"/>
      <c r="FN74" s="150"/>
      <c r="FO74" s="150"/>
      <c r="FP74" s="150"/>
      <c r="FQ74" s="150"/>
      <c r="FR74" s="150"/>
      <c r="FS74" s="150"/>
      <c r="FT74" s="150"/>
      <c r="FU74" s="150"/>
      <c r="FV74" s="150"/>
      <c r="FW74" s="150"/>
      <c r="FX74" s="150"/>
      <c r="FY74" s="150"/>
      <c r="FZ74" s="150"/>
      <c r="GA74" s="150"/>
      <c r="GB74" s="150"/>
      <c r="GC74" s="150"/>
      <c r="GD74" s="150"/>
      <c r="GE74" s="150"/>
      <c r="GF74" s="150"/>
      <c r="GG74" s="150"/>
      <c r="GH74" s="150"/>
      <c r="GI74" s="150"/>
      <c r="GJ74" s="150"/>
      <c r="GK74" s="150"/>
      <c r="GL74" s="150"/>
      <c r="GM74" s="150"/>
      <c r="GN74" s="150"/>
      <c r="GO74" s="150"/>
      <c r="GP74" s="150"/>
      <c r="GQ74" s="150"/>
      <c r="GR74" s="150"/>
      <c r="GS74" s="150"/>
      <c r="GT74" s="150"/>
      <c r="GU74" s="150"/>
      <c r="GV74" s="150"/>
      <c r="GW74" s="150"/>
      <c r="GX74" s="150"/>
      <c r="GY74" s="150"/>
      <c r="GZ74" s="150"/>
      <c r="HA74" s="150"/>
      <c r="HB74" s="150"/>
      <c r="HC74" s="150"/>
      <c r="HD74" s="150"/>
      <c r="HE74" s="150"/>
      <c r="HF74" s="150"/>
      <c r="HG74" s="150"/>
      <c r="HH74" s="150"/>
      <c r="HI74" s="150"/>
      <c r="HJ74" s="150"/>
      <c r="HK74" s="150"/>
      <c r="HL74" s="150"/>
      <c r="HM74" s="150"/>
      <c r="HN74" s="150"/>
      <c r="HO74" s="150"/>
      <c r="HP74" s="150"/>
      <c r="HQ74" s="150"/>
      <c r="HR74" s="150"/>
      <c r="HS74" s="150"/>
      <c r="HT74" s="150"/>
      <c r="HU74" s="150"/>
      <c r="HV74" s="150"/>
      <c r="HW74" s="150"/>
      <c r="HX74" s="150"/>
      <c r="HY74" s="150"/>
      <c r="HZ74" s="150"/>
      <c r="IA74" s="150"/>
      <c r="IB74" s="150"/>
      <c r="IC74" s="150"/>
      <c r="ID74" s="150"/>
      <c r="IE74" s="150"/>
      <c r="IF74" s="150"/>
      <c r="IG74" s="150"/>
      <c r="IH74" s="150"/>
      <c r="II74" s="150"/>
      <c r="IJ74" s="150"/>
      <c r="IK74" s="150"/>
      <c r="IL74" s="150"/>
      <c r="IM74" s="150"/>
      <c r="IN74" s="150"/>
      <c r="IO74" s="150"/>
      <c r="IP74" s="150"/>
      <c r="IQ74" s="150"/>
      <c r="IR74" s="150"/>
      <c r="IS74" s="150"/>
      <c r="IT74" s="150"/>
      <c r="IU74" s="150"/>
      <c r="IV74" s="150"/>
      <c r="IW74" s="150"/>
      <c r="IX74" s="150"/>
      <c r="IY74" s="150"/>
      <c r="IZ74" s="150"/>
      <c r="JA74" s="150"/>
      <c r="JB74" s="150"/>
      <c r="JC74" s="150"/>
      <c r="JD74" s="150"/>
      <c r="JE74" s="150"/>
      <c r="JF74" s="150"/>
      <c r="JG74" s="150"/>
      <c r="JH74" s="150"/>
      <c r="JI74" s="150"/>
      <c r="JJ74" s="150"/>
      <c r="JK74" s="150"/>
      <c r="JL74" s="150"/>
      <c r="JM74" s="150"/>
      <c r="JN74" s="150"/>
      <c r="JO74" s="150"/>
      <c r="JP74" s="150"/>
      <c r="JQ74" s="150"/>
      <c r="JR74" s="150"/>
      <c r="JS74" s="150"/>
      <c r="JT74" s="150"/>
      <c r="JU74" s="150"/>
      <c r="JV74" s="150"/>
      <c r="JW74" s="150"/>
      <c r="JX74" s="150"/>
      <c r="JY74" s="150"/>
      <c r="JZ74" s="150"/>
      <c r="KA74" s="150"/>
      <c r="KB74" s="150"/>
      <c r="KC74" s="150"/>
      <c r="KD74" s="150"/>
      <c r="KE74" s="150"/>
      <c r="KF74" s="150"/>
      <c r="KG74" s="150"/>
      <c r="KH74" s="150"/>
      <c r="KI74" s="150"/>
      <c r="KJ74" s="150"/>
      <c r="KK74" s="150"/>
      <c r="KL74" s="150"/>
      <c r="KM74" s="150"/>
      <c r="KN74" s="150"/>
      <c r="KO74" s="150"/>
      <c r="KP74" s="150"/>
      <c r="KQ74" s="150"/>
      <c r="KR74" s="150"/>
      <c r="KS74" s="150"/>
      <c r="KT74" s="150"/>
      <c r="KU74" s="150"/>
      <c r="KV74" s="150"/>
      <c r="KW74" s="150"/>
      <c r="KX74" s="150"/>
      <c r="KY74" s="150"/>
      <c r="KZ74" s="150"/>
      <c r="LA74" s="150"/>
      <c r="LB74" s="150"/>
      <c r="LC74" s="150"/>
      <c r="LD74" s="150"/>
      <c r="LE74" s="150"/>
      <c r="LF74" s="150"/>
      <c r="LG74" s="150"/>
      <c r="LH74" s="150"/>
      <c r="LI74" s="150"/>
      <c r="LJ74" s="150"/>
      <c r="LK74" s="150"/>
      <c r="LL74" s="150"/>
      <c r="LM74" s="150"/>
      <c r="LN74" s="150"/>
      <c r="LO74" s="150"/>
      <c r="LP74" s="150"/>
      <c r="LQ74" s="150"/>
      <c r="LR74" s="150"/>
      <c r="LS74" s="150"/>
      <c r="LT74" s="150"/>
      <c r="LU74" s="150"/>
      <c r="LV74" s="150"/>
      <c r="LW74" s="150"/>
      <c r="LX74" s="150"/>
      <c r="LY74" s="150"/>
      <c r="LZ74" s="150"/>
      <c r="MA74" s="150"/>
      <c r="MB74" s="150"/>
      <c r="MC74" s="150"/>
      <c r="MD74" s="150"/>
      <c r="ME74" s="150"/>
      <c r="MF74" s="150"/>
      <c r="MG74" s="150"/>
      <c r="MH74" s="150"/>
      <c r="MI74" s="150"/>
      <c r="MJ74" s="150"/>
      <c r="MK74" s="150"/>
      <c r="ML74" s="150"/>
      <c r="MM74" s="150"/>
      <c r="MN74" s="150"/>
      <c r="MO74" s="150"/>
      <c r="MP74" s="150"/>
      <c r="MQ74" s="150"/>
      <c r="MR74" s="150"/>
      <c r="MS74" s="150"/>
      <c r="MT74" s="150"/>
      <c r="MU74" s="150"/>
      <c r="MV74" s="150"/>
      <c r="MW74" s="150"/>
      <c r="MX74" s="150"/>
      <c r="MY74" s="150"/>
      <c r="MZ74" s="150"/>
      <c r="NA74" s="150"/>
      <c r="NB74" s="150"/>
      <c r="NC74" s="150"/>
      <c r="ND74" s="150"/>
      <c r="NE74" s="150"/>
      <c r="NF74" s="150"/>
      <c r="NG74" s="150"/>
      <c r="NH74" s="150"/>
      <c r="NI74" s="150"/>
      <c r="NJ74" s="150"/>
      <c r="NK74" s="150"/>
      <c r="NL74" s="150"/>
      <c r="NM74" s="150"/>
      <c r="NN74" s="150"/>
      <c r="NO74" s="150"/>
      <c r="NP74" s="150"/>
      <c r="NQ74" s="150"/>
      <c r="NR74" s="150"/>
      <c r="NS74" s="150"/>
      <c r="NT74" s="150"/>
      <c r="NU74" s="150"/>
      <c r="NV74" s="150"/>
      <c r="NW74" s="150"/>
      <c r="NX74" s="150"/>
      <c r="NY74" s="150"/>
      <c r="NZ74" s="150"/>
      <c r="OA74" s="150"/>
      <c r="OB74" s="150"/>
      <c r="OC74" s="150"/>
      <c r="OD74" s="150"/>
      <c r="OE74" s="150"/>
    </row>
    <row r="75" spans="1:395">
      <c r="A75" s="19"/>
      <c r="B75" s="17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50"/>
      <c r="DQ75" s="150"/>
      <c r="DR75" s="150"/>
      <c r="DS75" s="150"/>
      <c r="DT75" s="150"/>
      <c r="DU75" s="150"/>
      <c r="DV75" s="150"/>
      <c r="DW75" s="150"/>
      <c r="DX75" s="150"/>
      <c r="DY75" s="150"/>
      <c r="DZ75" s="150"/>
      <c r="EA75" s="150"/>
      <c r="EB75" s="150"/>
      <c r="EC75" s="150"/>
      <c r="ED75" s="150"/>
      <c r="EE75" s="150"/>
      <c r="EF75" s="150"/>
      <c r="EG75" s="150"/>
      <c r="EH75" s="150"/>
      <c r="EI75" s="150"/>
      <c r="EJ75" s="150"/>
      <c r="EK75" s="150"/>
      <c r="EL75" s="150"/>
      <c r="EM75" s="150"/>
      <c r="EN75" s="150"/>
      <c r="EO75" s="150"/>
      <c r="EP75" s="150"/>
      <c r="EQ75" s="150"/>
      <c r="ER75" s="150"/>
      <c r="ES75" s="150"/>
      <c r="ET75" s="150"/>
      <c r="EU75" s="150"/>
      <c r="EV75" s="150"/>
      <c r="EW75" s="150"/>
      <c r="EX75" s="150"/>
      <c r="EY75" s="150"/>
      <c r="EZ75" s="150"/>
      <c r="FA75" s="150"/>
      <c r="FB75" s="150"/>
      <c r="FC75" s="150"/>
      <c r="FD75" s="150"/>
      <c r="FE75" s="150"/>
      <c r="FF75" s="150"/>
      <c r="FG75" s="150"/>
      <c r="FH75" s="150"/>
      <c r="FI75" s="150"/>
      <c r="FJ75" s="150"/>
      <c r="FK75" s="150"/>
      <c r="FL75" s="150"/>
      <c r="FM75" s="150"/>
      <c r="FN75" s="150"/>
      <c r="FO75" s="150"/>
      <c r="FP75" s="150"/>
      <c r="FQ75" s="150"/>
      <c r="FR75" s="150"/>
      <c r="FS75" s="150"/>
      <c r="FT75" s="150"/>
      <c r="FU75" s="150"/>
      <c r="FV75" s="150"/>
      <c r="FW75" s="150"/>
      <c r="FX75" s="150"/>
      <c r="FY75" s="150"/>
      <c r="FZ75" s="150"/>
      <c r="GA75" s="150"/>
      <c r="GB75" s="150"/>
      <c r="GC75" s="150"/>
      <c r="GD75" s="150"/>
      <c r="GE75" s="150"/>
      <c r="GF75" s="150"/>
      <c r="GG75" s="150"/>
      <c r="GH75" s="150"/>
      <c r="GI75" s="150"/>
      <c r="GJ75" s="150"/>
      <c r="GK75" s="150"/>
      <c r="GL75" s="150"/>
      <c r="GM75" s="150"/>
      <c r="GN75" s="150"/>
      <c r="GO75" s="150"/>
      <c r="GP75" s="150"/>
      <c r="GQ75" s="150"/>
      <c r="GR75" s="150"/>
      <c r="GS75" s="150"/>
      <c r="GT75" s="150"/>
      <c r="GU75" s="150"/>
      <c r="GV75" s="150"/>
      <c r="GW75" s="150"/>
      <c r="GX75" s="150"/>
      <c r="GY75" s="150"/>
      <c r="GZ75" s="150"/>
      <c r="HA75" s="150"/>
      <c r="HB75" s="150"/>
      <c r="HC75" s="150"/>
      <c r="HD75" s="150"/>
      <c r="HE75" s="150"/>
      <c r="HF75" s="150"/>
      <c r="HG75" s="150"/>
      <c r="HH75" s="150"/>
      <c r="HI75" s="150"/>
      <c r="HJ75" s="150"/>
      <c r="HK75" s="150"/>
      <c r="HL75" s="150"/>
      <c r="HM75" s="150"/>
      <c r="HN75" s="150"/>
      <c r="HO75" s="150"/>
      <c r="HP75" s="150"/>
      <c r="HQ75" s="150"/>
      <c r="HR75" s="150"/>
      <c r="HS75" s="150"/>
      <c r="HT75" s="150"/>
      <c r="HU75" s="150"/>
      <c r="HV75" s="150"/>
      <c r="HW75" s="150"/>
      <c r="HX75" s="150"/>
      <c r="HY75" s="150"/>
      <c r="HZ75" s="150"/>
      <c r="IA75" s="150"/>
      <c r="IB75" s="150"/>
      <c r="IC75" s="150"/>
      <c r="ID75" s="150"/>
      <c r="IE75" s="150"/>
      <c r="IF75" s="150"/>
      <c r="IG75" s="150"/>
      <c r="IH75" s="150"/>
      <c r="II75" s="150"/>
      <c r="IJ75" s="150"/>
      <c r="IK75" s="150"/>
      <c r="IL75" s="150"/>
      <c r="IM75" s="150"/>
      <c r="IN75" s="150"/>
      <c r="IO75" s="150"/>
      <c r="IP75" s="150"/>
      <c r="IQ75" s="150"/>
      <c r="IR75" s="150"/>
      <c r="IS75" s="150"/>
      <c r="IT75" s="150"/>
      <c r="IU75" s="150"/>
      <c r="IV75" s="150"/>
      <c r="IW75" s="150"/>
      <c r="IX75" s="150"/>
      <c r="IY75" s="150"/>
      <c r="IZ75" s="150"/>
      <c r="JA75" s="150"/>
      <c r="JB75" s="150"/>
      <c r="JC75" s="150"/>
      <c r="JD75" s="150"/>
      <c r="JE75" s="150"/>
      <c r="JF75" s="150"/>
      <c r="JG75" s="150"/>
      <c r="JH75" s="150"/>
      <c r="JI75" s="150"/>
      <c r="JJ75" s="150"/>
      <c r="JK75" s="150"/>
      <c r="JL75" s="150"/>
      <c r="JM75" s="150"/>
      <c r="JN75" s="150"/>
      <c r="JO75" s="150"/>
      <c r="JP75" s="150"/>
      <c r="JQ75" s="150"/>
      <c r="JR75" s="150"/>
      <c r="JS75" s="150"/>
      <c r="JT75" s="150"/>
      <c r="JU75" s="150"/>
      <c r="JV75" s="150"/>
      <c r="JW75" s="150"/>
      <c r="JX75" s="150"/>
      <c r="JY75" s="150"/>
      <c r="JZ75" s="150"/>
      <c r="KA75" s="150"/>
      <c r="KB75" s="150"/>
      <c r="KC75" s="150"/>
      <c r="KD75" s="150"/>
      <c r="KE75" s="150"/>
      <c r="KF75" s="150"/>
      <c r="KG75" s="150"/>
      <c r="KH75" s="150"/>
      <c r="KI75" s="150"/>
      <c r="KJ75" s="150"/>
      <c r="KK75" s="150"/>
      <c r="KL75" s="150"/>
      <c r="KM75" s="150"/>
      <c r="KN75" s="150"/>
      <c r="KO75" s="150"/>
      <c r="KP75" s="150"/>
      <c r="KQ75" s="150"/>
      <c r="KR75" s="150"/>
      <c r="KS75" s="150"/>
      <c r="KT75" s="150"/>
      <c r="KU75" s="150"/>
      <c r="KV75" s="150"/>
      <c r="KW75" s="150"/>
      <c r="KX75" s="150"/>
      <c r="KY75" s="150"/>
      <c r="KZ75" s="150"/>
      <c r="LA75" s="150"/>
      <c r="LB75" s="150"/>
      <c r="LC75" s="150"/>
      <c r="LD75" s="150"/>
      <c r="LE75" s="150"/>
      <c r="LF75" s="150"/>
      <c r="LG75" s="150"/>
      <c r="LH75" s="150"/>
      <c r="LI75" s="150"/>
      <c r="LJ75" s="150"/>
      <c r="LK75" s="150"/>
      <c r="LL75" s="150"/>
      <c r="LM75" s="150"/>
      <c r="LN75" s="150"/>
      <c r="LO75" s="150"/>
      <c r="LP75" s="150"/>
      <c r="LQ75" s="150"/>
      <c r="LR75" s="150"/>
      <c r="LS75" s="150"/>
      <c r="LT75" s="150"/>
      <c r="LU75" s="150"/>
      <c r="LV75" s="150"/>
      <c r="LW75" s="150"/>
      <c r="LX75" s="150"/>
      <c r="LY75" s="150"/>
      <c r="LZ75" s="150"/>
      <c r="MA75" s="150"/>
      <c r="MB75" s="150"/>
      <c r="MC75" s="150"/>
      <c r="MD75" s="150"/>
      <c r="ME75" s="150"/>
      <c r="MF75" s="150"/>
      <c r="MG75" s="150"/>
      <c r="MH75" s="150"/>
      <c r="MI75" s="150"/>
      <c r="MJ75" s="150"/>
      <c r="MK75" s="150"/>
      <c r="ML75" s="150"/>
      <c r="MM75" s="150"/>
      <c r="MN75" s="150"/>
      <c r="MO75" s="150"/>
      <c r="MP75" s="150"/>
      <c r="MQ75" s="150"/>
      <c r="MR75" s="150"/>
      <c r="MS75" s="150"/>
      <c r="MT75" s="150"/>
      <c r="MU75" s="150"/>
      <c r="MV75" s="150"/>
      <c r="MW75" s="150"/>
      <c r="MX75" s="150"/>
      <c r="MY75" s="150"/>
      <c r="MZ75" s="150"/>
      <c r="NA75" s="150"/>
      <c r="NB75" s="150"/>
      <c r="NC75" s="150"/>
      <c r="ND75" s="150"/>
      <c r="NE75" s="150"/>
      <c r="NF75" s="150"/>
      <c r="NG75" s="150"/>
      <c r="NH75" s="150"/>
      <c r="NI75" s="150"/>
      <c r="NJ75" s="150"/>
      <c r="NK75" s="150"/>
      <c r="NL75" s="150"/>
      <c r="NM75" s="150"/>
      <c r="NN75" s="150"/>
      <c r="NO75" s="150"/>
      <c r="NP75" s="150"/>
      <c r="NQ75" s="150"/>
      <c r="NR75" s="150"/>
      <c r="NS75" s="150"/>
      <c r="NT75" s="150"/>
      <c r="NU75" s="150"/>
      <c r="NV75" s="150"/>
      <c r="NW75" s="150"/>
      <c r="NX75" s="150"/>
      <c r="NY75" s="150"/>
      <c r="NZ75" s="150"/>
      <c r="OA75" s="150"/>
      <c r="OB75" s="150"/>
      <c r="OC75" s="150"/>
      <c r="OD75" s="150"/>
      <c r="OE75" s="150"/>
    </row>
    <row r="76" spans="1:395">
      <c r="A76" s="19"/>
      <c r="B76" s="17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  <c r="CA76" s="150"/>
      <c r="CB76" s="150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50"/>
      <c r="CR76" s="150"/>
      <c r="CS76" s="150"/>
      <c r="CT76" s="150"/>
      <c r="CU76" s="150"/>
      <c r="CV76" s="150"/>
      <c r="CW76" s="150"/>
      <c r="CX76" s="150"/>
      <c r="CY76" s="150"/>
      <c r="CZ76" s="150"/>
      <c r="DA76" s="150"/>
      <c r="DB76" s="150"/>
      <c r="DC76" s="150"/>
      <c r="DD76" s="150"/>
      <c r="DE76" s="150"/>
      <c r="DF76" s="150"/>
      <c r="DG76" s="150"/>
      <c r="DH76" s="150"/>
      <c r="DI76" s="150"/>
      <c r="DJ76" s="150"/>
      <c r="DK76" s="150"/>
      <c r="DL76" s="150"/>
      <c r="DM76" s="150"/>
      <c r="DN76" s="150"/>
      <c r="DO76" s="150"/>
      <c r="DP76" s="150"/>
      <c r="DQ76" s="150"/>
      <c r="DR76" s="150"/>
      <c r="DS76" s="150"/>
      <c r="DT76" s="150"/>
      <c r="DU76" s="150"/>
      <c r="DV76" s="150"/>
      <c r="DW76" s="150"/>
      <c r="DX76" s="150"/>
      <c r="DY76" s="150"/>
      <c r="DZ76" s="150"/>
      <c r="EA76" s="150"/>
      <c r="EB76" s="150"/>
      <c r="EC76" s="150"/>
      <c r="ED76" s="150"/>
      <c r="EE76" s="150"/>
      <c r="EF76" s="150"/>
      <c r="EG76" s="150"/>
      <c r="EH76" s="150"/>
      <c r="EI76" s="150"/>
      <c r="EJ76" s="150"/>
      <c r="EK76" s="150"/>
      <c r="EL76" s="150"/>
      <c r="EM76" s="150"/>
      <c r="EN76" s="150"/>
      <c r="EO76" s="150"/>
      <c r="EP76" s="150"/>
      <c r="EQ76" s="150"/>
      <c r="ER76" s="150"/>
      <c r="ES76" s="150"/>
      <c r="ET76" s="150"/>
      <c r="EU76" s="150"/>
      <c r="EV76" s="150"/>
      <c r="EW76" s="150"/>
      <c r="EX76" s="150"/>
      <c r="EY76" s="150"/>
      <c r="EZ76" s="150"/>
      <c r="FA76" s="150"/>
      <c r="FB76" s="150"/>
      <c r="FC76" s="150"/>
      <c r="FD76" s="150"/>
      <c r="FE76" s="150"/>
      <c r="FF76" s="150"/>
      <c r="FG76" s="150"/>
      <c r="FH76" s="150"/>
      <c r="FI76" s="150"/>
      <c r="FJ76" s="150"/>
      <c r="FK76" s="150"/>
      <c r="FL76" s="150"/>
      <c r="FM76" s="150"/>
      <c r="FN76" s="150"/>
      <c r="FO76" s="150"/>
      <c r="FP76" s="150"/>
      <c r="FQ76" s="150"/>
      <c r="FR76" s="150"/>
      <c r="FS76" s="150"/>
      <c r="FT76" s="150"/>
      <c r="FU76" s="150"/>
      <c r="FV76" s="150"/>
      <c r="FW76" s="150"/>
      <c r="FX76" s="150"/>
      <c r="FY76" s="150"/>
      <c r="FZ76" s="150"/>
      <c r="GA76" s="150"/>
      <c r="GB76" s="150"/>
      <c r="GC76" s="150"/>
      <c r="GD76" s="150"/>
      <c r="GE76" s="150"/>
      <c r="GF76" s="150"/>
      <c r="GG76" s="150"/>
      <c r="GH76" s="150"/>
      <c r="GI76" s="150"/>
      <c r="GJ76" s="150"/>
      <c r="GK76" s="150"/>
      <c r="GL76" s="150"/>
      <c r="GM76" s="150"/>
      <c r="GN76" s="150"/>
      <c r="GO76" s="150"/>
      <c r="GP76" s="150"/>
      <c r="GQ76" s="150"/>
      <c r="GR76" s="150"/>
      <c r="GS76" s="150"/>
      <c r="GT76" s="150"/>
      <c r="GU76" s="150"/>
      <c r="GV76" s="150"/>
      <c r="GW76" s="150"/>
      <c r="GX76" s="150"/>
      <c r="GY76" s="150"/>
      <c r="GZ76" s="150"/>
      <c r="HA76" s="150"/>
      <c r="HB76" s="150"/>
      <c r="HC76" s="150"/>
      <c r="HD76" s="150"/>
      <c r="HE76" s="150"/>
      <c r="HF76" s="150"/>
      <c r="HG76" s="150"/>
      <c r="HH76" s="150"/>
      <c r="HI76" s="150"/>
      <c r="HJ76" s="150"/>
      <c r="HK76" s="150"/>
      <c r="HL76" s="150"/>
      <c r="HM76" s="150"/>
      <c r="HN76" s="150"/>
      <c r="HO76" s="150"/>
      <c r="HP76" s="150"/>
      <c r="HQ76" s="150"/>
      <c r="HR76" s="150"/>
      <c r="HS76" s="150"/>
      <c r="HT76" s="150"/>
      <c r="HU76" s="150"/>
      <c r="HV76" s="150"/>
      <c r="HW76" s="150"/>
      <c r="HX76" s="150"/>
      <c r="HY76" s="150"/>
      <c r="HZ76" s="150"/>
      <c r="IA76" s="150"/>
      <c r="IB76" s="150"/>
      <c r="IC76" s="150"/>
      <c r="ID76" s="150"/>
      <c r="IE76" s="150"/>
      <c r="IF76" s="150"/>
      <c r="IG76" s="150"/>
      <c r="IH76" s="150"/>
      <c r="II76" s="150"/>
      <c r="IJ76" s="150"/>
      <c r="IK76" s="150"/>
      <c r="IL76" s="150"/>
      <c r="IM76" s="150"/>
      <c r="IN76" s="150"/>
      <c r="IO76" s="150"/>
      <c r="IP76" s="150"/>
      <c r="IQ76" s="150"/>
      <c r="IR76" s="150"/>
      <c r="IS76" s="150"/>
      <c r="IT76" s="150"/>
      <c r="IU76" s="150"/>
      <c r="IV76" s="150"/>
      <c r="IW76" s="150"/>
      <c r="IX76" s="150"/>
      <c r="IY76" s="150"/>
      <c r="IZ76" s="150"/>
      <c r="JA76" s="150"/>
      <c r="JB76" s="150"/>
      <c r="JC76" s="150"/>
      <c r="JD76" s="150"/>
      <c r="JE76" s="150"/>
      <c r="JF76" s="150"/>
      <c r="JG76" s="150"/>
      <c r="JH76" s="150"/>
      <c r="JI76" s="150"/>
      <c r="JJ76" s="150"/>
      <c r="JK76" s="150"/>
      <c r="JL76" s="150"/>
      <c r="JM76" s="150"/>
      <c r="JN76" s="150"/>
      <c r="JO76" s="150"/>
      <c r="JP76" s="150"/>
      <c r="JQ76" s="150"/>
      <c r="JR76" s="150"/>
      <c r="JS76" s="150"/>
      <c r="JT76" s="150"/>
      <c r="JU76" s="150"/>
      <c r="JV76" s="150"/>
      <c r="JW76" s="150"/>
      <c r="JX76" s="150"/>
      <c r="JY76" s="150"/>
      <c r="JZ76" s="150"/>
      <c r="KA76" s="150"/>
      <c r="KB76" s="150"/>
      <c r="KC76" s="150"/>
      <c r="KD76" s="150"/>
      <c r="KE76" s="150"/>
      <c r="KF76" s="150"/>
      <c r="KG76" s="150"/>
      <c r="KH76" s="150"/>
      <c r="KI76" s="150"/>
      <c r="KJ76" s="150"/>
      <c r="KK76" s="150"/>
      <c r="KL76" s="150"/>
      <c r="KM76" s="150"/>
      <c r="KN76" s="150"/>
      <c r="KO76" s="150"/>
      <c r="KP76" s="150"/>
      <c r="KQ76" s="150"/>
      <c r="KR76" s="150"/>
      <c r="KS76" s="150"/>
      <c r="KT76" s="150"/>
      <c r="KU76" s="150"/>
      <c r="KV76" s="150"/>
      <c r="KW76" s="150"/>
      <c r="KX76" s="150"/>
      <c r="KY76" s="150"/>
      <c r="KZ76" s="150"/>
      <c r="LA76" s="150"/>
      <c r="LB76" s="150"/>
      <c r="LC76" s="150"/>
      <c r="LD76" s="150"/>
      <c r="LE76" s="150"/>
      <c r="LF76" s="150"/>
      <c r="LG76" s="150"/>
      <c r="LH76" s="150"/>
      <c r="LI76" s="150"/>
      <c r="LJ76" s="150"/>
      <c r="LK76" s="150"/>
      <c r="LL76" s="150"/>
      <c r="LM76" s="150"/>
      <c r="LN76" s="150"/>
      <c r="LO76" s="150"/>
      <c r="LP76" s="150"/>
      <c r="LQ76" s="150"/>
      <c r="LR76" s="150"/>
      <c r="LS76" s="150"/>
      <c r="LT76" s="150"/>
      <c r="LU76" s="150"/>
      <c r="LV76" s="150"/>
      <c r="LW76" s="150"/>
      <c r="LX76" s="150"/>
      <c r="LY76" s="150"/>
      <c r="LZ76" s="150"/>
      <c r="MA76" s="150"/>
      <c r="MB76" s="150"/>
      <c r="MC76" s="150"/>
      <c r="MD76" s="150"/>
      <c r="ME76" s="150"/>
      <c r="MF76" s="150"/>
      <c r="MG76" s="150"/>
      <c r="MH76" s="150"/>
      <c r="MI76" s="150"/>
      <c r="MJ76" s="150"/>
      <c r="MK76" s="150"/>
      <c r="ML76" s="150"/>
      <c r="MM76" s="150"/>
      <c r="MN76" s="150"/>
      <c r="MO76" s="150"/>
      <c r="MP76" s="150"/>
      <c r="MQ76" s="150"/>
      <c r="MR76" s="150"/>
      <c r="MS76" s="150"/>
      <c r="MT76" s="150"/>
      <c r="MU76" s="150"/>
      <c r="MV76" s="150"/>
      <c r="MW76" s="150"/>
      <c r="MX76" s="150"/>
      <c r="MY76" s="150"/>
      <c r="MZ76" s="150"/>
      <c r="NA76" s="150"/>
      <c r="NB76" s="150"/>
      <c r="NC76" s="150"/>
      <c r="ND76" s="150"/>
      <c r="NE76" s="150"/>
      <c r="NF76" s="150"/>
      <c r="NG76" s="150"/>
      <c r="NH76" s="150"/>
      <c r="NI76" s="150"/>
      <c r="NJ76" s="150"/>
      <c r="NK76" s="150"/>
      <c r="NL76" s="150"/>
      <c r="NM76" s="150"/>
      <c r="NN76" s="150"/>
      <c r="NO76" s="150"/>
      <c r="NP76" s="150"/>
      <c r="NQ76" s="150"/>
      <c r="NR76" s="150"/>
      <c r="NS76" s="150"/>
      <c r="NT76" s="150"/>
      <c r="NU76" s="150"/>
      <c r="NV76" s="150"/>
      <c r="NW76" s="150"/>
      <c r="NX76" s="150"/>
      <c r="NY76" s="150"/>
      <c r="NZ76" s="150"/>
      <c r="OA76" s="150"/>
      <c r="OB76" s="150"/>
      <c r="OC76" s="150"/>
      <c r="OD76" s="150"/>
      <c r="OE76" s="150"/>
    </row>
    <row r="77" spans="1:395">
      <c r="A77" s="19"/>
      <c r="B77" s="17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85"/>
      <c r="Q77" s="185"/>
      <c r="R77" s="185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  <c r="CA77" s="150"/>
      <c r="CB77" s="150"/>
      <c r="CC77" s="150"/>
      <c r="CD77" s="150"/>
      <c r="CE77" s="150"/>
      <c r="CF77" s="150"/>
      <c r="CG77" s="150"/>
      <c r="CH77" s="150"/>
      <c r="CI77" s="150"/>
      <c r="CJ77" s="150"/>
      <c r="CK77" s="150"/>
      <c r="CL77" s="150"/>
      <c r="CM77" s="150"/>
      <c r="CN77" s="150"/>
      <c r="CO77" s="150"/>
      <c r="CP77" s="150"/>
      <c r="CQ77" s="150"/>
      <c r="CR77" s="150"/>
      <c r="CS77" s="150"/>
      <c r="CT77" s="150"/>
      <c r="CU77" s="150"/>
      <c r="CV77" s="150"/>
      <c r="CW77" s="150"/>
      <c r="CX77" s="150"/>
      <c r="CY77" s="150"/>
      <c r="CZ77" s="150"/>
      <c r="DA77" s="150"/>
      <c r="DB77" s="150"/>
      <c r="DC77" s="150"/>
      <c r="DD77" s="150"/>
      <c r="DE77" s="150"/>
      <c r="DF77" s="150"/>
      <c r="DG77" s="150"/>
      <c r="DH77" s="150"/>
      <c r="DI77" s="150"/>
      <c r="DJ77" s="150"/>
      <c r="DK77" s="150"/>
      <c r="DL77" s="150"/>
      <c r="DM77" s="150"/>
      <c r="DN77" s="150"/>
      <c r="DO77" s="150"/>
      <c r="DP77" s="150"/>
      <c r="DQ77" s="150"/>
      <c r="DR77" s="150"/>
      <c r="DS77" s="150"/>
      <c r="DT77" s="150"/>
      <c r="DU77" s="150"/>
      <c r="DV77" s="150"/>
      <c r="DW77" s="150"/>
      <c r="DX77" s="150"/>
      <c r="DY77" s="150"/>
      <c r="DZ77" s="150"/>
      <c r="EA77" s="150"/>
      <c r="EB77" s="150"/>
      <c r="EC77" s="150"/>
      <c r="ED77" s="150"/>
      <c r="EE77" s="150"/>
      <c r="EF77" s="150"/>
      <c r="EG77" s="150"/>
      <c r="EH77" s="150"/>
      <c r="EI77" s="150"/>
      <c r="EJ77" s="150"/>
      <c r="EK77" s="150"/>
      <c r="EL77" s="150"/>
      <c r="EM77" s="150"/>
      <c r="EN77" s="150"/>
      <c r="EO77" s="150"/>
      <c r="EP77" s="150"/>
      <c r="EQ77" s="150"/>
      <c r="ER77" s="150"/>
      <c r="ES77" s="150"/>
      <c r="ET77" s="150"/>
      <c r="EU77" s="150"/>
      <c r="EV77" s="150"/>
      <c r="EW77" s="150"/>
      <c r="EX77" s="150"/>
      <c r="EY77" s="150"/>
      <c r="EZ77" s="150"/>
      <c r="FA77" s="150"/>
      <c r="FB77" s="150"/>
      <c r="FC77" s="150"/>
      <c r="FD77" s="150"/>
      <c r="FE77" s="150"/>
      <c r="FF77" s="150"/>
      <c r="FG77" s="150"/>
      <c r="FH77" s="150"/>
      <c r="FI77" s="150"/>
      <c r="FJ77" s="150"/>
      <c r="FK77" s="150"/>
      <c r="FL77" s="150"/>
      <c r="FM77" s="150"/>
      <c r="FN77" s="150"/>
      <c r="FO77" s="150"/>
      <c r="FP77" s="150"/>
      <c r="FQ77" s="150"/>
      <c r="FR77" s="150"/>
      <c r="FS77" s="150"/>
      <c r="FT77" s="150"/>
      <c r="FU77" s="150"/>
      <c r="FV77" s="150"/>
      <c r="FW77" s="150"/>
      <c r="FX77" s="150"/>
      <c r="FY77" s="150"/>
      <c r="FZ77" s="150"/>
      <c r="GA77" s="150"/>
      <c r="GB77" s="150"/>
      <c r="GC77" s="150"/>
      <c r="GD77" s="150"/>
      <c r="GE77" s="150"/>
      <c r="GF77" s="150"/>
      <c r="GG77" s="150"/>
      <c r="GH77" s="150"/>
      <c r="GI77" s="150"/>
      <c r="GJ77" s="150"/>
      <c r="GK77" s="150"/>
      <c r="GL77" s="150"/>
      <c r="GM77" s="150"/>
      <c r="GN77" s="150"/>
      <c r="GO77" s="150"/>
      <c r="GP77" s="150"/>
      <c r="GQ77" s="150"/>
      <c r="GR77" s="150"/>
      <c r="GS77" s="150"/>
      <c r="GT77" s="150"/>
      <c r="GU77" s="150"/>
      <c r="GV77" s="150"/>
      <c r="GW77" s="150"/>
      <c r="GX77" s="150"/>
      <c r="GY77" s="150"/>
      <c r="GZ77" s="150"/>
      <c r="HA77" s="150"/>
      <c r="HB77" s="150"/>
      <c r="HC77" s="150"/>
      <c r="HD77" s="150"/>
      <c r="HE77" s="150"/>
      <c r="HF77" s="150"/>
      <c r="HG77" s="150"/>
      <c r="HH77" s="150"/>
      <c r="HI77" s="150"/>
      <c r="HJ77" s="150"/>
      <c r="HK77" s="150"/>
      <c r="HL77" s="150"/>
      <c r="HM77" s="150"/>
      <c r="HN77" s="150"/>
      <c r="HO77" s="150"/>
      <c r="HP77" s="150"/>
      <c r="HQ77" s="150"/>
      <c r="HR77" s="150"/>
      <c r="HS77" s="150"/>
      <c r="HT77" s="150"/>
      <c r="HU77" s="150"/>
      <c r="HV77" s="150"/>
      <c r="HW77" s="150"/>
      <c r="HX77" s="150"/>
      <c r="HY77" s="150"/>
      <c r="HZ77" s="150"/>
      <c r="IA77" s="150"/>
      <c r="IB77" s="150"/>
      <c r="IC77" s="150"/>
      <c r="ID77" s="150"/>
      <c r="IE77" s="150"/>
      <c r="IF77" s="150"/>
      <c r="IG77" s="150"/>
      <c r="IH77" s="150"/>
      <c r="II77" s="150"/>
      <c r="IJ77" s="150"/>
      <c r="IK77" s="150"/>
      <c r="IL77" s="150"/>
      <c r="IM77" s="150"/>
      <c r="IN77" s="150"/>
      <c r="IO77" s="150"/>
      <c r="IP77" s="150"/>
      <c r="IQ77" s="150"/>
      <c r="IR77" s="150"/>
      <c r="IS77" s="150"/>
      <c r="IT77" s="150"/>
      <c r="IU77" s="150"/>
      <c r="IV77" s="150"/>
      <c r="IW77" s="150"/>
      <c r="IX77" s="150"/>
      <c r="IY77" s="150"/>
      <c r="IZ77" s="150"/>
      <c r="JA77" s="150"/>
      <c r="JB77" s="150"/>
      <c r="JC77" s="150"/>
      <c r="JD77" s="150"/>
      <c r="JE77" s="150"/>
      <c r="JF77" s="150"/>
      <c r="JG77" s="150"/>
      <c r="JH77" s="150"/>
      <c r="JI77" s="150"/>
      <c r="JJ77" s="150"/>
      <c r="JK77" s="150"/>
      <c r="JL77" s="150"/>
      <c r="JM77" s="150"/>
      <c r="JN77" s="150"/>
      <c r="JO77" s="150"/>
      <c r="JP77" s="150"/>
      <c r="JQ77" s="150"/>
      <c r="JR77" s="150"/>
      <c r="JS77" s="150"/>
      <c r="JT77" s="150"/>
      <c r="JU77" s="150"/>
      <c r="JV77" s="150"/>
      <c r="JW77" s="150"/>
      <c r="JX77" s="150"/>
      <c r="JY77" s="150"/>
      <c r="JZ77" s="150"/>
      <c r="KA77" s="150"/>
      <c r="KB77" s="150"/>
      <c r="KC77" s="150"/>
      <c r="KD77" s="150"/>
      <c r="KE77" s="150"/>
      <c r="KF77" s="150"/>
      <c r="KG77" s="150"/>
      <c r="KH77" s="150"/>
      <c r="KI77" s="150"/>
      <c r="KJ77" s="150"/>
      <c r="KK77" s="150"/>
      <c r="KL77" s="150"/>
      <c r="KM77" s="150"/>
      <c r="KN77" s="150"/>
      <c r="KO77" s="150"/>
      <c r="KP77" s="150"/>
      <c r="KQ77" s="150"/>
      <c r="KR77" s="150"/>
      <c r="KS77" s="150"/>
      <c r="KT77" s="150"/>
      <c r="KU77" s="150"/>
      <c r="KV77" s="150"/>
      <c r="KW77" s="150"/>
      <c r="KX77" s="150"/>
      <c r="KY77" s="150"/>
      <c r="KZ77" s="150"/>
      <c r="LA77" s="150"/>
      <c r="LB77" s="150"/>
      <c r="LC77" s="150"/>
      <c r="LD77" s="150"/>
      <c r="LE77" s="150"/>
      <c r="LF77" s="150"/>
      <c r="LG77" s="150"/>
      <c r="LH77" s="150"/>
      <c r="LI77" s="150"/>
      <c r="LJ77" s="150"/>
      <c r="LK77" s="150"/>
      <c r="LL77" s="150"/>
      <c r="LM77" s="150"/>
      <c r="LN77" s="150"/>
      <c r="LO77" s="150"/>
      <c r="LP77" s="150"/>
      <c r="LQ77" s="150"/>
      <c r="LR77" s="150"/>
      <c r="LS77" s="150"/>
      <c r="LT77" s="150"/>
      <c r="LU77" s="150"/>
      <c r="LV77" s="150"/>
      <c r="LW77" s="150"/>
      <c r="LX77" s="150"/>
      <c r="LY77" s="150"/>
      <c r="LZ77" s="150"/>
      <c r="MA77" s="150"/>
      <c r="MB77" s="150"/>
      <c r="MC77" s="150"/>
      <c r="MD77" s="150"/>
      <c r="ME77" s="150"/>
      <c r="MF77" s="150"/>
      <c r="MG77" s="150"/>
      <c r="MH77" s="150"/>
      <c r="MI77" s="150"/>
      <c r="MJ77" s="150"/>
      <c r="MK77" s="150"/>
      <c r="ML77" s="150"/>
      <c r="MM77" s="150"/>
      <c r="MN77" s="150"/>
      <c r="MO77" s="150"/>
      <c r="MP77" s="150"/>
      <c r="MQ77" s="150"/>
      <c r="MR77" s="150"/>
      <c r="MS77" s="150"/>
      <c r="MT77" s="150"/>
      <c r="MU77" s="150"/>
      <c r="MV77" s="150"/>
      <c r="MW77" s="150"/>
      <c r="MX77" s="150"/>
      <c r="MY77" s="150"/>
      <c r="MZ77" s="150"/>
      <c r="NA77" s="150"/>
      <c r="NB77" s="150"/>
      <c r="NC77" s="150"/>
      <c r="ND77" s="150"/>
      <c r="NE77" s="150"/>
      <c r="NF77" s="150"/>
      <c r="NG77" s="150"/>
      <c r="NH77" s="150"/>
      <c r="NI77" s="150"/>
      <c r="NJ77" s="150"/>
      <c r="NK77" s="150"/>
      <c r="NL77" s="150"/>
      <c r="NM77" s="150"/>
      <c r="NN77" s="150"/>
      <c r="NO77" s="150"/>
      <c r="NP77" s="150"/>
      <c r="NQ77" s="150"/>
      <c r="NR77" s="150"/>
      <c r="NS77" s="150"/>
      <c r="NT77" s="150"/>
      <c r="NU77" s="150"/>
      <c r="NV77" s="150"/>
      <c r="NW77" s="150"/>
      <c r="NX77" s="150"/>
      <c r="NY77" s="150"/>
      <c r="NZ77" s="150"/>
      <c r="OA77" s="150"/>
      <c r="OB77" s="150"/>
      <c r="OC77" s="150"/>
      <c r="OD77" s="150"/>
      <c r="OE77" s="150"/>
    </row>
    <row r="78" spans="1:395">
      <c r="A78" s="19"/>
      <c r="B78" s="17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85"/>
      <c r="Q78" s="185"/>
      <c r="R78" s="185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  <c r="CA78" s="150"/>
      <c r="CB78" s="150"/>
      <c r="CC78" s="150"/>
      <c r="CD78" s="150"/>
      <c r="CE78" s="150"/>
      <c r="CF78" s="150"/>
      <c r="CG78" s="150"/>
      <c r="CH78" s="150"/>
      <c r="CI78" s="150"/>
      <c r="CJ78" s="150"/>
      <c r="CK78" s="150"/>
      <c r="CL78" s="150"/>
      <c r="CM78" s="150"/>
      <c r="CN78" s="150"/>
      <c r="CO78" s="150"/>
      <c r="CP78" s="150"/>
      <c r="CQ78" s="150"/>
      <c r="CR78" s="150"/>
      <c r="CS78" s="150"/>
      <c r="CT78" s="150"/>
      <c r="CU78" s="150"/>
      <c r="CV78" s="150"/>
      <c r="CW78" s="150"/>
      <c r="CX78" s="150"/>
      <c r="CY78" s="150"/>
      <c r="CZ78" s="150"/>
      <c r="DA78" s="150"/>
      <c r="DB78" s="150"/>
      <c r="DC78" s="150"/>
      <c r="DD78" s="150"/>
      <c r="DE78" s="150"/>
      <c r="DF78" s="150"/>
      <c r="DG78" s="150"/>
      <c r="DH78" s="150"/>
      <c r="DI78" s="150"/>
      <c r="DJ78" s="150"/>
      <c r="DK78" s="150"/>
      <c r="DL78" s="150"/>
      <c r="DM78" s="150"/>
      <c r="DN78" s="150"/>
      <c r="DO78" s="150"/>
      <c r="DP78" s="150"/>
      <c r="DQ78" s="150"/>
      <c r="DR78" s="150"/>
      <c r="DS78" s="150"/>
      <c r="DT78" s="150"/>
      <c r="DU78" s="150"/>
      <c r="DV78" s="150"/>
      <c r="DW78" s="150"/>
      <c r="DX78" s="150"/>
      <c r="DY78" s="150"/>
      <c r="DZ78" s="150"/>
      <c r="EA78" s="150"/>
      <c r="EB78" s="150"/>
      <c r="EC78" s="150"/>
      <c r="ED78" s="150"/>
      <c r="EE78" s="150"/>
      <c r="EF78" s="150"/>
      <c r="EG78" s="150"/>
      <c r="EH78" s="150"/>
      <c r="EI78" s="150"/>
      <c r="EJ78" s="150"/>
      <c r="EK78" s="150"/>
      <c r="EL78" s="150"/>
      <c r="EM78" s="150"/>
      <c r="EN78" s="150"/>
      <c r="EO78" s="150"/>
      <c r="EP78" s="150"/>
      <c r="EQ78" s="150"/>
      <c r="ER78" s="150"/>
      <c r="ES78" s="150"/>
      <c r="ET78" s="150"/>
      <c r="EU78" s="150"/>
      <c r="EV78" s="150"/>
      <c r="EW78" s="150"/>
      <c r="EX78" s="150"/>
      <c r="EY78" s="150"/>
      <c r="EZ78" s="150"/>
      <c r="FA78" s="150"/>
      <c r="FB78" s="150"/>
      <c r="FC78" s="150"/>
      <c r="FD78" s="150"/>
      <c r="FE78" s="150"/>
      <c r="FF78" s="150"/>
      <c r="FG78" s="150"/>
      <c r="FH78" s="150"/>
      <c r="FI78" s="150"/>
      <c r="FJ78" s="150"/>
      <c r="FK78" s="150"/>
      <c r="FL78" s="150"/>
      <c r="FM78" s="150"/>
      <c r="FN78" s="150"/>
      <c r="FO78" s="150"/>
      <c r="FP78" s="150"/>
      <c r="FQ78" s="150"/>
      <c r="FR78" s="150"/>
      <c r="FS78" s="150"/>
      <c r="FT78" s="150"/>
      <c r="FU78" s="150"/>
      <c r="FV78" s="150"/>
      <c r="FW78" s="150"/>
      <c r="FX78" s="150"/>
      <c r="FY78" s="150"/>
      <c r="FZ78" s="150"/>
      <c r="GA78" s="150"/>
      <c r="GB78" s="150"/>
      <c r="GC78" s="150"/>
      <c r="GD78" s="150"/>
      <c r="GE78" s="150"/>
      <c r="GF78" s="150"/>
      <c r="GG78" s="150"/>
      <c r="GH78" s="150"/>
      <c r="GI78" s="150"/>
      <c r="GJ78" s="150"/>
      <c r="GK78" s="150"/>
      <c r="GL78" s="150"/>
      <c r="GM78" s="150"/>
      <c r="GN78" s="150"/>
      <c r="GO78" s="150"/>
      <c r="GP78" s="150"/>
      <c r="GQ78" s="150"/>
      <c r="GR78" s="150"/>
      <c r="GS78" s="150"/>
      <c r="GT78" s="150"/>
      <c r="GU78" s="150"/>
      <c r="GV78" s="150"/>
      <c r="GW78" s="150"/>
      <c r="GX78" s="150"/>
      <c r="GY78" s="150"/>
      <c r="GZ78" s="150"/>
      <c r="HA78" s="150"/>
      <c r="HB78" s="150"/>
      <c r="HC78" s="150"/>
      <c r="HD78" s="150"/>
      <c r="HE78" s="150"/>
      <c r="HF78" s="150"/>
      <c r="HG78" s="150"/>
      <c r="HH78" s="150"/>
      <c r="HI78" s="150"/>
      <c r="HJ78" s="150"/>
      <c r="HK78" s="150"/>
      <c r="HL78" s="150"/>
      <c r="HM78" s="150"/>
      <c r="HN78" s="150"/>
      <c r="HO78" s="150"/>
      <c r="HP78" s="150"/>
      <c r="HQ78" s="150"/>
      <c r="HR78" s="150"/>
      <c r="HS78" s="150"/>
      <c r="HT78" s="150"/>
      <c r="HU78" s="150"/>
      <c r="HV78" s="150"/>
      <c r="HW78" s="150"/>
      <c r="HX78" s="150"/>
      <c r="HY78" s="150"/>
      <c r="HZ78" s="150"/>
      <c r="IA78" s="150"/>
      <c r="IB78" s="150"/>
      <c r="IC78" s="150"/>
      <c r="ID78" s="150"/>
      <c r="IE78" s="150"/>
      <c r="IF78" s="150"/>
      <c r="IG78" s="150"/>
      <c r="IH78" s="150"/>
      <c r="II78" s="150"/>
      <c r="IJ78" s="150"/>
      <c r="IK78" s="150"/>
      <c r="IL78" s="150"/>
      <c r="IM78" s="150"/>
      <c r="IN78" s="150"/>
      <c r="IO78" s="150"/>
      <c r="IP78" s="150"/>
      <c r="IQ78" s="150"/>
      <c r="IR78" s="150"/>
      <c r="IS78" s="150"/>
      <c r="IT78" s="150"/>
      <c r="IU78" s="150"/>
      <c r="IV78" s="150"/>
      <c r="IW78" s="150"/>
      <c r="IX78" s="150"/>
      <c r="IY78" s="150"/>
      <c r="IZ78" s="150"/>
      <c r="JA78" s="150"/>
      <c r="JB78" s="150"/>
      <c r="JC78" s="150"/>
      <c r="JD78" s="150"/>
      <c r="JE78" s="150"/>
      <c r="JF78" s="150"/>
      <c r="JG78" s="150"/>
      <c r="JH78" s="150"/>
      <c r="JI78" s="150"/>
      <c r="JJ78" s="150"/>
      <c r="JK78" s="150"/>
      <c r="JL78" s="150"/>
      <c r="JM78" s="150"/>
      <c r="JN78" s="150"/>
      <c r="JO78" s="150"/>
      <c r="JP78" s="150"/>
      <c r="JQ78" s="150"/>
      <c r="JR78" s="150"/>
      <c r="JS78" s="150"/>
      <c r="JT78" s="150"/>
      <c r="JU78" s="150"/>
      <c r="JV78" s="150"/>
      <c r="JW78" s="150"/>
      <c r="JX78" s="150"/>
      <c r="JY78" s="150"/>
      <c r="JZ78" s="150"/>
      <c r="KA78" s="150"/>
      <c r="KB78" s="150"/>
      <c r="KC78" s="150"/>
      <c r="KD78" s="150"/>
      <c r="KE78" s="150"/>
      <c r="KF78" s="150"/>
      <c r="KG78" s="150"/>
      <c r="KH78" s="150"/>
      <c r="KI78" s="150"/>
      <c r="KJ78" s="150"/>
      <c r="KK78" s="150"/>
      <c r="KL78" s="150"/>
      <c r="KM78" s="150"/>
      <c r="KN78" s="150"/>
      <c r="KO78" s="150"/>
      <c r="KP78" s="150"/>
      <c r="KQ78" s="150"/>
      <c r="KR78" s="150"/>
      <c r="KS78" s="150"/>
      <c r="KT78" s="150"/>
      <c r="KU78" s="150"/>
      <c r="KV78" s="150"/>
      <c r="KW78" s="150"/>
      <c r="KX78" s="150"/>
      <c r="KY78" s="150"/>
      <c r="KZ78" s="150"/>
      <c r="LA78" s="150"/>
      <c r="LB78" s="150"/>
      <c r="LC78" s="150"/>
      <c r="LD78" s="150"/>
      <c r="LE78" s="150"/>
      <c r="LF78" s="150"/>
      <c r="LG78" s="150"/>
      <c r="LH78" s="150"/>
      <c r="LI78" s="150"/>
      <c r="LJ78" s="150"/>
      <c r="LK78" s="150"/>
      <c r="LL78" s="150"/>
      <c r="LM78" s="150"/>
      <c r="LN78" s="150"/>
      <c r="LO78" s="150"/>
      <c r="LP78" s="150"/>
      <c r="LQ78" s="150"/>
      <c r="LR78" s="150"/>
      <c r="LS78" s="150"/>
      <c r="LT78" s="150"/>
      <c r="LU78" s="150"/>
      <c r="LV78" s="150"/>
      <c r="LW78" s="150"/>
      <c r="LX78" s="150"/>
      <c r="LY78" s="150"/>
      <c r="LZ78" s="150"/>
      <c r="MA78" s="150"/>
      <c r="MB78" s="150"/>
      <c r="MC78" s="150"/>
      <c r="MD78" s="150"/>
      <c r="ME78" s="150"/>
      <c r="MF78" s="150"/>
      <c r="MG78" s="150"/>
      <c r="MH78" s="150"/>
      <c r="MI78" s="150"/>
      <c r="MJ78" s="150"/>
      <c r="MK78" s="150"/>
      <c r="ML78" s="150"/>
      <c r="MM78" s="150"/>
      <c r="MN78" s="150"/>
      <c r="MO78" s="150"/>
      <c r="MP78" s="150"/>
      <c r="MQ78" s="150"/>
      <c r="MR78" s="150"/>
      <c r="MS78" s="150"/>
      <c r="MT78" s="150"/>
      <c r="MU78" s="150"/>
      <c r="MV78" s="150"/>
      <c r="MW78" s="150"/>
      <c r="MX78" s="150"/>
      <c r="MY78" s="150"/>
      <c r="MZ78" s="150"/>
      <c r="NA78" s="150"/>
      <c r="NB78" s="150"/>
      <c r="NC78" s="150"/>
      <c r="ND78" s="150"/>
      <c r="NE78" s="150"/>
      <c r="NF78" s="150"/>
      <c r="NG78" s="150"/>
      <c r="NH78" s="150"/>
      <c r="NI78" s="150"/>
      <c r="NJ78" s="150"/>
      <c r="NK78" s="150"/>
      <c r="NL78" s="150"/>
      <c r="NM78" s="150"/>
      <c r="NN78" s="150"/>
      <c r="NO78" s="150"/>
      <c r="NP78" s="150"/>
      <c r="NQ78" s="150"/>
      <c r="NR78" s="150"/>
      <c r="NS78" s="150"/>
      <c r="NT78" s="150"/>
      <c r="NU78" s="150"/>
      <c r="NV78" s="150"/>
      <c r="NW78" s="150"/>
      <c r="NX78" s="150"/>
      <c r="NY78" s="150"/>
      <c r="NZ78" s="150"/>
      <c r="OA78" s="150"/>
      <c r="OB78" s="150"/>
      <c r="OC78" s="150"/>
      <c r="OD78" s="150"/>
      <c r="OE78" s="150"/>
    </row>
    <row r="79" spans="1:395">
      <c r="A79" s="19"/>
      <c r="B79" s="17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85"/>
      <c r="Q79" s="185"/>
      <c r="R79" s="185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  <c r="EC79" s="150"/>
      <c r="ED79" s="150"/>
      <c r="EE79" s="150"/>
      <c r="EF79" s="150"/>
      <c r="EG79" s="150"/>
      <c r="EH79" s="150"/>
      <c r="EI79" s="150"/>
      <c r="EJ79" s="150"/>
      <c r="EK79" s="150"/>
      <c r="EL79" s="150"/>
      <c r="EM79" s="150"/>
      <c r="EN79" s="150"/>
      <c r="EO79" s="150"/>
      <c r="EP79" s="150"/>
      <c r="EQ79" s="150"/>
      <c r="ER79" s="150"/>
      <c r="ES79" s="150"/>
      <c r="ET79" s="150"/>
      <c r="EU79" s="150"/>
      <c r="EV79" s="150"/>
      <c r="EW79" s="150"/>
      <c r="EX79" s="150"/>
      <c r="EY79" s="150"/>
      <c r="EZ79" s="150"/>
      <c r="FA79" s="150"/>
      <c r="FB79" s="150"/>
      <c r="FC79" s="150"/>
      <c r="FD79" s="150"/>
      <c r="FE79" s="150"/>
      <c r="FF79" s="150"/>
      <c r="FG79" s="150"/>
      <c r="FH79" s="150"/>
      <c r="FI79" s="150"/>
      <c r="FJ79" s="150"/>
      <c r="FK79" s="150"/>
      <c r="FL79" s="150"/>
      <c r="FM79" s="150"/>
      <c r="FN79" s="150"/>
      <c r="FO79" s="150"/>
      <c r="FP79" s="150"/>
      <c r="FQ79" s="150"/>
      <c r="FR79" s="150"/>
      <c r="FS79" s="150"/>
      <c r="FT79" s="150"/>
      <c r="FU79" s="150"/>
      <c r="FV79" s="150"/>
      <c r="FW79" s="150"/>
      <c r="FX79" s="150"/>
      <c r="FY79" s="150"/>
      <c r="FZ79" s="150"/>
      <c r="GA79" s="150"/>
      <c r="GB79" s="150"/>
      <c r="GC79" s="150"/>
      <c r="GD79" s="150"/>
      <c r="GE79" s="150"/>
      <c r="GF79" s="150"/>
      <c r="GG79" s="150"/>
      <c r="GH79" s="150"/>
      <c r="GI79" s="150"/>
      <c r="GJ79" s="150"/>
      <c r="GK79" s="150"/>
      <c r="GL79" s="150"/>
      <c r="GM79" s="150"/>
      <c r="GN79" s="150"/>
      <c r="GO79" s="150"/>
      <c r="GP79" s="150"/>
      <c r="GQ79" s="150"/>
      <c r="GR79" s="150"/>
      <c r="GS79" s="150"/>
      <c r="GT79" s="150"/>
      <c r="GU79" s="150"/>
      <c r="GV79" s="150"/>
      <c r="GW79" s="150"/>
      <c r="GX79" s="150"/>
      <c r="GY79" s="150"/>
      <c r="GZ79" s="150"/>
      <c r="HA79" s="150"/>
      <c r="HB79" s="150"/>
      <c r="HC79" s="150"/>
      <c r="HD79" s="150"/>
      <c r="HE79" s="150"/>
      <c r="HF79" s="150"/>
      <c r="HG79" s="150"/>
      <c r="HH79" s="150"/>
      <c r="HI79" s="150"/>
      <c r="HJ79" s="150"/>
      <c r="HK79" s="150"/>
      <c r="HL79" s="150"/>
      <c r="HM79" s="150"/>
      <c r="HN79" s="150"/>
      <c r="HO79" s="150"/>
      <c r="HP79" s="150"/>
      <c r="HQ79" s="150"/>
      <c r="HR79" s="150"/>
      <c r="HS79" s="150"/>
      <c r="HT79" s="150"/>
      <c r="HU79" s="150"/>
      <c r="HV79" s="150"/>
      <c r="HW79" s="150"/>
      <c r="HX79" s="150"/>
      <c r="HY79" s="150"/>
      <c r="HZ79" s="150"/>
      <c r="IA79" s="150"/>
      <c r="IB79" s="150"/>
      <c r="IC79" s="150"/>
      <c r="ID79" s="150"/>
      <c r="IE79" s="150"/>
      <c r="IF79" s="150"/>
      <c r="IG79" s="150"/>
      <c r="IH79" s="150"/>
      <c r="II79" s="150"/>
      <c r="IJ79" s="150"/>
      <c r="IK79" s="150"/>
      <c r="IL79" s="150"/>
      <c r="IM79" s="150"/>
      <c r="IN79" s="150"/>
      <c r="IO79" s="150"/>
      <c r="IP79" s="150"/>
      <c r="IQ79" s="150"/>
      <c r="IR79" s="150"/>
      <c r="IS79" s="150"/>
      <c r="IT79" s="150"/>
      <c r="IU79" s="150"/>
      <c r="IV79" s="150"/>
      <c r="IW79" s="150"/>
      <c r="IX79" s="150"/>
      <c r="IY79" s="150"/>
      <c r="IZ79" s="150"/>
      <c r="JA79" s="150"/>
      <c r="JB79" s="150"/>
      <c r="JC79" s="150"/>
      <c r="JD79" s="150"/>
      <c r="JE79" s="150"/>
      <c r="JF79" s="150"/>
      <c r="JG79" s="150"/>
      <c r="JH79" s="150"/>
      <c r="JI79" s="150"/>
      <c r="JJ79" s="150"/>
      <c r="JK79" s="150"/>
      <c r="JL79" s="150"/>
      <c r="JM79" s="150"/>
      <c r="JN79" s="150"/>
      <c r="JO79" s="150"/>
      <c r="JP79" s="150"/>
      <c r="JQ79" s="150"/>
      <c r="JR79" s="150"/>
      <c r="JS79" s="150"/>
      <c r="JT79" s="150"/>
      <c r="JU79" s="150"/>
      <c r="JV79" s="150"/>
      <c r="JW79" s="150"/>
      <c r="JX79" s="150"/>
      <c r="JY79" s="150"/>
      <c r="JZ79" s="150"/>
      <c r="KA79" s="150"/>
      <c r="KB79" s="150"/>
      <c r="KC79" s="150"/>
      <c r="KD79" s="150"/>
      <c r="KE79" s="150"/>
      <c r="KF79" s="150"/>
      <c r="KG79" s="150"/>
      <c r="KH79" s="150"/>
      <c r="KI79" s="150"/>
      <c r="KJ79" s="150"/>
      <c r="KK79" s="150"/>
      <c r="KL79" s="150"/>
      <c r="KM79" s="150"/>
      <c r="KN79" s="150"/>
      <c r="KO79" s="150"/>
      <c r="KP79" s="150"/>
      <c r="KQ79" s="150"/>
      <c r="KR79" s="150"/>
      <c r="KS79" s="150"/>
      <c r="KT79" s="150"/>
      <c r="KU79" s="150"/>
      <c r="KV79" s="150"/>
      <c r="KW79" s="150"/>
      <c r="KX79" s="150"/>
      <c r="KY79" s="150"/>
      <c r="KZ79" s="150"/>
      <c r="LA79" s="150"/>
      <c r="LB79" s="150"/>
      <c r="LC79" s="150"/>
      <c r="LD79" s="150"/>
      <c r="LE79" s="150"/>
      <c r="LF79" s="150"/>
      <c r="LG79" s="150"/>
      <c r="LH79" s="150"/>
      <c r="LI79" s="150"/>
      <c r="LJ79" s="150"/>
      <c r="LK79" s="150"/>
      <c r="LL79" s="150"/>
      <c r="LM79" s="150"/>
      <c r="LN79" s="150"/>
      <c r="LO79" s="150"/>
      <c r="LP79" s="150"/>
      <c r="LQ79" s="150"/>
      <c r="LR79" s="150"/>
      <c r="LS79" s="150"/>
      <c r="LT79" s="150"/>
      <c r="LU79" s="150"/>
      <c r="LV79" s="150"/>
      <c r="LW79" s="150"/>
      <c r="LX79" s="150"/>
      <c r="LY79" s="150"/>
      <c r="LZ79" s="150"/>
      <c r="MA79" s="150"/>
      <c r="MB79" s="150"/>
      <c r="MC79" s="150"/>
      <c r="MD79" s="150"/>
      <c r="ME79" s="150"/>
      <c r="MF79" s="150"/>
      <c r="MG79" s="150"/>
      <c r="MH79" s="150"/>
      <c r="MI79" s="150"/>
      <c r="MJ79" s="150"/>
      <c r="MK79" s="150"/>
      <c r="ML79" s="150"/>
      <c r="MM79" s="150"/>
      <c r="MN79" s="150"/>
      <c r="MO79" s="150"/>
      <c r="MP79" s="150"/>
      <c r="MQ79" s="150"/>
      <c r="MR79" s="150"/>
      <c r="MS79" s="150"/>
      <c r="MT79" s="150"/>
      <c r="MU79" s="150"/>
      <c r="MV79" s="150"/>
      <c r="MW79" s="150"/>
      <c r="MX79" s="150"/>
      <c r="MY79" s="150"/>
      <c r="MZ79" s="150"/>
      <c r="NA79" s="150"/>
      <c r="NB79" s="150"/>
      <c r="NC79" s="150"/>
      <c r="ND79" s="150"/>
      <c r="NE79" s="150"/>
      <c r="NF79" s="150"/>
      <c r="NG79" s="150"/>
      <c r="NH79" s="150"/>
      <c r="NI79" s="150"/>
      <c r="NJ79" s="150"/>
      <c r="NK79" s="150"/>
      <c r="NL79" s="150"/>
      <c r="NM79" s="150"/>
      <c r="NN79" s="150"/>
      <c r="NO79" s="150"/>
      <c r="NP79" s="150"/>
      <c r="NQ79" s="150"/>
      <c r="NR79" s="150"/>
      <c r="NS79" s="150"/>
      <c r="NT79" s="150"/>
      <c r="NU79" s="150"/>
      <c r="NV79" s="150"/>
      <c r="NW79" s="150"/>
      <c r="NX79" s="150"/>
      <c r="NY79" s="150"/>
      <c r="NZ79" s="150"/>
      <c r="OA79" s="150"/>
      <c r="OB79" s="150"/>
      <c r="OC79" s="150"/>
      <c r="OD79" s="150"/>
      <c r="OE79" s="150"/>
    </row>
    <row r="80" spans="1:395">
      <c r="A80" s="19"/>
      <c r="B80" s="17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85"/>
      <c r="Q80" s="185"/>
      <c r="R80" s="185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  <c r="DQ80" s="150"/>
      <c r="DR80" s="150"/>
      <c r="DS80" s="150"/>
      <c r="DT80" s="150"/>
      <c r="DU80" s="150"/>
      <c r="DV80" s="150"/>
      <c r="DW80" s="150"/>
      <c r="DX80" s="150"/>
      <c r="DY80" s="150"/>
      <c r="DZ80" s="150"/>
      <c r="EA80" s="150"/>
      <c r="EB80" s="150"/>
      <c r="EC80" s="150"/>
      <c r="ED80" s="150"/>
      <c r="EE80" s="150"/>
      <c r="EF80" s="150"/>
      <c r="EG80" s="150"/>
      <c r="EH80" s="150"/>
      <c r="EI80" s="150"/>
      <c r="EJ80" s="150"/>
      <c r="EK80" s="150"/>
      <c r="EL80" s="150"/>
      <c r="EM80" s="150"/>
      <c r="EN80" s="150"/>
      <c r="EO80" s="150"/>
      <c r="EP80" s="150"/>
      <c r="EQ80" s="150"/>
      <c r="ER80" s="150"/>
      <c r="ES80" s="150"/>
      <c r="ET80" s="150"/>
      <c r="EU80" s="150"/>
      <c r="EV80" s="150"/>
      <c r="EW80" s="150"/>
      <c r="EX80" s="150"/>
      <c r="EY80" s="150"/>
      <c r="EZ80" s="150"/>
      <c r="FA80" s="150"/>
      <c r="FB80" s="150"/>
      <c r="FC80" s="150"/>
      <c r="FD80" s="150"/>
      <c r="FE80" s="150"/>
      <c r="FF80" s="150"/>
      <c r="FG80" s="150"/>
      <c r="FH80" s="150"/>
      <c r="FI80" s="150"/>
      <c r="FJ80" s="150"/>
      <c r="FK80" s="150"/>
      <c r="FL80" s="150"/>
      <c r="FM80" s="150"/>
      <c r="FN80" s="150"/>
      <c r="FO80" s="150"/>
      <c r="FP80" s="150"/>
      <c r="FQ80" s="150"/>
      <c r="FR80" s="150"/>
      <c r="FS80" s="150"/>
      <c r="FT80" s="150"/>
      <c r="FU80" s="150"/>
      <c r="FV80" s="150"/>
      <c r="FW80" s="150"/>
      <c r="FX80" s="150"/>
      <c r="FY80" s="150"/>
      <c r="FZ80" s="150"/>
      <c r="GA80" s="150"/>
      <c r="GB80" s="150"/>
      <c r="GC80" s="150"/>
      <c r="GD80" s="150"/>
      <c r="GE80" s="150"/>
      <c r="GF80" s="150"/>
      <c r="GG80" s="150"/>
      <c r="GH80" s="150"/>
      <c r="GI80" s="150"/>
      <c r="GJ80" s="150"/>
      <c r="GK80" s="150"/>
      <c r="GL80" s="150"/>
      <c r="GM80" s="150"/>
      <c r="GN80" s="150"/>
      <c r="GO80" s="150"/>
      <c r="GP80" s="150"/>
      <c r="GQ80" s="150"/>
      <c r="GR80" s="150"/>
      <c r="GS80" s="150"/>
      <c r="GT80" s="150"/>
      <c r="GU80" s="150"/>
      <c r="GV80" s="150"/>
      <c r="GW80" s="150"/>
      <c r="GX80" s="150"/>
      <c r="GY80" s="150"/>
      <c r="GZ80" s="150"/>
      <c r="HA80" s="150"/>
      <c r="HB80" s="150"/>
      <c r="HC80" s="150"/>
      <c r="HD80" s="150"/>
      <c r="HE80" s="150"/>
      <c r="HF80" s="150"/>
      <c r="HG80" s="150"/>
      <c r="HH80" s="150"/>
      <c r="HI80" s="150"/>
      <c r="HJ80" s="150"/>
      <c r="HK80" s="150"/>
      <c r="HL80" s="150"/>
      <c r="HM80" s="150"/>
      <c r="HN80" s="150"/>
      <c r="HO80" s="150"/>
      <c r="HP80" s="150"/>
      <c r="HQ80" s="150"/>
      <c r="HR80" s="150"/>
      <c r="HS80" s="150"/>
      <c r="HT80" s="150"/>
      <c r="HU80" s="150"/>
      <c r="HV80" s="150"/>
      <c r="HW80" s="150"/>
      <c r="HX80" s="150"/>
      <c r="HY80" s="150"/>
      <c r="HZ80" s="150"/>
      <c r="IA80" s="150"/>
      <c r="IB80" s="150"/>
      <c r="IC80" s="150"/>
      <c r="ID80" s="150"/>
      <c r="IE80" s="150"/>
      <c r="IF80" s="150"/>
      <c r="IG80" s="150"/>
      <c r="IH80" s="150"/>
      <c r="II80" s="150"/>
      <c r="IJ80" s="150"/>
      <c r="IK80" s="150"/>
      <c r="IL80" s="150"/>
      <c r="IM80" s="150"/>
      <c r="IN80" s="150"/>
      <c r="IO80" s="150"/>
      <c r="IP80" s="150"/>
      <c r="IQ80" s="150"/>
      <c r="IR80" s="150"/>
      <c r="IS80" s="150"/>
      <c r="IT80" s="150"/>
      <c r="IU80" s="150"/>
      <c r="IV80" s="150"/>
      <c r="IW80" s="150"/>
      <c r="IX80" s="150"/>
      <c r="IY80" s="150"/>
      <c r="IZ80" s="150"/>
      <c r="JA80" s="150"/>
      <c r="JB80" s="150"/>
      <c r="JC80" s="150"/>
      <c r="JD80" s="150"/>
      <c r="JE80" s="150"/>
      <c r="JF80" s="150"/>
      <c r="JG80" s="150"/>
      <c r="JH80" s="150"/>
      <c r="JI80" s="150"/>
      <c r="JJ80" s="150"/>
      <c r="JK80" s="150"/>
      <c r="JL80" s="150"/>
      <c r="JM80" s="150"/>
      <c r="JN80" s="150"/>
      <c r="JO80" s="150"/>
      <c r="JP80" s="150"/>
      <c r="JQ80" s="150"/>
      <c r="JR80" s="150"/>
      <c r="JS80" s="150"/>
      <c r="JT80" s="150"/>
      <c r="JU80" s="150"/>
      <c r="JV80" s="150"/>
      <c r="JW80" s="150"/>
      <c r="JX80" s="150"/>
      <c r="JY80" s="150"/>
      <c r="JZ80" s="150"/>
      <c r="KA80" s="150"/>
      <c r="KB80" s="150"/>
      <c r="KC80" s="150"/>
      <c r="KD80" s="150"/>
      <c r="KE80" s="150"/>
      <c r="KF80" s="150"/>
      <c r="KG80" s="150"/>
      <c r="KH80" s="150"/>
      <c r="KI80" s="150"/>
      <c r="KJ80" s="150"/>
      <c r="KK80" s="150"/>
      <c r="KL80" s="150"/>
      <c r="KM80" s="150"/>
      <c r="KN80" s="150"/>
      <c r="KO80" s="150"/>
      <c r="KP80" s="150"/>
      <c r="KQ80" s="150"/>
      <c r="KR80" s="150"/>
      <c r="KS80" s="150"/>
      <c r="KT80" s="150"/>
      <c r="KU80" s="150"/>
      <c r="KV80" s="150"/>
      <c r="KW80" s="150"/>
      <c r="KX80" s="150"/>
      <c r="KY80" s="150"/>
      <c r="KZ80" s="150"/>
      <c r="LA80" s="150"/>
      <c r="LB80" s="150"/>
      <c r="LC80" s="150"/>
      <c r="LD80" s="150"/>
      <c r="LE80" s="150"/>
      <c r="LF80" s="150"/>
      <c r="LG80" s="150"/>
      <c r="LH80" s="150"/>
      <c r="LI80" s="150"/>
      <c r="LJ80" s="150"/>
      <c r="LK80" s="150"/>
      <c r="LL80" s="150"/>
      <c r="LM80" s="150"/>
      <c r="LN80" s="150"/>
      <c r="LO80" s="150"/>
      <c r="LP80" s="150"/>
      <c r="LQ80" s="150"/>
      <c r="LR80" s="150"/>
      <c r="LS80" s="150"/>
      <c r="LT80" s="150"/>
      <c r="LU80" s="150"/>
      <c r="LV80" s="150"/>
      <c r="LW80" s="150"/>
      <c r="LX80" s="150"/>
      <c r="LY80" s="150"/>
      <c r="LZ80" s="150"/>
      <c r="MA80" s="150"/>
      <c r="MB80" s="150"/>
      <c r="MC80" s="150"/>
      <c r="MD80" s="150"/>
      <c r="ME80" s="150"/>
      <c r="MF80" s="150"/>
      <c r="MG80" s="150"/>
      <c r="MH80" s="150"/>
      <c r="MI80" s="150"/>
      <c r="MJ80" s="150"/>
      <c r="MK80" s="150"/>
      <c r="ML80" s="150"/>
      <c r="MM80" s="150"/>
      <c r="MN80" s="150"/>
      <c r="MO80" s="150"/>
      <c r="MP80" s="150"/>
      <c r="MQ80" s="150"/>
      <c r="MR80" s="150"/>
      <c r="MS80" s="150"/>
      <c r="MT80" s="150"/>
      <c r="MU80" s="150"/>
      <c r="MV80" s="150"/>
      <c r="MW80" s="150"/>
      <c r="MX80" s="150"/>
      <c r="MY80" s="150"/>
      <c r="MZ80" s="150"/>
      <c r="NA80" s="150"/>
      <c r="NB80" s="150"/>
      <c r="NC80" s="150"/>
      <c r="ND80" s="150"/>
      <c r="NE80" s="150"/>
      <c r="NF80" s="150"/>
      <c r="NG80" s="150"/>
      <c r="NH80" s="150"/>
      <c r="NI80" s="150"/>
      <c r="NJ80" s="150"/>
      <c r="NK80" s="150"/>
      <c r="NL80" s="150"/>
      <c r="NM80" s="150"/>
      <c r="NN80" s="150"/>
      <c r="NO80" s="150"/>
      <c r="NP80" s="150"/>
      <c r="NQ80" s="150"/>
      <c r="NR80" s="150"/>
      <c r="NS80" s="150"/>
      <c r="NT80" s="150"/>
      <c r="NU80" s="150"/>
      <c r="NV80" s="150"/>
      <c r="NW80" s="150"/>
      <c r="NX80" s="150"/>
      <c r="NY80" s="150"/>
      <c r="NZ80" s="150"/>
      <c r="OA80" s="150"/>
      <c r="OB80" s="150"/>
      <c r="OC80" s="150"/>
      <c r="OD80" s="150"/>
      <c r="OE80" s="150"/>
    </row>
    <row r="81" spans="1:395">
      <c r="A81" s="19"/>
      <c r="B81" s="17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85"/>
      <c r="Q81" s="185"/>
      <c r="R81" s="185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  <c r="EC81" s="150"/>
      <c r="ED81" s="150"/>
      <c r="EE81" s="150"/>
      <c r="EF81" s="150"/>
      <c r="EG81" s="150"/>
      <c r="EH81" s="150"/>
      <c r="EI81" s="150"/>
      <c r="EJ81" s="150"/>
      <c r="EK81" s="150"/>
      <c r="EL81" s="150"/>
      <c r="EM81" s="150"/>
      <c r="EN81" s="150"/>
      <c r="EO81" s="150"/>
      <c r="EP81" s="150"/>
      <c r="EQ81" s="150"/>
      <c r="ER81" s="150"/>
      <c r="ES81" s="150"/>
      <c r="ET81" s="150"/>
      <c r="EU81" s="150"/>
      <c r="EV81" s="150"/>
      <c r="EW81" s="150"/>
      <c r="EX81" s="150"/>
      <c r="EY81" s="150"/>
      <c r="EZ81" s="150"/>
      <c r="FA81" s="150"/>
      <c r="FB81" s="150"/>
      <c r="FC81" s="150"/>
      <c r="FD81" s="150"/>
      <c r="FE81" s="150"/>
      <c r="FF81" s="150"/>
      <c r="FG81" s="150"/>
      <c r="FH81" s="150"/>
      <c r="FI81" s="150"/>
      <c r="FJ81" s="150"/>
      <c r="FK81" s="150"/>
      <c r="FL81" s="150"/>
      <c r="FM81" s="150"/>
      <c r="FN81" s="150"/>
      <c r="FO81" s="150"/>
      <c r="FP81" s="150"/>
      <c r="FQ81" s="150"/>
      <c r="FR81" s="150"/>
      <c r="FS81" s="150"/>
      <c r="FT81" s="150"/>
      <c r="FU81" s="150"/>
      <c r="FV81" s="150"/>
      <c r="FW81" s="150"/>
      <c r="FX81" s="150"/>
      <c r="FY81" s="150"/>
      <c r="FZ81" s="150"/>
      <c r="GA81" s="150"/>
      <c r="GB81" s="150"/>
      <c r="GC81" s="150"/>
      <c r="GD81" s="150"/>
      <c r="GE81" s="150"/>
      <c r="GF81" s="150"/>
      <c r="GG81" s="150"/>
      <c r="GH81" s="150"/>
      <c r="GI81" s="150"/>
      <c r="GJ81" s="150"/>
      <c r="GK81" s="150"/>
      <c r="GL81" s="150"/>
      <c r="GM81" s="150"/>
      <c r="GN81" s="150"/>
      <c r="GO81" s="150"/>
      <c r="GP81" s="150"/>
      <c r="GQ81" s="150"/>
      <c r="GR81" s="150"/>
      <c r="GS81" s="150"/>
      <c r="GT81" s="150"/>
      <c r="GU81" s="150"/>
      <c r="GV81" s="150"/>
      <c r="GW81" s="150"/>
      <c r="GX81" s="150"/>
      <c r="GY81" s="150"/>
      <c r="GZ81" s="150"/>
      <c r="HA81" s="150"/>
      <c r="HB81" s="150"/>
      <c r="HC81" s="150"/>
      <c r="HD81" s="150"/>
      <c r="HE81" s="150"/>
      <c r="HF81" s="150"/>
      <c r="HG81" s="150"/>
      <c r="HH81" s="150"/>
      <c r="HI81" s="150"/>
      <c r="HJ81" s="150"/>
      <c r="HK81" s="150"/>
      <c r="HL81" s="150"/>
      <c r="HM81" s="150"/>
      <c r="HN81" s="150"/>
      <c r="HO81" s="150"/>
      <c r="HP81" s="150"/>
      <c r="HQ81" s="150"/>
      <c r="HR81" s="150"/>
      <c r="HS81" s="150"/>
      <c r="HT81" s="150"/>
      <c r="HU81" s="150"/>
      <c r="HV81" s="150"/>
      <c r="HW81" s="150"/>
      <c r="HX81" s="150"/>
      <c r="HY81" s="150"/>
      <c r="HZ81" s="150"/>
      <c r="IA81" s="150"/>
      <c r="IB81" s="150"/>
      <c r="IC81" s="150"/>
      <c r="ID81" s="150"/>
      <c r="IE81" s="150"/>
      <c r="IF81" s="150"/>
      <c r="IG81" s="150"/>
      <c r="IH81" s="150"/>
      <c r="II81" s="150"/>
      <c r="IJ81" s="150"/>
      <c r="IK81" s="150"/>
      <c r="IL81" s="150"/>
      <c r="IM81" s="150"/>
      <c r="IN81" s="150"/>
      <c r="IO81" s="150"/>
      <c r="IP81" s="150"/>
      <c r="IQ81" s="150"/>
      <c r="IR81" s="150"/>
      <c r="IS81" s="150"/>
      <c r="IT81" s="150"/>
      <c r="IU81" s="150"/>
      <c r="IV81" s="150"/>
      <c r="IW81" s="150"/>
      <c r="IX81" s="150"/>
      <c r="IY81" s="150"/>
      <c r="IZ81" s="150"/>
      <c r="JA81" s="150"/>
      <c r="JB81" s="150"/>
      <c r="JC81" s="150"/>
      <c r="JD81" s="150"/>
      <c r="JE81" s="150"/>
      <c r="JF81" s="150"/>
      <c r="JG81" s="150"/>
      <c r="JH81" s="150"/>
      <c r="JI81" s="150"/>
      <c r="JJ81" s="150"/>
      <c r="JK81" s="150"/>
      <c r="JL81" s="150"/>
      <c r="JM81" s="150"/>
      <c r="JN81" s="150"/>
      <c r="JO81" s="150"/>
      <c r="JP81" s="150"/>
      <c r="JQ81" s="150"/>
      <c r="JR81" s="150"/>
      <c r="JS81" s="150"/>
      <c r="JT81" s="150"/>
      <c r="JU81" s="150"/>
      <c r="JV81" s="150"/>
      <c r="JW81" s="150"/>
      <c r="JX81" s="150"/>
      <c r="JY81" s="150"/>
      <c r="JZ81" s="150"/>
      <c r="KA81" s="150"/>
      <c r="KB81" s="150"/>
      <c r="KC81" s="150"/>
      <c r="KD81" s="150"/>
      <c r="KE81" s="150"/>
      <c r="KF81" s="150"/>
      <c r="KG81" s="150"/>
      <c r="KH81" s="150"/>
      <c r="KI81" s="150"/>
      <c r="KJ81" s="150"/>
      <c r="KK81" s="150"/>
      <c r="KL81" s="150"/>
      <c r="KM81" s="150"/>
      <c r="KN81" s="150"/>
      <c r="KO81" s="150"/>
      <c r="KP81" s="150"/>
      <c r="KQ81" s="150"/>
      <c r="KR81" s="150"/>
      <c r="KS81" s="150"/>
      <c r="KT81" s="150"/>
      <c r="KU81" s="150"/>
      <c r="KV81" s="150"/>
      <c r="KW81" s="150"/>
      <c r="KX81" s="150"/>
      <c r="KY81" s="150"/>
      <c r="KZ81" s="150"/>
      <c r="LA81" s="150"/>
      <c r="LB81" s="150"/>
      <c r="LC81" s="150"/>
      <c r="LD81" s="150"/>
      <c r="LE81" s="150"/>
      <c r="LF81" s="150"/>
      <c r="LG81" s="150"/>
      <c r="LH81" s="150"/>
      <c r="LI81" s="150"/>
      <c r="LJ81" s="150"/>
      <c r="LK81" s="150"/>
      <c r="LL81" s="150"/>
      <c r="LM81" s="150"/>
      <c r="LN81" s="150"/>
      <c r="LO81" s="150"/>
      <c r="LP81" s="150"/>
      <c r="LQ81" s="150"/>
      <c r="LR81" s="150"/>
      <c r="LS81" s="150"/>
      <c r="LT81" s="150"/>
      <c r="LU81" s="150"/>
      <c r="LV81" s="150"/>
      <c r="LW81" s="150"/>
      <c r="LX81" s="150"/>
      <c r="LY81" s="150"/>
      <c r="LZ81" s="150"/>
      <c r="MA81" s="150"/>
      <c r="MB81" s="150"/>
      <c r="MC81" s="150"/>
      <c r="MD81" s="150"/>
      <c r="ME81" s="150"/>
      <c r="MF81" s="150"/>
      <c r="MG81" s="150"/>
      <c r="MH81" s="150"/>
      <c r="MI81" s="150"/>
      <c r="MJ81" s="150"/>
      <c r="MK81" s="150"/>
      <c r="ML81" s="150"/>
      <c r="MM81" s="150"/>
      <c r="MN81" s="150"/>
      <c r="MO81" s="150"/>
      <c r="MP81" s="150"/>
      <c r="MQ81" s="150"/>
      <c r="MR81" s="150"/>
      <c r="MS81" s="150"/>
      <c r="MT81" s="150"/>
      <c r="MU81" s="150"/>
      <c r="MV81" s="150"/>
      <c r="MW81" s="150"/>
      <c r="MX81" s="150"/>
      <c r="MY81" s="150"/>
      <c r="MZ81" s="150"/>
      <c r="NA81" s="150"/>
      <c r="NB81" s="150"/>
      <c r="NC81" s="150"/>
      <c r="ND81" s="150"/>
      <c r="NE81" s="150"/>
      <c r="NF81" s="150"/>
      <c r="NG81" s="150"/>
      <c r="NH81" s="150"/>
      <c r="NI81" s="150"/>
      <c r="NJ81" s="150"/>
      <c r="NK81" s="150"/>
      <c r="NL81" s="150"/>
      <c r="NM81" s="150"/>
      <c r="NN81" s="150"/>
      <c r="NO81" s="150"/>
      <c r="NP81" s="150"/>
      <c r="NQ81" s="150"/>
      <c r="NR81" s="150"/>
      <c r="NS81" s="150"/>
      <c r="NT81" s="150"/>
      <c r="NU81" s="150"/>
      <c r="NV81" s="150"/>
      <c r="NW81" s="150"/>
      <c r="NX81" s="150"/>
      <c r="NY81" s="150"/>
      <c r="NZ81" s="150"/>
      <c r="OA81" s="150"/>
      <c r="OB81" s="150"/>
      <c r="OC81" s="150"/>
      <c r="OD81" s="150"/>
      <c r="OE81" s="150"/>
    </row>
    <row r="82" spans="1:395">
      <c r="A82" s="19"/>
      <c r="B82" s="17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85"/>
      <c r="Q82" s="185"/>
      <c r="R82" s="185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  <c r="EC82" s="150"/>
      <c r="ED82" s="150"/>
      <c r="EE82" s="150"/>
      <c r="EF82" s="150"/>
      <c r="EG82" s="150"/>
      <c r="EH82" s="150"/>
      <c r="EI82" s="150"/>
      <c r="EJ82" s="150"/>
      <c r="EK82" s="150"/>
      <c r="EL82" s="150"/>
      <c r="EM82" s="150"/>
      <c r="EN82" s="150"/>
      <c r="EO82" s="150"/>
      <c r="EP82" s="150"/>
      <c r="EQ82" s="150"/>
      <c r="ER82" s="150"/>
      <c r="ES82" s="150"/>
      <c r="ET82" s="150"/>
      <c r="EU82" s="150"/>
      <c r="EV82" s="150"/>
      <c r="EW82" s="150"/>
      <c r="EX82" s="150"/>
      <c r="EY82" s="150"/>
      <c r="EZ82" s="150"/>
      <c r="FA82" s="150"/>
      <c r="FB82" s="150"/>
      <c r="FC82" s="150"/>
      <c r="FD82" s="150"/>
      <c r="FE82" s="150"/>
      <c r="FF82" s="150"/>
      <c r="FG82" s="150"/>
      <c r="FH82" s="150"/>
      <c r="FI82" s="150"/>
      <c r="FJ82" s="150"/>
      <c r="FK82" s="150"/>
      <c r="FL82" s="150"/>
      <c r="FM82" s="150"/>
      <c r="FN82" s="150"/>
      <c r="FO82" s="150"/>
      <c r="FP82" s="150"/>
      <c r="FQ82" s="150"/>
      <c r="FR82" s="150"/>
      <c r="FS82" s="150"/>
      <c r="FT82" s="150"/>
      <c r="FU82" s="150"/>
      <c r="FV82" s="150"/>
      <c r="FW82" s="150"/>
      <c r="FX82" s="150"/>
      <c r="FY82" s="150"/>
      <c r="FZ82" s="150"/>
      <c r="GA82" s="150"/>
      <c r="GB82" s="150"/>
      <c r="GC82" s="150"/>
      <c r="GD82" s="150"/>
      <c r="GE82" s="150"/>
      <c r="GF82" s="150"/>
      <c r="GG82" s="150"/>
      <c r="GH82" s="150"/>
      <c r="GI82" s="150"/>
      <c r="GJ82" s="150"/>
      <c r="GK82" s="150"/>
      <c r="GL82" s="150"/>
      <c r="GM82" s="150"/>
      <c r="GN82" s="150"/>
      <c r="GO82" s="150"/>
      <c r="GP82" s="150"/>
      <c r="GQ82" s="150"/>
      <c r="GR82" s="150"/>
      <c r="GS82" s="150"/>
      <c r="GT82" s="150"/>
      <c r="GU82" s="150"/>
      <c r="GV82" s="150"/>
      <c r="GW82" s="150"/>
      <c r="GX82" s="150"/>
      <c r="GY82" s="150"/>
      <c r="GZ82" s="150"/>
      <c r="HA82" s="150"/>
      <c r="HB82" s="150"/>
      <c r="HC82" s="150"/>
      <c r="HD82" s="150"/>
      <c r="HE82" s="150"/>
      <c r="HF82" s="150"/>
      <c r="HG82" s="150"/>
      <c r="HH82" s="150"/>
      <c r="HI82" s="150"/>
      <c r="HJ82" s="150"/>
      <c r="HK82" s="150"/>
      <c r="HL82" s="150"/>
      <c r="HM82" s="150"/>
      <c r="HN82" s="150"/>
      <c r="HO82" s="150"/>
      <c r="HP82" s="150"/>
      <c r="HQ82" s="150"/>
      <c r="HR82" s="150"/>
      <c r="HS82" s="150"/>
      <c r="HT82" s="150"/>
      <c r="HU82" s="150"/>
      <c r="HV82" s="150"/>
      <c r="HW82" s="150"/>
      <c r="HX82" s="150"/>
      <c r="HY82" s="150"/>
      <c r="HZ82" s="150"/>
      <c r="IA82" s="150"/>
      <c r="IB82" s="150"/>
      <c r="IC82" s="150"/>
      <c r="ID82" s="150"/>
      <c r="IE82" s="150"/>
      <c r="IF82" s="150"/>
      <c r="IG82" s="150"/>
      <c r="IH82" s="150"/>
      <c r="II82" s="150"/>
      <c r="IJ82" s="150"/>
      <c r="IK82" s="150"/>
      <c r="IL82" s="150"/>
      <c r="IM82" s="150"/>
      <c r="IN82" s="150"/>
      <c r="IO82" s="150"/>
      <c r="IP82" s="150"/>
      <c r="IQ82" s="150"/>
      <c r="IR82" s="150"/>
      <c r="IS82" s="150"/>
      <c r="IT82" s="150"/>
      <c r="IU82" s="150"/>
      <c r="IV82" s="150"/>
      <c r="IW82" s="150"/>
      <c r="IX82" s="150"/>
      <c r="IY82" s="150"/>
      <c r="IZ82" s="150"/>
      <c r="JA82" s="150"/>
      <c r="JB82" s="150"/>
      <c r="JC82" s="150"/>
      <c r="JD82" s="150"/>
      <c r="JE82" s="150"/>
      <c r="JF82" s="150"/>
      <c r="JG82" s="150"/>
      <c r="JH82" s="150"/>
      <c r="JI82" s="150"/>
      <c r="JJ82" s="150"/>
      <c r="JK82" s="150"/>
      <c r="JL82" s="150"/>
      <c r="JM82" s="150"/>
      <c r="JN82" s="150"/>
      <c r="JO82" s="150"/>
      <c r="JP82" s="150"/>
      <c r="JQ82" s="150"/>
      <c r="JR82" s="150"/>
      <c r="JS82" s="150"/>
      <c r="JT82" s="150"/>
      <c r="JU82" s="150"/>
      <c r="JV82" s="150"/>
      <c r="JW82" s="150"/>
      <c r="JX82" s="150"/>
      <c r="JY82" s="150"/>
      <c r="JZ82" s="150"/>
      <c r="KA82" s="150"/>
      <c r="KB82" s="150"/>
      <c r="KC82" s="150"/>
      <c r="KD82" s="150"/>
      <c r="KE82" s="150"/>
      <c r="KF82" s="150"/>
      <c r="KG82" s="150"/>
      <c r="KH82" s="150"/>
      <c r="KI82" s="150"/>
      <c r="KJ82" s="150"/>
      <c r="KK82" s="150"/>
      <c r="KL82" s="150"/>
      <c r="KM82" s="150"/>
      <c r="KN82" s="150"/>
      <c r="KO82" s="150"/>
      <c r="KP82" s="150"/>
      <c r="KQ82" s="150"/>
      <c r="KR82" s="150"/>
      <c r="KS82" s="150"/>
      <c r="KT82" s="150"/>
      <c r="KU82" s="150"/>
      <c r="KV82" s="150"/>
      <c r="KW82" s="150"/>
      <c r="KX82" s="150"/>
      <c r="KY82" s="150"/>
      <c r="KZ82" s="150"/>
      <c r="LA82" s="150"/>
      <c r="LB82" s="150"/>
      <c r="LC82" s="150"/>
      <c r="LD82" s="150"/>
      <c r="LE82" s="150"/>
      <c r="LF82" s="150"/>
      <c r="LG82" s="150"/>
      <c r="LH82" s="150"/>
      <c r="LI82" s="150"/>
      <c r="LJ82" s="150"/>
      <c r="LK82" s="150"/>
      <c r="LL82" s="150"/>
      <c r="LM82" s="150"/>
      <c r="LN82" s="150"/>
      <c r="LO82" s="150"/>
      <c r="LP82" s="150"/>
      <c r="LQ82" s="150"/>
      <c r="LR82" s="150"/>
      <c r="LS82" s="150"/>
      <c r="LT82" s="150"/>
      <c r="LU82" s="150"/>
      <c r="LV82" s="150"/>
      <c r="LW82" s="150"/>
      <c r="LX82" s="150"/>
      <c r="LY82" s="150"/>
      <c r="LZ82" s="150"/>
      <c r="MA82" s="150"/>
      <c r="MB82" s="150"/>
      <c r="MC82" s="150"/>
      <c r="MD82" s="150"/>
      <c r="ME82" s="150"/>
      <c r="MF82" s="150"/>
      <c r="MG82" s="150"/>
      <c r="MH82" s="150"/>
      <c r="MI82" s="150"/>
      <c r="MJ82" s="150"/>
      <c r="MK82" s="150"/>
      <c r="ML82" s="150"/>
      <c r="MM82" s="150"/>
      <c r="MN82" s="150"/>
      <c r="MO82" s="150"/>
      <c r="MP82" s="150"/>
      <c r="MQ82" s="150"/>
      <c r="MR82" s="150"/>
      <c r="MS82" s="150"/>
      <c r="MT82" s="150"/>
      <c r="MU82" s="150"/>
      <c r="MV82" s="150"/>
      <c r="MW82" s="150"/>
      <c r="MX82" s="150"/>
      <c r="MY82" s="150"/>
      <c r="MZ82" s="150"/>
      <c r="NA82" s="150"/>
      <c r="NB82" s="150"/>
      <c r="NC82" s="150"/>
      <c r="ND82" s="150"/>
      <c r="NE82" s="150"/>
      <c r="NF82" s="150"/>
      <c r="NG82" s="150"/>
      <c r="NH82" s="150"/>
      <c r="NI82" s="150"/>
      <c r="NJ82" s="150"/>
      <c r="NK82" s="150"/>
      <c r="NL82" s="150"/>
      <c r="NM82" s="150"/>
      <c r="NN82" s="150"/>
      <c r="NO82" s="150"/>
      <c r="NP82" s="150"/>
      <c r="NQ82" s="150"/>
      <c r="NR82" s="150"/>
      <c r="NS82" s="150"/>
      <c r="NT82" s="150"/>
      <c r="NU82" s="150"/>
      <c r="NV82" s="150"/>
      <c r="NW82" s="150"/>
      <c r="NX82" s="150"/>
      <c r="NY82" s="150"/>
      <c r="NZ82" s="150"/>
      <c r="OA82" s="150"/>
      <c r="OB82" s="150"/>
      <c r="OC82" s="150"/>
      <c r="OD82" s="150"/>
      <c r="OE82" s="150"/>
    </row>
    <row r="83" spans="1:395">
      <c r="A83" s="19"/>
      <c r="B83" s="17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85"/>
      <c r="Q83" s="185"/>
      <c r="R83" s="185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  <c r="EC83" s="150"/>
      <c r="ED83" s="150"/>
      <c r="EE83" s="150"/>
      <c r="EF83" s="150"/>
      <c r="EG83" s="150"/>
      <c r="EH83" s="150"/>
      <c r="EI83" s="150"/>
      <c r="EJ83" s="150"/>
      <c r="EK83" s="150"/>
      <c r="EL83" s="150"/>
      <c r="EM83" s="150"/>
      <c r="EN83" s="150"/>
      <c r="EO83" s="150"/>
      <c r="EP83" s="150"/>
      <c r="EQ83" s="150"/>
      <c r="ER83" s="150"/>
      <c r="ES83" s="150"/>
      <c r="ET83" s="150"/>
      <c r="EU83" s="150"/>
      <c r="EV83" s="150"/>
      <c r="EW83" s="150"/>
      <c r="EX83" s="150"/>
      <c r="EY83" s="150"/>
      <c r="EZ83" s="150"/>
      <c r="FA83" s="150"/>
      <c r="FB83" s="150"/>
      <c r="FC83" s="150"/>
      <c r="FD83" s="150"/>
      <c r="FE83" s="150"/>
      <c r="FF83" s="150"/>
      <c r="FG83" s="150"/>
      <c r="FH83" s="150"/>
      <c r="FI83" s="150"/>
      <c r="FJ83" s="150"/>
      <c r="FK83" s="150"/>
      <c r="FL83" s="150"/>
      <c r="FM83" s="150"/>
      <c r="FN83" s="150"/>
      <c r="FO83" s="150"/>
      <c r="FP83" s="150"/>
      <c r="FQ83" s="150"/>
      <c r="FR83" s="150"/>
      <c r="FS83" s="150"/>
      <c r="FT83" s="150"/>
      <c r="FU83" s="150"/>
      <c r="FV83" s="150"/>
      <c r="FW83" s="150"/>
      <c r="FX83" s="150"/>
      <c r="FY83" s="150"/>
      <c r="FZ83" s="150"/>
      <c r="GA83" s="150"/>
      <c r="GB83" s="150"/>
      <c r="GC83" s="150"/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0"/>
      <c r="GO83" s="150"/>
      <c r="GP83" s="150"/>
      <c r="GQ83" s="150"/>
      <c r="GR83" s="150"/>
      <c r="GS83" s="150"/>
      <c r="GT83" s="150"/>
      <c r="GU83" s="150"/>
      <c r="GV83" s="150"/>
      <c r="GW83" s="150"/>
      <c r="GX83" s="150"/>
      <c r="GY83" s="150"/>
      <c r="GZ83" s="150"/>
      <c r="HA83" s="150"/>
      <c r="HB83" s="150"/>
      <c r="HC83" s="150"/>
      <c r="HD83" s="150"/>
      <c r="HE83" s="150"/>
      <c r="HF83" s="150"/>
      <c r="HG83" s="150"/>
      <c r="HH83" s="150"/>
      <c r="HI83" s="150"/>
      <c r="HJ83" s="150"/>
      <c r="HK83" s="150"/>
      <c r="HL83" s="150"/>
      <c r="HM83" s="150"/>
      <c r="HN83" s="150"/>
      <c r="HO83" s="150"/>
      <c r="HP83" s="150"/>
      <c r="HQ83" s="150"/>
      <c r="HR83" s="150"/>
      <c r="HS83" s="150"/>
      <c r="HT83" s="150"/>
      <c r="HU83" s="150"/>
      <c r="HV83" s="150"/>
      <c r="HW83" s="150"/>
      <c r="HX83" s="150"/>
      <c r="HY83" s="150"/>
      <c r="HZ83" s="150"/>
      <c r="IA83" s="150"/>
      <c r="IB83" s="150"/>
      <c r="IC83" s="150"/>
      <c r="ID83" s="150"/>
      <c r="IE83" s="150"/>
      <c r="IF83" s="150"/>
      <c r="IG83" s="150"/>
      <c r="IH83" s="150"/>
      <c r="II83" s="150"/>
      <c r="IJ83" s="150"/>
      <c r="IK83" s="150"/>
      <c r="IL83" s="150"/>
      <c r="IM83" s="150"/>
      <c r="IN83" s="150"/>
      <c r="IO83" s="150"/>
      <c r="IP83" s="150"/>
      <c r="IQ83" s="150"/>
      <c r="IR83" s="150"/>
      <c r="IS83" s="150"/>
      <c r="IT83" s="150"/>
      <c r="IU83" s="150"/>
      <c r="IV83" s="150"/>
      <c r="IW83" s="150"/>
      <c r="IX83" s="150"/>
      <c r="IY83" s="150"/>
      <c r="IZ83" s="150"/>
      <c r="JA83" s="150"/>
      <c r="JB83" s="150"/>
      <c r="JC83" s="150"/>
      <c r="JD83" s="150"/>
      <c r="JE83" s="150"/>
      <c r="JF83" s="150"/>
      <c r="JG83" s="150"/>
      <c r="JH83" s="150"/>
      <c r="JI83" s="150"/>
      <c r="JJ83" s="150"/>
      <c r="JK83" s="150"/>
      <c r="JL83" s="150"/>
      <c r="JM83" s="150"/>
      <c r="JN83" s="150"/>
      <c r="JO83" s="150"/>
      <c r="JP83" s="150"/>
      <c r="JQ83" s="150"/>
      <c r="JR83" s="150"/>
      <c r="JS83" s="150"/>
      <c r="JT83" s="150"/>
      <c r="JU83" s="150"/>
      <c r="JV83" s="150"/>
      <c r="JW83" s="150"/>
      <c r="JX83" s="150"/>
      <c r="JY83" s="150"/>
      <c r="JZ83" s="150"/>
      <c r="KA83" s="150"/>
      <c r="KB83" s="150"/>
      <c r="KC83" s="150"/>
      <c r="KD83" s="150"/>
      <c r="KE83" s="150"/>
      <c r="KF83" s="150"/>
      <c r="KG83" s="150"/>
      <c r="KH83" s="150"/>
      <c r="KI83" s="150"/>
      <c r="KJ83" s="150"/>
      <c r="KK83" s="150"/>
      <c r="KL83" s="150"/>
      <c r="KM83" s="150"/>
      <c r="KN83" s="150"/>
      <c r="KO83" s="150"/>
      <c r="KP83" s="150"/>
      <c r="KQ83" s="150"/>
      <c r="KR83" s="150"/>
      <c r="KS83" s="150"/>
      <c r="KT83" s="150"/>
      <c r="KU83" s="150"/>
      <c r="KV83" s="150"/>
      <c r="KW83" s="150"/>
      <c r="KX83" s="150"/>
      <c r="KY83" s="150"/>
      <c r="KZ83" s="150"/>
      <c r="LA83" s="150"/>
      <c r="LB83" s="150"/>
      <c r="LC83" s="150"/>
      <c r="LD83" s="150"/>
      <c r="LE83" s="150"/>
      <c r="LF83" s="150"/>
      <c r="LG83" s="150"/>
      <c r="LH83" s="150"/>
      <c r="LI83" s="150"/>
      <c r="LJ83" s="150"/>
      <c r="LK83" s="150"/>
      <c r="LL83" s="150"/>
      <c r="LM83" s="150"/>
      <c r="LN83" s="150"/>
      <c r="LO83" s="150"/>
      <c r="LP83" s="150"/>
      <c r="LQ83" s="150"/>
      <c r="LR83" s="150"/>
      <c r="LS83" s="150"/>
      <c r="LT83" s="150"/>
      <c r="LU83" s="150"/>
      <c r="LV83" s="150"/>
      <c r="LW83" s="150"/>
      <c r="LX83" s="150"/>
      <c r="LY83" s="150"/>
      <c r="LZ83" s="150"/>
      <c r="MA83" s="150"/>
      <c r="MB83" s="150"/>
      <c r="MC83" s="150"/>
      <c r="MD83" s="150"/>
      <c r="ME83" s="150"/>
      <c r="MF83" s="150"/>
      <c r="MG83" s="150"/>
      <c r="MH83" s="150"/>
      <c r="MI83" s="150"/>
      <c r="MJ83" s="150"/>
      <c r="MK83" s="150"/>
      <c r="ML83" s="150"/>
      <c r="MM83" s="150"/>
      <c r="MN83" s="150"/>
      <c r="MO83" s="150"/>
      <c r="MP83" s="150"/>
      <c r="MQ83" s="150"/>
      <c r="MR83" s="150"/>
      <c r="MS83" s="150"/>
      <c r="MT83" s="150"/>
      <c r="MU83" s="150"/>
      <c r="MV83" s="150"/>
      <c r="MW83" s="150"/>
      <c r="MX83" s="150"/>
      <c r="MY83" s="150"/>
      <c r="MZ83" s="150"/>
      <c r="NA83" s="150"/>
      <c r="NB83" s="150"/>
      <c r="NC83" s="150"/>
      <c r="ND83" s="150"/>
      <c r="NE83" s="150"/>
      <c r="NF83" s="150"/>
      <c r="NG83" s="150"/>
      <c r="NH83" s="150"/>
      <c r="NI83" s="150"/>
      <c r="NJ83" s="150"/>
      <c r="NK83" s="150"/>
      <c r="NL83" s="150"/>
      <c r="NM83" s="150"/>
      <c r="NN83" s="150"/>
      <c r="NO83" s="150"/>
      <c r="NP83" s="150"/>
      <c r="NQ83" s="150"/>
      <c r="NR83" s="150"/>
      <c r="NS83" s="150"/>
      <c r="NT83" s="150"/>
      <c r="NU83" s="150"/>
      <c r="NV83" s="150"/>
      <c r="NW83" s="150"/>
      <c r="NX83" s="150"/>
      <c r="NY83" s="150"/>
      <c r="NZ83" s="150"/>
      <c r="OA83" s="150"/>
      <c r="OB83" s="150"/>
      <c r="OC83" s="150"/>
      <c r="OD83" s="150"/>
      <c r="OE83" s="150"/>
    </row>
    <row r="84" spans="1:395">
      <c r="A84" s="19"/>
      <c r="B84" s="17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85"/>
      <c r="Q84" s="185"/>
      <c r="R84" s="185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50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  <c r="BI84" s="150"/>
      <c r="BJ84" s="150"/>
      <c r="BK84" s="150"/>
      <c r="BL84" s="150"/>
      <c r="BM84" s="150"/>
      <c r="BN84" s="150"/>
      <c r="BO84" s="150"/>
      <c r="BP84" s="150"/>
      <c r="BQ84" s="150"/>
      <c r="BR84" s="150"/>
      <c r="BS84" s="150"/>
      <c r="BT84" s="150"/>
      <c r="BU84" s="150"/>
      <c r="BV84" s="150"/>
      <c r="BW84" s="150"/>
      <c r="BX84" s="150"/>
      <c r="BY84" s="150"/>
      <c r="BZ84" s="150"/>
      <c r="CA84" s="150"/>
      <c r="CB84" s="150"/>
      <c r="CC84" s="150"/>
      <c r="CD84" s="150"/>
      <c r="CE84" s="150"/>
      <c r="CF84" s="150"/>
      <c r="CG84" s="150"/>
      <c r="CH84" s="150"/>
      <c r="CI84" s="150"/>
      <c r="CJ84" s="150"/>
      <c r="CK84" s="150"/>
      <c r="CL84" s="150"/>
      <c r="CM84" s="150"/>
      <c r="CN84" s="150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150"/>
      <c r="DA84" s="150"/>
      <c r="DB84" s="150"/>
      <c r="DC84" s="150"/>
      <c r="DD84" s="150"/>
      <c r="DE84" s="150"/>
      <c r="DF84" s="150"/>
      <c r="DG84" s="150"/>
      <c r="DH84" s="150"/>
      <c r="DI84" s="150"/>
      <c r="DJ84" s="150"/>
      <c r="DK84" s="150"/>
      <c r="DL84" s="150"/>
      <c r="DM84" s="150"/>
      <c r="DN84" s="150"/>
      <c r="DO84" s="150"/>
      <c r="DP84" s="150"/>
      <c r="DQ84" s="150"/>
      <c r="DR84" s="150"/>
      <c r="DS84" s="150"/>
      <c r="DT84" s="150"/>
      <c r="DU84" s="150"/>
      <c r="DV84" s="150"/>
      <c r="DW84" s="150"/>
      <c r="DX84" s="150"/>
      <c r="DY84" s="150"/>
      <c r="DZ84" s="150"/>
      <c r="EA84" s="150"/>
      <c r="EB84" s="150"/>
      <c r="EC84" s="150"/>
      <c r="ED84" s="150"/>
      <c r="EE84" s="150"/>
      <c r="EF84" s="150"/>
      <c r="EG84" s="150"/>
      <c r="EH84" s="150"/>
      <c r="EI84" s="150"/>
      <c r="EJ84" s="150"/>
      <c r="EK84" s="150"/>
      <c r="EL84" s="150"/>
      <c r="EM84" s="150"/>
      <c r="EN84" s="150"/>
      <c r="EO84" s="150"/>
      <c r="EP84" s="150"/>
      <c r="EQ84" s="150"/>
      <c r="ER84" s="150"/>
      <c r="ES84" s="150"/>
      <c r="ET84" s="150"/>
      <c r="EU84" s="150"/>
      <c r="EV84" s="150"/>
      <c r="EW84" s="150"/>
      <c r="EX84" s="150"/>
      <c r="EY84" s="150"/>
      <c r="EZ84" s="150"/>
      <c r="FA84" s="150"/>
      <c r="FB84" s="150"/>
      <c r="FC84" s="150"/>
      <c r="FD84" s="150"/>
      <c r="FE84" s="150"/>
      <c r="FF84" s="150"/>
      <c r="FG84" s="150"/>
      <c r="FH84" s="150"/>
      <c r="FI84" s="150"/>
      <c r="FJ84" s="150"/>
      <c r="FK84" s="150"/>
      <c r="FL84" s="150"/>
      <c r="FM84" s="150"/>
      <c r="FN84" s="150"/>
      <c r="FO84" s="150"/>
      <c r="FP84" s="150"/>
      <c r="FQ84" s="150"/>
      <c r="FR84" s="150"/>
      <c r="FS84" s="150"/>
      <c r="FT84" s="150"/>
      <c r="FU84" s="150"/>
      <c r="FV84" s="150"/>
      <c r="FW84" s="150"/>
      <c r="FX84" s="150"/>
      <c r="FY84" s="150"/>
      <c r="FZ84" s="150"/>
      <c r="GA84" s="150"/>
      <c r="GB84" s="150"/>
      <c r="GC84" s="150"/>
      <c r="GD84" s="150"/>
      <c r="GE84" s="150"/>
      <c r="GF84" s="150"/>
      <c r="GG84" s="150"/>
      <c r="GH84" s="150"/>
      <c r="GI84" s="150"/>
      <c r="GJ84" s="150"/>
      <c r="GK84" s="150"/>
      <c r="GL84" s="150"/>
      <c r="GM84" s="150"/>
      <c r="GN84" s="150"/>
      <c r="GO84" s="150"/>
      <c r="GP84" s="150"/>
      <c r="GQ84" s="150"/>
      <c r="GR84" s="150"/>
      <c r="GS84" s="150"/>
      <c r="GT84" s="150"/>
      <c r="GU84" s="150"/>
      <c r="GV84" s="150"/>
      <c r="GW84" s="150"/>
      <c r="GX84" s="150"/>
      <c r="GY84" s="150"/>
      <c r="GZ84" s="150"/>
      <c r="HA84" s="150"/>
      <c r="HB84" s="150"/>
      <c r="HC84" s="150"/>
      <c r="HD84" s="150"/>
      <c r="HE84" s="150"/>
      <c r="HF84" s="150"/>
      <c r="HG84" s="150"/>
      <c r="HH84" s="150"/>
      <c r="HI84" s="150"/>
      <c r="HJ84" s="150"/>
      <c r="HK84" s="150"/>
      <c r="HL84" s="150"/>
      <c r="HM84" s="150"/>
      <c r="HN84" s="150"/>
      <c r="HO84" s="150"/>
      <c r="HP84" s="150"/>
      <c r="HQ84" s="150"/>
      <c r="HR84" s="150"/>
      <c r="HS84" s="150"/>
      <c r="HT84" s="150"/>
      <c r="HU84" s="150"/>
      <c r="HV84" s="150"/>
      <c r="HW84" s="150"/>
      <c r="HX84" s="150"/>
      <c r="HY84" s="150"/>
      <c r="HZ84" s="150"/>
      <c r="IA84" s="150"/>
      <c r="IB84" s="150"/>
      <c r="IC84" s="150"/>
      <c r="ID84" s="150"/>
      <c r="IE84" s="150"/>
      <c r="IF84" s="150"/>
      <c r="IG84" s="150"/>
      <c r="IH84" s="150"/>
      <c r="II84" s="150"/>
      <c r="IJ84" s="150"/>
      <c r="IK84" s="150"/>
      <c r="IL84" s="150"/>
      <c r="IM84" s="150"/>
      <c r="IN84" s="150"/>
      <c r="IO84" s="150"/>
      <c r="IP84" s="150"/>
      <c r="IQ84" s="150"/>
      <c r="IR84" s="150"/>
      <c r="IS84" s="150"/>
      <c r="IT84" s="150"/>
      <c r="IU84" s="150"/>
      <c r="IV84" s="150"/>
      <c r="IW84" s="150"/>
      <c r="IX84" s="150"/>
      <c r="IY84" s="150"/>
      <c r="IZ84" s="150"/>
      <c r="JA84" s="150"/>
      <c r="JB84" s="150"/>
      <c r="JC84" s="150"/>
      <c r="JD84" s="150"/>
      <c r="JE84" s="150"/>
      <c r="JF84" s="150"/>
      <c r="JG84" s="150"/>
      <c r="JH84" s="150"/>
      <c r="JI84" s="150"/>
      <c r="JJ84" s="150"/>
      <c r="JK84" s="150"/>
      <c r="JL84" s="150"/>
      <c r="JM84" s="150"/>
      <c r="JN84" s="150"/>
      <c r="JO84" s="150"/>
      <c r="JP84" s="150"/>
      <c r="JQ84" s="150"/>
      <c r="JR84" s="150"/>
      <c r="JS84" s="150"/>
      <c r="JT84" s="150"/>
      <c r="JU84" s="150"/>
      <c r="JV84" s="150"/>
      <c r="JW84" s="150"/>
      <c r="JX84" s="150"/>
      <c r="JY84" s="150"/>
      <c r="JZ84" s="150"/>
      <c r="KA84" s="150"/>
      <c r="KB84" s="150"/>
      <c r="KC84" s="150"/>
      <c r="KD84" s="150"/>
      <c r="KE84" s="150"/>
      <c r="KF84" s="150"/>
      <c r="KG84" s="150"/>
      <c r="KH84" s="150"/>
      <c r="KI84" s="150"/>
      <c r="KJ84" s="150"/>
      <c r="KK84" s="150"/>
      <c r="KL84" s="150"/>
      <c r="KM84" s="150"/>
      <c r="KN84" s="150"/>
      <c r="KO84" s="150"/>
      <c r="KP84" s="150"/>
      <c r="KQ84" s="150"/>
      <c r="KR84" s="150"/>
      <c r="KS84" s="150"/>
      <c r="KT84" s="150"/>
      <c r="KU84" s="150"/>
      <c r="KV84" s="150"/>
      <c r="KW84" s="150"/>
      <c r="KX84" s="150"/>
      <c r="KY84" s="150"/>
      <c r="KZ84" s="150"/>
      <c r="LA84" s="150"/>
      <c r="LB84" s="150"/>
      <c r="LC84" s="150"/>
      <c r="LD84" s="150"/>
      <c r="LE84" s="150"/>
      <c r="LF84" s="150"/>
      <c r="LG84" s="150"/>
      <c r="LH84" s="150"/>
      <c r="LI84" s="150"/>
      <c r="LJ84" s="150"/>
      <c r="LK84" s="150"/>
      <c r="LL84" s="150"/>
      <c r="LM84" s="150"/>
      <c r="LN84" s="150"/>
      <c r="LO84" s="150"/>
      <c r="LP84" s="150"/>
      <c r="LQ84" s="150"/>
      <c r="LR84" s="150"/>
      <c r="LS84" s="150"/>
      <c r="LT84" s="150"/>
      <c r="LU84" s="150"/>
      <c r="LV84" s="150"/>
      <c r="LW84" s="150"/>
      <c r="LX84" s="150"/>
      <c r="LY84" s="150"/>
      <c r="LZ84" s="150"/>
      <c r="MA84" s="150"/>
      <c r="MB84" s="150"/>
      <c r="MC84" s="150"/>
      <c r="MD84" s="150"/>
      <c r="ME84" s="150"/>
      <c r="MF84" s="150"/>
      <c r="MG84" s="150"/>
      <c r="MH84" s="150"/>
      <c r="MI84" s="150"/>
      <c r="MJ84" s="150"/>
      <c r="MK84" s="150"/>
      <c r="ML84" s="150"/>
      <c r="MM84" s="150"/>
      <c r="MN84" s="150"/>
      <c r="MO84" s="150"/>
      <c r="MP84" s="150"/>
      <c r="MQ84" s="150"/>
      <c r="MR84" s="150"/>
      <c r="MS84" s="150"/>
      <c r="MT84" s="150"/>
      <c r="MU84" s="150"/>
      <c r="MV84" s="150"/>
      <c r="MW84" s="150"/>
      <c r="MX84" s="150"/>
      <c r="MY84" s="150"/>
      <c r="MZ84" s="150"/>
      <c r="NA84" s="150"/>
      <c r="NB84" s="150"/>
      <c r="NC84" s="150"/>
      <c r="ND84" s="150"/>
      <c r="NE84" s="150"/>
      <c r="NF84" s="150"/>
      <c r="NG84" s="150"/>
      <c r="NH84" s="150"/>
      <c r="NI84" s="150"/>
      <c r="NJ84" s="150"/>
      <c r="NK84" s="150"/>
      <c r="NL84" s="150"/>
      <c r="NM84" s="150"/>
      <c r="NN84" s="150"/>
      <c r="NO84" s="150"/>
      <c r="NP84" s="150"/>
      <c r="NQ84" s="150"/>
      <c r="NR84" s="150"/>
      <c r="NS84" s="150"/>
      <c r="NT84" s="150"/>
      <c r="NU84" s="150"/>
      <c r="NV84" s="150"/>
      <c r="NW84" s="150"/>
      <c r="NX84" s="150"/>
      <c r="NY84" s="150"/>
      <c r="NZ84" s="150"/>
      <c r="OA84" s="150"/>
      <c r="OB84" s="150"/>
      <c r="OC84" s="150"/>
      <c r="OD84" s="150"/>
      <c r="OE84" s="150"/>
    </row>
    <row r="85" spans="1:395">
      <c r="A85" s="19"/>
      <c r="B85" s="17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85"/>
      <c r="Q85" s="185"/>
      <c r="R85" s="185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  <c r="BI85" s="150"/>
      <c r="BJ85" s="150"/>
      <c r="BK85" s="150"/>
      <c r="BL85" s="150"/>
      <c r="BM85" s="150"/>
      <c r="BN85" s="150"/>
      <c r="BO85" s="150"/>
      <c r="BP85" s="150"/>
      <c r="BQ85" s="150"/>
      <c r="BR85" s="150"/>
      <c r="BS85" s="150"/>
      <c r="BT85" s="150"/>
      <c r="BU85" s="150"/>
      <c r="BV85" s="150"/>
      <c r="BW85" s="150"/>
      <c r="BX85" s="150"/>
      <c r="BY85" s="150"/>
      <c r="BZ85" s="150"/>
      <c r="CA85" s="150"/>
      <c r="CB85" s="150"/>
      <c r="CC85" s="150"/>
      <c r="CD85" s="150"/>
      <c r="CE85" s="150"/>
      <c r="CF85" s="150"/>
      <c r="CG85" s="150"/>
      <c r="CH85" s="150"/>
      <c r="CI85" s="150"/>
      <c r="CJ85" s="150"/>
      <c r="CK85" s="150"/>
      <c r="CL85" s="150"/>
      <c r="CM85" s="150"/>
      <c r="CN85" s="150"/>
      <c r="CO85" s="150"/>
      <c r="CP85" s="150"/>
      <c r="CQ85" s="150"/>
      <c r="CR85" s="150"/>
      <c r="CS85" s="150"/>
      <c r="CT85" s="150"/>
      <c r="CU85" s="150"/>
      <c r="CV85" s="150"/>
      <c r="CW85" s="150"/>
      <c r="CX85" s="150"/>
      <c r="CY85" s="150"/>
      <c r="CZ85" s="150"/>
      <c r="DA85" s="150"/>
      <c r="DB85" s="150"/>
      <c r="DC85" s="150"/>
      <c r="DD85" s="150"/>
      <c r="DE85" s="150"/>
      <c r="DF85" s="150"/>
      <c r="DG85" s="150"/>
      <c r="DH85" s="150"/>
      <c r="DI85" s="150"/>
      <c r="DJ85" s="150"/>
      <c r="DK85" s="150"/>
      <c r="DL85" s="150"/>
      <c r="DM85" s="150"/>
      <c r="DN85" s="150"/>
      <c r="DO85" s="150"/>
      <c r="DP85" s="150"/>
      <c r="DQ85" s="150"/>
      <c r="DR85" s="150"/>
      <c r="DS85" s="150"/>
      <c r="DT85" s="150"/>
      <c r="DU85" s="150"/>
      <c r="DV85" s="150"/>
      <c r="DW85" s="150"/>
      <c r="DX85" s="150"/>
      <c r="DY85" s="150"/>
      <c r="DZ85" s="150"/>
      <c r="EA85" s="150"/>
      <c r="EB85" s="150"/>
      <c r="EC85" s="150"/>
      <c r="ED85" s="150"/>
      <c r="EE85" s="150"/>
      <c r="EF85" s="150"/>
      <c r="EG85" s="150"/>
      <c r="EH85" s="150"/>
      <c r="EI85" s="150"/>
      <c r="EJ85" s="150"/>
      <c r="EK85" s="150"/>
      <c r="EL85" s="150"/>
      <c r="EM85" s="150"/>
      <c r="EN85" s="150"/>
      <c r="EO85" s="150"/>
      <c r="EP85" s="150"/>
      <c r="EQ85" s="150"/>
      <c r="ER85" s="150"/>
      <c r="ES85" s="150"/>
      <c r="ET85" s="150"/>
      <c r="EU85" s="150"/>
      <c r="EV85" s="150"/>
      <c r="EW85" s="150"/>
      <c r="EX85" s="150"/>
      <c r="EY85" s="150"/>
      <c r="EZ85" s="150"/>
      <c r="FA85" s="150"/>
      <c r="FB85" s="150"/>
      <c r="FC85" s="150"/>
      <c r="FD85" s="150"/>
      <c r="FE85" s="150"/>
      <c r="FF85" s="150"/>
      <c r="FG85" s="150"/>
      <c r="FH85" s="150"/>
      <c r="FI85" s="150"/>
      <c r="FJ85" s="150"/>
      <c r="FK85" s="150"/>
      <c r="FL85" s="150"/>
      <c r="FM85" s="150"/>
      <c r="FN85" s="150"/>
      <c r="FO85" s="150"/>
      <c r="FP85" s="150"/>
      <c r="FQ85" s="150"/>
      <c r="FR85" s="150"/>
      <c r="FS85" s="150"/>
      <c r="FT85" s="150"/>
      <c r="FU85" s="150"/>
      <c r="FV85" s="150"/>
      <c r="FW85" s="150"/>
      <c r="FX85" s="150"/>
      <c r="FY85" s="150"/>
      <c r="FZ85" s="150"/>
      <c r="GA85" s="150"/>
      <c r="GB85" s="150"/>
      <c r="GC85" s="150"/>
      <c r="GD85" s="150"/>
      <c r="GE85" s="150"/>
      <c r="GF85" s="150"/>
      <c r="GG85" s="150"/>
      <c r="GH85" s="150"/>
      <c r="GI85" s="150"/>
      <c r="GJ85" s="150"/>
      <c r="GK85" s="150"/>
      <c r="GL85" s="150"/>
      <c r="GM85" s="150"/>
      <c r="GN85" s="150"/>
      <c r="GO85" s="150"/>
      <c r="GP85" s="150"/>
      <c r="GQ85" s="150"/>
      <c r="GR85" s="150"/>
      <c r="GS85" s="150"/>
      <c r="GT85" s="150"/>
      <c r="GU85" s="150"/>
      <c r="GV85" s="150"/>
      <c r="GW85" s="150"/>
      <c r="GX85" s="150"/>
      <c r="GY85" s="150"/>
      <c r="GZ85" s="150"/>
      <c r="HA85" s="150"/>
      <c r="HB85" s="150"/>
      <c r="HC85" s="150"/>
      <c r="HD85" s="150"/>
      <c r="HE85" s="150"/>
      <c r="HF85" s="150"/>
      <c r="HG85" s="150"/>
      <c r="HH85" s="150"/>
      <c r="HI85" s="150"/>
      <c r="HJ85" s="150"/>
      <c r="HK85" s="150"/>
      <c r="HL85" s="150"/>
      <c r="HM85" s="150"/>
      <c r="HN85" s="150"/>
      <c r="HO85" s="150"/>
      <c r="HP85" s="150"/>
      <c r="HQ85" s="150"/>
      <c r="HR85" s="150"/>
      <c r="HS85" s="150"/>
      <c r="HT85" s="150"/>
      <c r="HU85" s="150"/>
      <c r="HV85" s="150"/>
      <c r="HW85" s="150"/>
      <c r="HX85" s="150"/>
      <c r="HY85" s="150"/>
      <c r="HZ85" s="150"/>
      <c r="IA85" s="150"/>
      <c r="IB85" s="150"/>
      <c r="IC85" s="150"/>
      <c r="ID85" s="150"/>
      <c r="IE85" s="150"/>
      <c r="IF85" s="150"/>
      <c r="IG85" s="150"/>
      <c r="IH85" s="150"/>
      <c r="II85" s="150"/>
      <c r="IJ85" s="150"/>
      <c r="IK85" s="150"/>
      <c r="IL85" s="150"/>
      <c r="IM85" s="150"/>
      <c r="IN85" s="150"/>
      <c r="IO85" s="150"/>
      <c r="IP85" s="150"/>
      <c r="IQ85" s="150"/>
      <c r="IR85" s="150"/>
      <c r="IS85" s="150"/>
      <c r="IT85" s="150"/>
      <c r="IU85" s="150"/>
      <c r="IV85" s="150"/>
      <c r="IW85" s="150"/>
      <c r="IX85" s="150"/>
      <c r="IY85" s="150"/>
      <c r="IZ85" s="150"/>
      <c r="JA85" s="150"/>
      <c r="JB85" s="150"/>
      <c r="JC85" s="150"/>
      <c r="JD85" s="150"/>
      <c r="JE85" s="150"/>
      <c r="JF85" s="150"/>
      <c r="JG85" s="150"/>
      <c r="JH85" s="150"/>
      <c r="JI85" s="150"/>
      <c r="JJ85" s="150"/>
      <c r="JK85" s="150"/>
      <c r="JL85" s="150"/>
      <c r="JM85" s="150"/>
      <c r="JN85" s="150"/>
      <c r="JO85" s="150"/>
      <c r="JP85" s="150"/>
      <c r="JQ85" s="150"/>
      <c r="JR85" s="150"/>
      <c r="JS85" s="150"/>
      <c r="JT85" s="150"/>
      <c r="JU85" s="150"/>
      <c r="JV85" s="150"/>
      <c r="JW85" s="150"/>
      <c r="JX85" s="150"/>
      <c r="JY85" s="150"/>
      <c r="JZ85" s="150"/>
      <c r="KA85" s="150"/>
      <c r="KB85" s="150"/>
      <c r="KC85" s="150"/>
      <c r="KD85" s="150"/>
      <c r="KE85" s="150"/>
      <c r="KF85" s="150"/>
      <c r="KG85" s="150"/>
      <c r="KH85" s="150"/>
      <c r="KI85" s="150"/>
      <c r="KJ85" s="150"/>
      <c r="KK85" s="150"/>
      <c r="KL85" s="150"/>
      <c r="KM85" s="150"/>
      <c r="KN85" s="150"/>
      <c r="KO85" s="150"/>
      <c r="KP85" s="150"/>
      <c r="KQ85" s="150"/>
      <c r="KR85" s="150"/>
      <c r="KS85" s="150"/>
      <c r="KT85" s="150"/>
      <c r="KU85" s="150"/>
      <c r="KV85" s="150"/>
      <c r="KW85" s="150"/>
      <c r="KX85" s="150"/>
      <c r="KY85" s="150"/>
      <c r="KZ85" s="150"/>
      <c r="LA85" s="150"/>
      <c r="LB85" s="150"/>
      <c r="LC85" s="150"/>
      <c r="LD85" s="150"/>
      <c r="LE85" s="150"/>
      <c r="LF85" s="150"/>
      <c r="LG85" s="150"/>
      <c r="LH85" s="150"/>
      <c r="LI85" s="150"/>
      <c r="LJ85" s="150"/>
      <c r="LK85" s="150"/>
      <c r="LL85" s="150"/>
      <c r="LM85" s="150"/>
      <c r="LN85" s="150"/>
      <c r="LO85" s="150"/>
      <c r="LP85" s="150"/>
      <c r="LQ85" s="150"/>
      <c r="LR85" s="150"/>
      <c r="LS85" s="150"/>
      <c r="LT85" s="150"/>
      <c r="LU85" s="150"/>
      <c r="LV85" s="150"/>
      <c r="LW85" s="150"/>
      <c r="LX85" s="150"/>
      <c r="LY85" s="150"/>
      <c r="LZ85" s="150"/>
      <c r="MA85" s="150"/>
      <c r="MB85" s="150"/>
      <c r="MC85" s="150"/>
      <c r="MD85" s="150"/>
      <c r="ME85" s="150"/>
      <c r="MF85" s="150"/>
      <c r="MG85" s="150"/>
      <c r="MH85" s="150"/>
      <c r="MI85" s="150"/>
      <c r="MJ85" s="150"/>
      <c r="MK85" s="150"/>
      <c r="ML85" s="150"/>
      <c r="MM85" s="150"/>
      <c r="MN85" s="150"/>
      <c r="MO85" s="150"/>
      <c r="MP85" s="150"/>
      <c r="MQ85" s="150"/>
      <c r="MR85" s="150"/>
      <c r="MS85" s="150"/>
      <c r="MT85" s="150"/>
      <c r="MU85" s="150"/>
      <c r="MV85" s="150"/>
      <c r="MW85" s="150"/>
      <c r="MX85" s="150"/>
      <c r="MY85" s="150"/>
      <c r="MZ85" s="150"/>
      <c r="NA85" s="150"/>
      <c r="NB85" s="150"/>
      <c r="NC85" s="150"/>
      <c r="ND85" s="150"/>
      <c r="NE85" s="150"/>
      <c r="NF85" s="150"/>
      <c r="NG85" s="150"/>
      <c r="NH85" s="150"/>
      <c r="NI85" s="150"/>
      <c r="NJ85" s="150"/>
      <c r="NK85" s="150"/>
      <c r="NL85" s="150"/>
      <c r="NM85" s="150"/>
      <c r="NN85" s="150"/>
      <c r="NO85" s="150"/>
      <c r="NP85" s="150"/>
      <c r="NQ85" s="150"/>
      <c r="NR85" s="150"/>
      <c r="NS85" s="150"/>
      <c r="NT85" s="150"/>
      <c r="NU85" s="150"/>
      <c r="NV85" s="150"/>
      <c r="NW85" s="150"/>
      <c r="NX85" s="150"/>
      <c r="NY85" s="150"/>
      <c r="NZ85" s="150"/>
      <c r="OA85" s="150"/>
      <c r="OB85" s="150"/>
      <c r="OC85" s="150"/>
      <c r="OD85" s="150"/>
      <c r="OE85" s="150"/>
    </row>
    <row r="86" spans="1:395">
      <c r="A86" s="19"/>
      <c r="B86" s="17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85"/>
      <c r="Q86" s="185"/>
      <c r="R86" s="185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50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  <c r="BI86" s="150"/>
      <c r="BJ86" s="150"/>
      <c r="BK86" s="150"/>
      <c r="BL86" s="150"/>
      <c r="BM86" s="150"/>
      <c r="BN86" s="150"/>
      <c r="BO86" s="150"/>
      <c r="BP86" s="150"/>
      <c r="BQ86" s="150"/>
      <c r="BR86" s="150"/>
      <c r="BS86" s="150"/>
      <c r="BT86" s="150"/>
      <c r="BU86" s="150"/>
      <c r="BV86" s="150"/>
      <c r="BW86" s="150"/>
      <c r="BX86" s="150"/>
      <c r="BY86" s="150"/>
      <c r="BZ86" s="150"/>
      <c r="CA86" s="150"/>
      <c r="CB86" s="150"/>
      <c r="CC86" s="150"/>
      <c r="CD86" s="150"/>
      <c r="CE86" s="150"/>
      <c r="CF86" s="150"/>
      <c r="CG86" s="150"/>
      <c r="CH86" s="150"/>
      <c r="CI86" s="150"/>
      <c r="CJ86" s="150"/>
      <c r="CK86" s="150"/>
      <c r="CL86" s="150"/>
      <c r="CM86" s="150"/>
      <c r="CN86" s="150"/>
      <c r="CO86" s="150"/>
      <c r="CP86" s="150"/>
      <c r="CQ86" s="150"/>
      <c r="CR86" s="150"/>
      <c r="CS86" s="150"/>
      <c r="CT86" s="150"/>
      <c r="CU86" s="150"/>
      <c r="CV86" s="150"/>
      <c r="CW86" s="150"/>
      <c r="CX86" s="150"/>
      <c r="CY86" s="150"/>
      <c r="CZ86" s="150"/>
      <c r="DA86" s="150"/>
      <c r="DB86" s="150"/>
      <c r="DC86" s="150"/>
      <c r="DD86" s="150"/>
      <c r="DE86" s="150"/>
      <c r="DF86" s="150"/>
      <c r="DG86" s="150"/>
      <c r="DH86" s="150"/>
      <c r="DI86" s="150"/>
      <c r="DJ86" s="150"/>
      <c r="DK86" s="150"/>
      <c r="DL86" s="150"/>
      <c r="DM86" s="150"/>
      <c r="DN86" s="150"/>
      <c r="DO86" s="150"/>
      <c r="DP86" s="150"/>
      <c r="DQ86" s="150"/>
      <c r="DR86" s="150"/>
      <c r="DS86" s="150"/>
      <c r="DT86" s="150"/>
      <c r="DU86" s="150"/>
      <c r="DV86" s="150"/>
      <c r="DW86" s="150"/>
      <c r="DX86" s="150"/>
      <c r="DY86" s="150"/>
      <c r="DZ86" s="150"/>
      <c r="EA86" s="150"/>
      <c r="EB86" s="150"/>
      <c r="EC86" s="150"/>
      <c r="ED86" s="150"/>
      <c r="EE86" s="150"/>
      <c r="EF86" s="150"/>
      <c r="EG86" s="150"/>
      <c r="EH86" s="150"/>
      <c r="EI86" s="150"/>
      <c r="EJ86" s="150"/>
      <c r="EK86" s="150"/>
      <c r="EL86" s="150"/>
      <c r="EM86" s="150"/>
      <c r="EN86" s="150"/>
      <c r="EO86" s="150"/>
      <c r="EP86" s="150"/>
      <c r="EQ86" s="150"/>
      <c r="ER86" s="150"/>
      <c r="ES86" s="150"/>
      <c r="ET86" s="150"/>
      <c r="EU86" s="150"/>
      <c r="EV86" s="150"/>
      <c r="EW86" s="150"/>
      <c r="EX86" s="150"/>
      <c r="EY86" s="150"/>
      <c r="EZ86" s="150"/>
      <c r="FA86" s="150"/>
      <c r="FB86" s="150"/>
      <c r="FC86" s="150"/>
      <c r="FD86" s="150"/>
      <c r="FE86" s="150"/>
      <c r="FF86" s="150"/>
      <c r="FG86" s="150"/>
      <c r="FH86" s="150"/>
      <c r="FI86" s="150"/>
      <c r="FJ86" s="150"/>
      <c r="FK86" s="150"/>
      <c r="FL86" s="150"/>
      <c r="FM86" s="150"/>
      <c r="FN86" s="150"/>
      <c r="FO86" s="150"/>
      <c r="FP86" s="150"/>
      <c r="FQ86" s="150"/>
      <c r="FR86" s="150"/>
      <c r="FS86" s="150"/>
      <c r="FT86" s="150"/>
      <c r="FU86" s="150"/>
      <c r="FV86" s="150"/>
      <c r="FW86" s="150"/>
      <c r="FX86" s="150"/>
      <c r="FY86" s="150"/>
      <c r="FZ86" s="150"/>
      <c r="GA86" s="150"/>
      <c r="GB86" s="150"/>
      <c r="GC86" s="150"/>
      <c r="GD86" s="150"/>
      <c r="GE86" s="150"/>
      <c r="GF86" s="150"/>
      <c r="GG86" s="150"/>
      <c r="GH86" s="150"/>
      <c r="GI86" s="150"/>
      <c r="GJ86" s="150"/>
      <c r="GK86" s="150"/>
      <c r="GL86" s="150"/>
      <c r="GM86" s="150"/>
      <c r="GN86" s="150"/>
      <c r="GO86" s="150"/>
      <c r="GP86" s="150"/>
      <c r="GQ86" s="150"/>
      <c r="GR86" s="150"/>
      <c r="GS86" s="150"/>
      <c r="GT86" s="150"/>
      <c r="GU86" s="150"/>
      <c r="GV86" s="150"/>
      <c r="GW86" s="150"/>
      <c r="GX86" s="150"/>
      <c r="GY86" s="150"/>
      <c r="GZ86" s="150"/>
      <c r="HA86" s="150"/>
      <c r="HB86" s="150"/>
      <c r="HC86" s="150"/>
      <c r="HD86" s="150"/>
      <c r="HE86" s="150"/>
      <c r="HF86" s="150"/>
      <c r="HG86" s="150"/>
      <c r="HH86" s="150"/>
      <c r="HI86" s="150"/>
      <c r="HJ86" s="150"/>
      <c r="HK86" s="150"/>
      <c r="HL86" s="150"/>
      <c r="HM86" s="150"/>
      <c r="HN86" s="150"/>
      <c r="HO86" s="150"/>
      <c r="HP86" s="150"/>
      <c r="HQ86" s="150"/>
      <c r="HR86" s="150"/>
      <c r="HS86" s="150"/>
      <c r="HT86" s="150"/>
      <c r="HU86" s="150"/>
      <c r="HV86" s="150"/>
      <c r="HW86" s="150"/>
      <c r="HX86" s="150"/>
      <c r="HY86" s="150"/>
      <c r="HZ86" s="150"/>
      <c r="IA86" s="150"/>
      <c r="IB86" s="150"/>
      <c r="IC86" s="150"/>
      <c r="ID86" s="150"/>
      <c r="IE86" s="150"/>
      <c r="IF86" s="150"/>
      <c r="IG86" s="150"/>
      <c r="IH86" s="150"/>
      <c r="II86" s="150"/>
      <c r="IJ86" s="150"/>
      <c r="IK86" s="150"/>
      <c r="IL86" s="150"/>
      <c r="IM86" s="150"/>
      <c r="IN86" s="150"/>
      <c r="IO86" s="150"/>
      <c r="IP86" s="150"/>
      <c r="IQ86" s="150"/>
      <c r="IR86" s="150"/>
      <c r="IS86" s="150"/>
      <c r="IT86" s="150"/>
      <c r="IU86" s="150"/>
      <c r="IV86" s="150"/>
      <c r="IW86" s="150"/>
      <c r="IX86" s="150"/>
      <c r="IY86" s="150"/>
      <c r="IZ86" s="150"/>
      <c r="JA86" s="150"/>
      <c r="JB86" s="150"/>
      <c r="JC86" s="150"/>
      <c r="JD86" s="150"/>
      <c r="JE86" s="150"/>
      <c r="JF86" s="150"/>
      <c r="JG86" s="150"/>
      <c r="JH86" s="150"/>
      <c r="JI86" s="150"/>
      <c r="JJ86" s="150"/>
      <c r="JK86" s="150"/>
      <c r="JL86" s="150"/>
      <c r="JM86" s="150"/>
      <c r="JN86" s="150"/>
      <c r="JO86" s="150"/>
      <c r="JP86" s="150"/>
      <c r="JQ86" s="150"/>
      <c r="JR86" s="150"/>
      <c r="JS86" s="150"/>
      <c r="JT86" s="150"/>
      <c r="JU86" s="150"/>
      <c r="JV86" s="150"/>
      <c r="JW86" s="150"/>
      <c r="JX86" s="150"/>
      <c r="JY86" s="150"/>
      <c r="JZ86" s="150"/>
      <c r="KA86" s="150"/>
      <c r="KB86" s="150"/>
      <c r="KC86" s="150"/>
      <c r="KD86" s="150"/>
      <c r="KE86" s="150"/>
      <c r="KF86" s="150"/>
      <c r="KG86" s="150"/>
      <c r="KH86" s="150"/>
      <c r="KI86" s="150"/>
      <c r="KJ86" s="150"/>
      <c r="KK86" s="150"/>
      <c r="KL86" s="150"/>
      <c r="KM86" s="150"/>
      <c r="KN86" s="150"/>
      <c r="KO86" s="150"/>
      <c r="KP86" s="150"/>
      <c r="KQ86" s="150"/>
      <c r="KR86" s="150"/>
      <c r="KS86" s="150"/>
      <c r="KT86" s="150"/>
      <c r="KU86" s="150"/>
      <c r="KV86" s="150"/>
      <c r="KW86" s="150"/>
      <c r="KX86" s="150"/>
      <c r="KY86" s="150"/>
      <c r="KZ86" s="150"/>
      <c r="LA86" s="150"/>
      <c r="LB86" s="150"/>
      <c r="LC86" s="150"/>
      <c r="LD86" s="150"/>
      <c r="LE86" s="150"/>
      <c r="LF86" s="150"/>
      <c r="LG86" s="150"/>
      <c r="LH86" s="150"/>
      <c r="LI86" s="150"/>
      <c r="LJ86" s="150"/>
      <c r="LK86" s="150"/>
      <c r="LL86" s="150"/>
      <c r="LM86" s="150"/>
      <c r="LN86" s="150"/>
      <c r="LO86" s="150"/>
      <c r="LP86" s="150"/>
      <c r="LQ86" s="150"/>
      <c r="LR86" s="150"/>
      <c r="LS86" s="150"/>
      <c r="LT86" s="150"/>
      <c r="LU86" s="150"/>
      <c r="LV86" s="150"/>
      <c r="LW86" s="150"/>
      <c r="LX86" s="150"/>
      <c r="LY86" s="150"/>
      <c r="LZ86" s="150"/>
      <c r="MA86" s="150"/>
      <c r="MB86" s="150"/>
      <c r="MC86" s="150"/>
      <c r="MD86" s="150"/>
      <c r="ME86" s="150"/>
      <c r="MF86" s="150"/>
      <c r="MG86" s="150"/>
      <c r="MH86" s="150"/>
      <c r="MI86" s="150"/>
      <c r="MJ86" s="150"/>
      <c r="MK86" s="150"/>
      <c r="ML86" s="150"/>
      <c r="MM86" s="150"/>
      <c r="MN86" s="150"/>
      <c r="MO86" s="150"/>
      <c r="MP86" s="150"/>
      <c r="MQ86" s="150"/>
      <c r="MR86" s="150"/>
      <c r="MS86" s="150"/>
      <c r="MT86" s="150"/>
      <c r="MU86" s="150"/>
      <c r="MV86" s="150"/>
      <c r="MW86" s="150"/>
      <c r="MX86" s="150"/>
      <c r="MY86" s="150"/>
      <c r="MZ86" s="150"/>
      <c r="NA86" s="150"/>
      <c r="NB86" s="150"/>
      <c r="NC86" s="150"/>
      <c r="ND86" s="150"/>
      <c r="NE86" s="150"/>
      <c r="NF86" s="150"/>
      <c r="NG86" s="150"/>
      <c r="NH86" s="150"/>
      <c r="NI86" s="150"/>
      <c r="NJ86" s="150"/>
      <c r="NK86" s="150"/>
      <c r="NL86" s="150"/>
      <c r="NM86" s="150"/>
      <c r="NN86" s="150"/>
      <c r="NO86" s="150"/>
      <c r="NP86" s="150"/>
      <c r="NQ86" s="150"/>
      <c r="NR86" s="150"/>
      <c r="NS86" s="150"/>
      <c r="NT86" s="150"/>
      <c r="NU86" s="150"/>
      <c r="NV86" s="150"/>
      <c r="NW86" s="150"/>
      <c r="NX86" s="150"/>
      <c r="NY86" s="150"/>
      <c r="NZ86" s="150"/>
      <c r="OA86" s="150"/>
      <c r="OB86" s="150"/>
      <c r="OC86" s="150"/>
      <c r="OD86" s="150"/>
      <c r="OE86" s="150"/>
    </row>
    <row r="87" spans="1:395">
      <c r="A87" s="19"/>
      <c r="B87" s="17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85"/>
      <c r="Q87" s="185"/>
      <c r="R87" s="185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50"/>
      <c r="AF87" s="150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  <c r="BI87" s="150"/>
      <c r="BJ87" s="150"/>
      <c r="BK87" s="150"/>
      <c r="BL87" s="150"/>
      <c r="BM87" s="150"/>
      <c r="BN87" s="150"/>
      <c r="BO87" s="150"/>
      <c r="BP87" s="150"/>
      <c r="BQ87" s="150"/>
      <c r="BR87" s="150"/>
      <c r="BS87" s="150"/>
      <c r="BT87" s="150"/>
      <c r="BU87" s="150"/>
      <c r="BV87" s="150"/>
      <c r="BW87" s="150"/>
      <c r="BX87" s="150"/>
      <c r="BY87" s="150"/>
      <c r="BZ87" s="150"/>
      <c r="CA87" s="150"/>
      <c r="CB87" s="150"/>
      <c r="CC87" s="150"/>
      <c r="CD87" s="150"/>
      <c r="CE87" s="150"/>
      <c r="CF87" s="150"/>
      <c r="CG87" s="150"/>
      <c r="CH87" s="150"/>
      <c r="CI87" s="150"/>
      <c r="CJ87" s="150"/>
      <c r="CK87" s="150"/>
      <c r="CL87" s="150"/>
      <c r="CM87" s="150"/>
      <c r="CN87" s="150"/>
      <c r="CO87" s="150"/>
      <c r="CP87" s="150"/>
      <c r="CQ87" s="150"/>
      <c r="CR87" s="150"/>
      <c r="CS87" s="150"/>
      <c r="CT87" s="150"/>
      <c r="CU87" s="150"/>
      <c r="CV87" s="150"/>
      <c r="CW87" s="150"/>
      <c r="CX87" s="150"/>
      <c r="CY87" s="150"/>
      <c r="CZ87" s="150"/>
      <c r="DA87" s="150"/>
      <c r="DB87" s="150"/>
      <c r="DC87" s="150"/>
      <c r="DD87" s="150"/>
      <c r="DE87" s="150"/>
      <c r="DF87" s="150"/>
      <c r="DG87" s="150"/>
      <c r="DH87" s="150"/>
      <c r="DI87" s="150"/>
      <c r="DJ87" s="150"/>
      <c r="DK87" s="150"/>
      <c r="DL87" s="150"/>
      <c r="DM87" s="150"/>
      <c r="DN87" s="150"/>
      <c r="DO87" s="150"/>
      <c r="DP87" s="150"/>
      <c r="DQ87" s="150"/>
      <c r="DR87" s="150"/>
      <c r="DS87" s="150"/>
      <c r="DT87" s="150"/>
      <c r="DU87" s="150"/>
      <c r="DV87" s="150"/>
      <c r="DW87" s="150"/>
      <c r="DX87" s="150"/>
      <c r="DY87" s="150"/>
      <c r="DZ87" s="150"/>
      <c r="EA87" s="150"/>
      <c r="EB87" s="150"/>
      <c r="EC87" s="150"/>
      <c r="ED87" s="150"/>
      <c r="EE87" s="150"/>
      <c r="EF87" s="150"/>
      <c r="EG87" s="150"/>
      <c r="EH87" s="150"/>
      <c r="EI87" s="150"/>
      <c r="EJ87" s="150"/>
      <c r="EK87" s="150"/>
      <c r="EL87" s="150"/>
      <c r="EM87" s="150"/>
      <c r="EN87" s="150"/>
      <c r="EO87" s="150"/>
      <c r="EP87" s="150"/>
      <c r="EQ87" s="150"/>
      <c r="ER87" s="150"/>
      <c r="ES87" s="150"/>
      <c r="ET87" s="150"/>
      <c r="EU87" s="150"/>
      <c r="EV87" s="150"/>
      <c r="EW87" s="150"/>
      <c r="EX87" s="150"/>
      <c r="EY87" s="150"/>
      <c r="EZ87" s="150"/>
      <c r="FA87" s="150"/>
      <c r="FB87" s="150"/>
      <c r="FC87" s="150"/>
      <c r="FD87" s="150"/>
      <c r="FE87" s="150"/>
      <c r="FF87" s="150"/>
      <c r="FG87" s="150"/>
      <c r="FH87" s="150"/>
      <c r="FI87" s="150"/>
      <c r="FJ87" s="150"/>
      <c r="FK87" s="150"/>
      <c r="FL87" s="150"/>
      <c r="FM87" s="150"/>
      <c r="FN87" s="150"/>
      <c r="FO87" s="150"/>
      <c r="FP87" s="150"/>
      <c r="FQ87" s="150"/>
      <c r="FR87" s="150"/>
      <c r="FS87" s="150"/>
      <c r="FT87" s="150"/>
      <c r="FU87" s="150"/>
      <c r="FV87" s="150"/>
      <c r="FW87" s="150"/>
      <c r="FX87" s="150"/>
      <c r="FY87" s="150"/>
      <c r="FZ87" s="150"/>
      <c r="GA87" s="150"/>
      <c r="GB87" s="150"/>
      <c r="GC87" s="150"/>
      <c r="GD87" s="150"/>
      <c r="GE87" s="150"/>
      <c r="GF87" s="150"/>
      <c r="GG87" s="150"/>
      <c r="GH87" s="150"/>
      <c r="GI87" s="150"/>
      <c r="GJ87" s="150"/>
      <c r="GK87" s="150"/>
      <c r="GL87" s="150"/>
      <c r="GM87" s="150"/>
      <c r="GN87" s="150"/>
      <c r="GO87" s="150"/>
      <c r="GP87" s="150"/>
      <c r="GQ87" s="150"/>
      <c r="GR87" s="150"/>
      <c r="GS87" s="150"/>
      <c r="GT87" s="150"/>
      <c r="GU87" s="150"/>
      <c r="GV87" s="150"/>
      <c r="GW87" s="150"/>
      <c r="GX87" s="150"/>
      <c r="GY87" s="150"/>
      <c r="GZ87" s="150"/>
      <c r="HA87" s="150"/>
      <c r="HB87" s="150"/>
      <c r="HC87" s="150"/>
      <c r="HD87" s="150"/>
      <c r="HE87" s="150"/>
      <c r="HF87" s="150"/>
      <c r="HG87" s="150"/>
      <c r="HH87" s="150"/>
      <c r="HI87" s="150"/>
      <c r="HJ87" s="150"/>
      <c r="HK87" s="150"/>
      <c r="HL87" s="150"/>
      <c r="HM87" s="150"/>
      <c r="HN87" s="150"/>
      <c r="HO87" s="150"/>
      <c r="HP87" s="150"/>
      <c r="HQ87" s="150"/>
      <c r="HR87" s="150"/>
      <c r="HS87" s="150"/>
      <c r="HT87" s="150"/>
      <c r="HU87" s="150"/>
      <c r="HV87" s="150"/>
      <c r="HW87" s="150"/>
      <c r="HX87" s="150"/>
      <c r="HY87" s="150"/>
      <c r="HZ87" s="150"/>
      <c r="IA87" s="150"/>
      <c r="IB87" s="150"/>
      <c r="IC87" s="150"/>
      <c r="ID87" s="150"/>
      <c r="IE87" s="150"/>
      <c r="IF87" s="150"/>
      <c r="IG87" s="150"/>
      <c r="IH87" s="150"/>
      <c r="II87" s="150"/>
      <c r="IJ87" s="150"/>
      <c r="IK87" s="150"/>
      <c r="IL87" s="150"/>
      <c r="IM87" s="150"/>
      <c r="IN87" s="150"/>
      <c r="IO87" s="150"/>
      <c r="IP87" s="150"/>
      <c r="IQ87" s="150"/>
      <c r="IR87" s="150"/>
      <c r="IS87" s="150"/>
      <c r="IT87" s="150"/>
      <c r="IU87" s="150"/>
      <c r="IV87" s="150"/>
      <c r="IW87" s="150"/>
      <c r="IX87" s="150"/>
      <c r="IY87" s="150"/>
      <c r="IZ87" s="150"/>
      <c r="JA87" s="150"/>
      <c r="JB87" s="150"/>
      <c r="JC87" s="150"/>
      <c r="JD87" s="150"/>
      <c r="JE87" s="150"/>
      <c r="JF87" s="150"/>
      <c r="JG87" s="150"/>
      <c r="JH87" s="150"/>
      <c r="JI87" s="150"/>
      <c r="JJ87" s="150"/>
      <c r="JK87" s="150"/>
      <c r="JL87" s="150"/>
      <c r="JM87" s="150"/>
      <c r="JN87" s="150"/>
      <c r="JO87" s="150"/>
      <c r="JP87" s="150"/>
      <c r="JQ87" s="150"/>
      <c r="JR87" s="150"/>
      <c r="JS87" s="150"/>
      <c r="JT87" s="150"/>
      <c r="JU87" s="150"/>
      <c r="JV87" s="150"/>
      <c r="JW87" s="150"/>
      <c r="JX87" s="150"/>
      <c r="JY87" s="150"/>
      <c r="JZ87" s="150"/>
      <c r="KA87" s="150"/>
      <c r="KB87" s="150"/>
      <c r="KC87" s="150"/>
      <c r="KD87" s="150"/>
      <c r="KE87" s="150"/>
      <c r="KF87" s="150"/>
      <c r="KG87" s="150"/>
      <c r="KH87" s="150"/>
      <c r="KI87" s="150"/>
      <c r="KJ87" s="150"/>
      <c r="KK87" s="150"/>
      <c r="KL87" s="150"/>
      <c r="KM87" s="150"/>
      <c r="KN87" s="150"/>
      <c r="KO87" s="150"/>
      <c r="KP87" s="150"/>
      <c r="KQ87" s="150"/>
      <c r="KR87" s="150"/>
      <c r="KS87" s="150"/>
      <c r="KT87" s="150"/>
      <c r="KU87" s="150"/>
      <c r="KV87" s="150"/>
      <c r="KW87" s="150"/>
      <c r="KX87" s="150"/>
      <c r="KY87" s="150"/>
      <c r="KZ87" s="150"/>
      <c r="LA87" s="150"/>
      <c r="LB87" s="150"/>
      <c r="LC87" s="150"/>
      <c r="LD87" s="150"/>
      <c r="LE87" s="150"/>
      <c r="LF87" s="150"/>
      <c r="LG87" s="150"/>
      <c r="LH87" s="150"/>
      <c r="LI87" s="150"/>
      <c r="LJ87" s="150"/>
      <c r="LK87" s="150"/>
      <c r="LL87" s="150"/>
      <c r="LM87" s="150"/>
      <c r="LN87" s="150"/>
      <c r="LO87" s="150"/>
      <c r="LP87" s="150"/>
      <c r="LQ87" s="150"/>
      <c r="LR87" s="150"/>
      <c r="LS87" s="150"/>
      <c r="LT87" s="150"/>
      <c r="LU87" s="150"/>
      <c r="LV87" s="150"/>
      <c r="LW87" s="150"/>
      <c r="LX87" s="150"/>
      <c r="LY87" s="150"/>
      <c r="LZ87" s="150"/>
      <c r="MA87" s="150"/>
      <c r="MB87" s="150"/>
      <c r="MC87" s="150"/>
      <c r="MD87" s="150"/>
      <c r="ME87" s="150"/>
      <c r="MF87" s="150"/>
      <c r="MG87" s="150"/>
      <c r="MH87" s="150"/>
      <c r="MI87" s="150"/>
      <c r="MJ87" s="150"/>
      <c r="MK87" s="150"/>
      <c r="ML87" s="150"/>
      <c r="MM87" s="150"/>
      <c r="MN87" s="150"/>
      <c r="MO87" s="150"/>
      <c r="MP87" s="150"/>
      <c r="MQ87" s="150"/>
      <c r="MR87" s="150"/>
      <c r="MS87" s="150"/>
      <c r="MT87" s="150"/>
      <c r="MU87" s="150"/>
      <c r="MV87" s="150"/>
      <c r="MW87" s="150"/>
      <c r="MX87" s="150"/>
      <c r="MY87" s="150"/>
      <c r="MZ87" s="150"/>
      <c r="NA87" s="150"/>
      <c r="NB87" s="150"/>
      <c r="NC87" s="150"/>
      <c r="ND87" s="150"/>
      <c r="NE87" s="150"/>
      <c r="NF87" s="150"/>
      <c r="NG87" s="150"/>
      <c r="NH87" s="150"/>
      <c r="NI87" s="150"/>
      <c r="NJ87" s="150"/>
      <c r="NK87" s="150"/>
      <c r="NL87" s="150"/>
      <c r="NM87" s="150"/>
      <c r="NN87" s="150"/>
      <c r="NO87" s="150"/>
      <c r="NP87" s="150"/>
      <c r="NQ87" s="150"/>
      <c r="NR87" s="150"/>
      <c r="NS87" s="150"/>
      <c r="NT87" s="150"/>
      <c r="NU87" s="150"/>
      <c r="NV87" s="150"/>
      <c r="NW87" s="150"/>
      <c r="NX87" s="150"/>
      <c r="NY87" s="150"/>
      <c r="NZ87" s="150"/>
      <c r="OA87" s="150"/>
      <c r="OB87" s="150"/>
      <c r="OC87" s="150"/>
      <c r="OD87" s="150"/>
      <c r="OE87" s="150"/>
    </row>
    <row r="88" spans="1:395">
      <c r="A88" s="19"/>
      <c r="B88" s="17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85"/>
      <c r="Q88" s="185"/>
      <c r="R88" s="185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50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  <c r="BI88" s="150"/>
      <c r="BJ88" s="150"/>
      <c r="BK88" s="150"/>
      <c r="BL88" s="150"/>
      <c r="BM88" s="150"/>
      <c r="BN88" s="150"/>
      <c r="BO88" s="150"/>
      <c r="BP88" s="150"/>
      <c r="BQ88" s="150"/>
      <c r="BR88" s="150"/>
      <c r="BS88" s="150"/>
      <c r="BT88" s="150"/>
      <c r="BU88" s="150"/>
      <c r="BV88" s="150"/>
      <c r="BW88" s="150"/>
      <c r="BX88" s="150"/>
      <c r="BY88" s="150"/>
      <c r="BZ88" s="150"/>
      <c r="CA88" s="150"/>
      <c r="CB88" s="150"/>
      <c r="CC88" s="150"/>
      <c r="CD88" s="150"/>
      <c r="CE88" s="150"/>
      <c r="CF88" s="150"/>
      <c r="CG88" s="150"/>
      <c r="CH88" s="150"/>
      <c r="CI88" s="150"/>
      <c r="CJ88" s="150"/>
      <c r="CK88" s="150"/>
      <c r="CL88" s="150"/>
      <c r="CM88" s="150"/>
      <c r="CN88" s="150"/>
      <c r="CO88" s="150"/>
      <c r="CP88" s="150"/>
      <c r="CQ88" s="150"/>
      <c r="CR88" s="150"/>
      <c r="CS88" s="150"/>
      <c r="CT88" s="150"/>
      <c r="CU88" s="150"/>
      <c r="CV88" s="150"/>
      <c r="CW88" s="150"/>
      <c r="CX88" s="150"/>
      <c r="CY88" s="150"/>
      <c r="CZ88" s="150"/>
      <c r="DA88" s="150"/>
      <c r="DB88" s="150"/>
      <c r="DC88" s="150"/>
      <c r="DD88" s="150"/>
      <c r="DE88" s="150"/>
      <c r="DF88" s="150"/>
      <c r="DG88" s="150"/>
      <c r="DH88" s="150"/>
      <c r="DI88" s="150"/>
      <c r="DJ88" s="150"/>
      <c r="DK88" s="150"/>
      <c r="DL88" s="150"/>
      <c r="DM88" s="150"/>
      <c r="DN88" s="150"/>
      <c r="DO88" s="150"/>
      <c r="DP88" s="150"/>
      <c r="DQ88" s="150"/>
      <c r="DR88" s="150"/>
      <c r="DS88" s="150"/>
      <c r="DT88" s="150"/>
      <c r="DU88" s="150"/>
      <c r="DV88" s="150"/>
      <c r="DW88" s="150"/>
      <c r="DX88" s="150"/>
      <c r="DY88" s="150"/>
      <c r="DZ88" s="150"/>
      <c r="EA88" s="150"/>
      <c r="EB88" s="150"/>
      <c r="EC88" s="150"/>
      <c r="ED88" s="150"/>
      <c r="EE88" s="150"/>
      <c r="EF88" s="150"/>
      <c r="EG88" s="150"/>
      <c r="EH88" s="150"/>
      <c r="EI88" s="150"/>
      <c r="EJ88" s="150"/>
      <c r="EK88" s="150"/>
      <c r="EL88" s="150"/>
      <c r="EM88" s="150"/>
      <c r="EN88" s="150"/>
      <c r="EO88" s="150"/>
      <c r="EP88" s="150"/>
      <c r="EQ88" s="150"/>
      <c r="ER88" s="150"/>
      <c r="ES88" s="150"/>
      <c r="ET88" s="150"/>
      <c r="EU88" s="150"/>
      <c r="EV88" s="150"/>
      <c r="EW88" s="150"/>
      <c r="EX88" s="150"/>
      <c r="EY88" s="150"/>
      <c r="EZ88" s="150"/>
      <c r="FA88" s="150"/>
      <c r="FB88" s="150"/>
      <c r="FC88" s="150"/>
      <c r="FD88" s="150"/>
      <c r="FE88" s="150"/>
      <c r="FF88" s="150"/>
      <c r="FG88" s="150"/>
      <c r="FH88" s="150"/>
      <c r="FI88" s="150"/>
      <c r="FJ88" s="150"/>
      <c r="FK88" s="150"/>
      <c r="FL88" s="150"/>
      <c r="FM88" s="150"/>
      <c r="FN88" s="150"/>
      <c r="FO88" s="150"/>
      <c r="FP88" s="150"/>
      <c r="FQ88" s="150"/>
      <c r="FR88" s="150"/>
      <c r="FS88" s="150"/>
      <c r="FT88" s="150"/>
      <c r="FU88" s="150"/>
      <c r="FV88" s="150"/>
      <c r="FW88" s="150"/>
      <c r="FX88" s="150"/>
      <c r="FY88" s="150"/>
      <c r="FZ88" s="150"/>
      <c r="GA88" s="150"/>
      <c r="GB88" s="150"/>
      <c r="GC88" s="150"/>
      <c r="GD88" s="150"/>
      <c r="GE88" s="150"/>
      <c r="GF88" s="150"/>
      <c r="GG88" s="150"/>
      <c r="GH88" s="150"/>
      <c r="GI88" s="150"/>
      <c r="GJ88" s="150"/>
      <c r="GK88" s="150"/>
      <c r="GL88" s="150"/>
      <c r="GM88" s="150"/>
      <c r="GN88" s="150"/>
      <c r="GO88" s="150"/>
      <c r="GP88" s="150"/>
      <c r="GQ88" s="150"/>
      <c r="GR88" s="150"/>
      <c r="GS88" s="150"/>
      <c r="GT88" s="150"/>
      <c r="GU88" s="150"/>
      <c r="GV88" s="150"/>
      <c r="GW88" s="150"/>
      <c r="GX88" s="150"/>
      <c r="GY88" s="150"/>
      <c r="GZ88" s="150"/>
      <c r="HA88" s="150"/>
      <c r="HB88" s="150"/>
      <c r="HC88" s="150"/>
      <c r="HD88" s="150"/>
      <c r="HE88" s="150"/>
      <c r="HF88" s="150"/>
      <c r="HG88" s="150"/>
      <c r="HH88" s="150"/>
      <c r="HI88" s="150"/>
      <c r="HJ88" s="150"/>
      <c r="HK88" s="150"/>
      <c r="HL88" s="150"/>
      <c r="HM88" s="150"/>
      <c r="HN88" s="150"/>
      <c r="HO88" s="150"/>
      <c r="HP88" s="150"/>
      <c r="HQ88" s="150"/>
      <c r="HR88" s="150"/>
      <c r="HS88" s="150"/>
      <c r="HT88" s="150"/>
      <c r="HU88" s="150"/>
      <c r="HV88" s="150"/>
      <c r="HW88" s="150"/>
      <c r="HX88" s="150"/>
      <c r="HY88" s="150"/>
      <c r="HZ88" s="150"/>
      <c r="IA88" s="150"/>
      <c r="IB88" s="150"/>
      <c r="IC88" s="150"/>
      <c r="ID88" s="150"/>
      <c r="IE88" s="150"/>
      <c r="IF88" s="150"/>
      <c r="IG88" s="150"/>
      <c r="IH88" s="150"/>
      <c r="II88" s="150"/>
      <c r="IJ88" s="150"/>
      <c r="IK88" s="150"/>
      <c r="IL88" s="150"/>
      <c r="IM88" s="150"/>
      <c r="IN88" s="150"/>
      <c r="IO88" s="150"/>
      <c r="IP88" s="150"/>
      <c r="IQ88" s="150"/>
      <c r="IR88" s="150"/>
      <c r="IS88" s="150"/>
      <c r="IT88" s="150"/>
      <c r="IU88" s="150"/>
      <c r="IV88" s="150"/>
      <c r="IW88" s="150"/>
      <c r="IX88" s="150"/>
      <c r="IY88" s="150"/>
      <c r="IZ88" s="150"/>
      <c r="JA88" s="150"/>
      <c r="JB88" s="150"/>
      <c r="JC88" s="150"/>
      <c r="JD88" s="150"/>
      <c r="JE88" s="150"/>
      <c r="JF88" s="150"/>
      <c r="JG88" s="150"/>
      <c r="JH88" s="150"/>
      <c r="JI88" s="150"/>
      <c r="JJ88" s="150"/>
      <c r="JK88" s="150"/>
      <c r="JL88" s="150"/>
      <c r="JM88" s="150"/>
      <c r="JN88" s="150"/>
      <c r="JO88" s="150"/>
      <c r="JP88" s="150"/>
      <c r="JQ88" s="150"/>
      <c r="JR88" s="150"/>
      <c r="JS88" s="150"/>
      <c r="JT88" s="150"/>
      <c r="JU88" s="150"/>
      <c r="JV88" s="150"/>
      <c r="JW88" s="150"/>
      <c r="JX88" s="150"/>
      <c r="JY88" s="150"/>
      <c r="JZ88" s="150"/>
      <c r="KA88" s="150"/>
      <c r="KB88" s="150"/>
      <c r="KC88" s="150"/>
      <c r="KD88" s="150"/>
      <c r="KE88" s="150"/>
      <c r="KF88" s="150"/>
      <c r="KG88" s="150"/>
      <c r="KH88" s="150"/>
      <c r="KI88" s="150"/>
      <c r="KJ88" s="150"/>
      <c r="KK88" s="150"/>
      <c r="KL88" s="150"/>
      <c r="KM88" s="150"/>
      <c r="KN88" s="150"/>
      <c r="KO88" s="150"/>
      <c r="KP88" s="150"/>
      <c r="KQ88" s="150"/>
      <c r="KR88" s="150"/>
      <c r="KS88" s="150"/>
      <c r="KT88" s="150"/>
      <c r="KU88" s="150"/>
      <c r="KV88" s="150"/>
      <c r="KW88" s="150"/>
      <c r="KX88" s="150"/>
      <c r="KY88" s="150"/>
      <c r="KZ88" s="150"/>
      <c r="LA88" s="150"/>
      <c r="LB88" s="150"/>
      <c r="LC88" s="150"/>
      <c r="LD88" s="150"/>
      <c r="LE88" s="150"/>
      <c r="LF88" s="150"/>
      <c r="LG88" s="150"/>
      <c r="LH88" s="150"/>
      <c r="LI88" s="150"/>
      <c r="LJ88" s="150"/>
      <c r="LK88" s="150"/>
      <c r="LL88" s="150"/>
      <c r="LM88" s="150"/>
      <c r="LN88" s="150"/>
      <c r="LO88" s="150"/>
      <c r="LP88" s="150"/>
      <c r="LQ88" s="150"/>
      <c r="LR88" s="150"/>
      <c r="LS88" s="150"/>
      <c r="LT88" s="150"/>
      <c r="LU88" s="150"/>
      <c r="LV88" s="150"/>
      <c r="LW88" s="150"/>
      <c r="LX88" s="150"/>
      <c r="LY88" s="150"/>
      <c r="LZ88" s="150"/>
      <c r="MA88" s="150"/>
      <c r="MB88" s="150"/>
      <c r="MC88" s="150"/>
      <c r="MD88" s="150"/>
      <c r="ME88" s="150"/>
      <c r="MF88" s="150"/>
      <c r="MG88" s="150"/>
      <c r="MH88" s="150"/>
      <c r="MI88" s="150"/>
      <c r="MJ88" s="150"/>
      <c r="MK88" s="150"/>
      <c r="ML88" s="150"/>
      <c r="MM88" s="150"/>
      <c r="MN88" s="150"/>
      <c r="MO88" s="150"/>
      <c r="MP88" s="150"/>
      <c r="MQ88" s="150"/>
      <c r="MR88" s="150"/>
      <c r="MS88" s="150"/>
      <c r="MT88" s="150"/>
      <c r="MU88" s="150"/>
      <c r="MV88" s="150"/>
      <c r="MW88" s="150"/>
      <c r="MX88" s="150"/>
      <c r="MY88" s="150"/>
      <c r="MZ88" s="150"/>
      <c r="NA88" s="150"/>
      <c r="NB88" s="150"/>
      <c r="NC88" s="150"/>
      <c r="ND88" s="150"/>
      <c r="NE88" s="150"/>
      <c r="NF88" s="150"/>
      <c r="NG88" s="150"/>
      <c r="NH88" s="150"/>
      <c r="NI88" s="150"/>
      <c r="NJ88" s="150"/>
      <c r="NK88" s="150"/>
      <c r="NL88" s="150"/>
      <c r="NM88" s="150"/>
      <c r="NN88" s="150"/>
      <c r="NO88" s="150"/>
      <c r="NP88" s="150"/>
      <c r="NQ88" s="150"/>
      <c r="NR88" s="150"/>
      <c r="NS88" s="150"/>
      <c r="NT88" s="150"/>
      <c r="NU88" s="150"/>
      <c r="NV88" s="150"/>
      <c r="NW88" s="150"/>
      <c r="NX88" s="150"/>
      <c r="NY88" s="150"/>
      <c r="NZ88" s="150"/>
      <c r="OA88" s="150"/>
      <c r="OB88" s="150"/>
      <c r="OC88" s="150"/>
      <c r="OD88" s="150"/>
      <c r="OE88" s="150"/>
    </row>
    <row r="89" spans="1:395">
      <c r="A89" s="19"/>
      <c r="B89" s="17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85"/>
      <c r="Q89" s="185"/>
      <c r="R89" s="185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50"/>
      <c r="EE89" s="150"/>
      <c r="EF89" s="150"/>
      <c r="EG89" s="150"/>
      <c r="EH89" s="150"/>
      <c r="EI89" s="150"/>
      <c r="EJ89" s="150"/>
      <c r="EK89" s="150"/>
      <c r="EL89" s="150"/>
      <c r="EM89" s="150"/>
      <c r="EN89" s="150"/>
      <c r="EO89" s="150"/>
      <c r="EP89" s="150"/>
      <c r="EQ89" s="150"/>
      <c r="ER89" s="150"/>
      <c r="ES89" s="150"/>
      <c r="ET89" s="150"/>
      <c r="EU89" s="150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50"/>
      <c r="FG89" s="150"/>
      <c r="FH89" s="150"/>
      <c r="FI89" s="150"/>
      <c r="FJ89" s="150"/>
      <c r="FK89" s="150"/>
      <c r="FL89" s="150"/>
      <c r="FM89" s="150"/>
      <c r="FN89" s="150"/>
      <c r="FO89" s="150"/>
      <c r="FP89" s="150"/>
      <c r="FQ89" s="150"/>
      <c r="FR89" s="150"/>
      <c r="FS89" s="150"/>
      <c r="FT89" s="150"/>
      <c r="FU89" s="150"/>
      <c r="FV89" s="150"/>
      <c r="FW89" s="150"/>
      <c r="FX89" s="150"/>
      <c r="FY89" s="150"/>
      <c r="FZ89" s="150"/>
      <c r="GA89" s="150"/>
      <c r="GB89" s="150"/>
      <c r="GC89" s="150"/>
      <c r="GD89" s="150"/>
      <c r="GE89" s="150"/>
      <c r="GF89" s="150"/>
      <c r="GG89" s="150"/>
      <c r="GH89" s="150"/>
      <c r="GI89" s="150"/>
      <c r="GJ89" s="150"/>
      <c r="GK89" s="150"/>
      <c r="GL89" s="150"/>
      <c r="GM89" s="150"/>
      <c r="GN89" s="150"/>
      <c r="GO89" s="150"/>
      <c r="GP89" s="150"/>
      <c r="GQ89" s="150"/>
      <c r="GR89" s="150"/>
      <c r="GS89" s="150"/>
      <c r="GT89" s="150"/>
      <c r="GU89" s="150"/>
      <c r="GV89" s="150"/>
      <c r="GW89" s="150"/>
      <c r="GX89" s="150"/>
      <c r="GY89" s="150"/>
      <c r="GZ89" s="150"/>
      <c r="HA89" s="150"/>
      <c r="HB89" s="150"/>
      <c r="HC89" s="150"/>
      <c r="HD89" s="150"/>
      <c r="HE89" s="150"/>
      <c r="HF89" s="150"/>
      <c r="HG89" s="150"/>
      <c r="HH89" s="150"/>
      <c r="HI89" s="150"/>
      <c r="HJ89" s="150"/>
      <c r="HK89" s="150"/>
      <c r="HL89" s="150"/>
      <c r="HM89" s="150"/>
      <c r="HN89" s="150"/>
      <c r="HO89" s="150"/>
      <c r="HP89" s="150"/>
      <c r="HQ89" s="150"/>
      <c r="HR89" s="150"/>
      <c r="HS89" s="150"/>
      <c r="HT89" s="150"/>
      <c r="HU89" s="150"/>
      <c r="HV89" s="150"/>
      <c r="HW89" s="150"/>
      <c r="HX89" s="150"/>
      <c r="HY89" s="150"/>
      <c r="HZ89" s="150"/>
      <c r="IA89" s="150"/>
      <c r="IB89" s="150"/>
      <c r="IC89" s="150"/>
      <c r="ID89" s="150"/>
      <c r="IE89" s="150"/>
      <c r="IF89" s="150"/>
      <c r="IG89" s="150"/>
      <c r="IH89" s="150"/>
      <c r="II89" s="150"/>
      <c r="IJ89" s="150"/>
      <c r="IK89" s="150"/>
      <c r="IL89" s="150"/>
      <c r="IM89" s="150"/>
      <c r="IN89" s="150"/>
      <c r="IO89" s="150"/>
      <c r="IP89" s="150"/>
      <c r="IQ89" s="150"/>
      <c r="IR89" s="150"/>
      <c r="IS89" s="150"/>
      <c r="IT89" s="150"/>
      <c r="IU89" s="150"/>
      <c r="IV89" s="150"/>
      <c r="IW89" s="150"/>
      <c r="IX89" s="150"/>
      <c r="IY89" s="150"/>
      <c r="IZ89" s="150"/>
      <c r="JA89" s="150"/>
      <c r="JB89" s="150"/>
      <c r="JC89" s="150"/>
      <c r="JD89" s="150"/>
      <c r="JE89" s="150"/>
      <c r="JF89" s="150"/>
      <c r="JG89" s="150"/>
      <c r="JH89" s="150"/>
      <c r="JI89" s="150"/>
      <c r="JJ89" s="150"/>
      <c r="JK89" s="150"/>
      <c r="JL89" s="150"/>
      <c r="JM89" s="150"/>
      <c r="JN89" s="150"/>
      <c r="JO89" s="150"/>
      <c r="JP89" s="150"/>
      <c r="JQ89" s="150"/>
      <c r="JR89" s="150"/>
      <c r="JS89" s="150"/>
      <c r="JT89" s="150"/>
      <c r="JU89" s="150"/>
      <c r="JV89" s="150"/>
      <c r="JW89" s="150"/>
      <c r="JX89" s="150"/>
      <c r="JY89" s="150"/>
      <c r="JZ89" s="150"/>
      <c r="KA89" s="150"/>
      <c r="KB89" s="150"/>
      <c r="KC89" s="150"/>
      <c r="KD89" s="150"/>
      <c r="KE89" s="150"/>
      <c r="KF89" s="150"/>
      <c r="KG89" s="150"/>
      <c r="KH89" s="150"/>
      <c r="KI89" s="150"/>
      <c r="KJ89" s="150"/>
      <c r="KK89" s="150"/>
      <c r="KL89" s="150"/>
      <c r="KM89" s="150"/>
      <c r="KN89" s="150"/>
      <c r="KO89" s="150"/>
      <c r="KP89" s="150"/>
      <c r="KQ89" s="150"/>
      <c r="KR89" s="150"/>
      <c r="KS89" s="150"/>
      <c r="KT89" s="150"/>
      <c r="KU89" s="150"/>
      <c r="KV89" s="150"/>
      <c r="KW89" s="150"/>
      <c r="KX89" s="150"/>
      <c r="KY89" s="150"/>
      <c r="KZ89" s="150"/>
      <c r="LA89" s="150"/>
      <c r="LB89" s="150"/>
      <c r="LC89" s="150"/>
      <c r="LD89" s="150"/>
      <c r="LE89" s="150"/>
      <c r="LF89" s="150"/>
      <c r="LG89" s="150"/>
      <c r="LH89" s="150"/>
      <c r="LI89" s="150"/>
      <c r="LJ89" s="150"/>
      <c r="LK89" s="150"/>
      <c r="LL89" s="150"/>
      <c r="LM89" s="150"/>
      <c r="LN89" s="150"/>
      <c r="LO89" s="150"/>
      <c r="LP89" s="150"/>
      <c r="LQ89" s="150"/>
      <c r="LR89" s="150"/>
      <c r="LS89" s="150"/>
      <c r="LT89" s="150"/>
      <c r="LU89" s="150"/>
      <c r="LV89" s="150"/>
      <c r="LW89" s="150"/>
      <c r="LX89" s="150"/>
      <c r="LY89" s="150"/>
      <c r="LZ89" s="150"/>
      <c r="MA89" s="150"/>
      <c r="MB89" s="150"/>
      <c r="MC89" s="150"/>
      <c r="MD89" s="150"/>
      <c r="ME89" s="150"/>
      <c r="MF89" s="150"/>
      <c r="MG89" s="150"/>
      <c r="MH89" s="150"/>
      <c r="MI89" s="150"/>
      <c r="MJ89" s="150"/>
      <c r="MK89" s="150"/>
      <c r="ML89" s="150"/>
      <c r="MM89" s="150"/>
      <c r="MN89" s="150"/>
      <c r="MO89" s="150"/>
      <c r="MP89" s="150"/>
      <c r="MQ89" s="150"/>
      <c r="MR89" s="150"/>
      <c r="MS89" s="150"/>
      <c r="MT89" s="150"/>
      <c r="MU89" s="150"/>
      <c r="MV89" s="150"/>
      <c r="MW89" s="150"/>
      <c r="MX89" s="150"/>
      <c r="MY89" s="150"/>
      <c r="MZ89" s="150"/>
      <c r="NA89" s="150"/>
      <c r="NB89" s="150"/>
      <c r="NC89" s="150"/>
      <c r="ND89" s="150"/>
      <c r="NE89" s="150"/>
      <c r="NF89" s="150"/>
      <c r="NG89" s="150"/>
      <c r="NH89" s="150"/>
      <c r="NI89" s="150"/>
      <c r="NJ89" s="150"/>
      <c r="NK89" s="150"/>
      <c r="NL89" s="150"/>
      <c r="NM89" s="150"/>
      <c r="NN89" s="150"/>
      <c r="NO89" s="150"/>
      <c r="NP89" s="150"/>
      <c r="NQ89" s="150"/>
      <c r="NR89" s="150"/>
      <c r="NS89" s="150"/>
      <c r="NT89" s="150"/>
      <c r="NU89" s="150"/>
      <c r="NV89" s="150"/>
      <c r="NW89" s="150"/>
      <c r="NX89" s="150"/>
      <c r="NY89" s="150"/>
      <c r="NZ89" s="150"/>
      <c r="OA89" s="150"/>
      <c r="OB89" s="150"/>
      <c r="OC89" s="150"/>
      <c r="OD89" s="150"/>
      <c r="OE89" s="150"/>
    </row>
    <row r="90" spans="1:395">
      <c r="A90" s="19"/>
      <c r="B90" s="17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85"/>
      <c r="Q90" s="185"/>
      <c r="R90" s="185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/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/>
      <c r="FJ90" s="150"/>
      <c r="FK90" s="150"/>
      <c r="FL90" s="150"/>
      <c r="FM90" s="150"/>
      <c r="FN90" s="150"/>
      <c r="FO90" s="150"/>
      <c r="FP90" s="150"/>
      <c r="FQ90" s="150"/>
      <c r="FR90" s="150"/>
      <c r="FS90" s="150"/>
      <c r="FT90" s="150"/>
      <c r="FU90" s="150"/>
      <c r="FV90" s="150"/>
      <c r="FW90" s="150"/>
      <c r="FX90" s="150"/>
      <c r="FY90" s="150"/>
      <c r="FZ90" s="150"/>
      <c r="GA90" s="150"/>
      <c r="GB90" s="150"/>
      <c r="GC90" s="150"/>
      <c r="GD90" s="150"/>
      <c r="GE90" s="150"/>
      <c r="GF90" s="150"/>
      <c r="GG90" s="150"/>
      <c r="GH90" s="150"/>
      <c r="GI90" s="150"/>
      <c r="GJ90" s="150"/>
      <c r="GK90" s="150"/>
      <c r="GL90" s="150"/>
      <c r="GM90" s="150"/>
      <c r="GN90" s="150"/>
      <c r="GO90" s="150"/>
      <c r="GP90" s="150"/>
      <c r="GQ90" s="150"/>
      <c r="GR90" s="150"/>
      <c r="GS90" s="150"/>
      <c r="GT90" s="150"/>
      <c r="GU90" s="150"/>
      <c r="GV90" s="150"/>
      <c r="GW90" s="150"/>
      <c r="GX90" s="150"/>
      <c r="GY90" s="150"/>
      <c r="GZ90" s="150"/>
      <c r="HA90" s="150"/>
      <c r="HB90" s="150"/>
      <c r="HC90" s="150"/>
      <c r="HD90" s="150"/>
      <c r="HE90" s="150"/>
      <c r="HF90" s="150"/>
      <c r="HG90" s="150"/>
      <c r="HH90" s="150"/>
      <c r="HI90" s="150"/>
      <c r="HJ90" s="150"/>
      <c r="HK90" s="150"/>
      <c r="HL90" s="150"/>
      <c r="HM90" s="150"/>
      <c r="HN90" s="150"/>
      <c r="HO90" s="150"/>
      <c r="HP90" s="150"/>
      <c r="HQ90" s="150"/>
      <c r="HR90" s="150"/>
      <c r="HS90" s="150"/>
      <c r="HT90" s="150"/>
      <c r="HU90" s="150"/>
      <c r="HV90" s="150"/>
      <c r="HW90" s="150"/>
      <c r="HX90" s="150"/>
      <c r="HY90" s="150"/>
      <c r="HZ90" s="150"/>
      <c r="IA90" s="150"/>
      <c r="IB90" s="150"/>
      <c r="IC90" s="150"/>
      <c r="ID90" s="150"/>
      <c r="IE90" s="150"/>
      <c r="IF90" s="150"/>
      <c r="IG90" s="150"/>
      <c r="IH90" s="150"/>
      <c r="II90" s="150"/>
      <c r="IJ90" s="150"/>
      <c r="IK90" s="150"/>
      <c r="IL90" s="150"/>
      <c r="IM90" s="150"/>
      <c r="IN90" s="150"/>
      <c r="IO90" s="150"/>
      <c r="IP90" s="150"/>
      <c r="IQ90" s="150"/>
      <c r="IR90" s="150"/>
      <c r="IS90" s="150"/>
      <c r="IT90" s="150"/>
      <c r="IU90" s="150"/>
      <c r="IV90" s="150"/>
      <c r="IW90" s="150"/>
      <c r="IX90" s="150"/>
      <c r="IY90" s="150"/>
      <c r="IZ90" s="150"/>
      <c r="JA90" s="150"/>
      <c r="JB90" s="150"/>
      <c r="JC90" s="150"/>
      <c r="JD90" s="150"/>
      <c r="JE90" s="150"/>
      <c r="JF90" s="150"/>
      <c r="JG90" s="150"/>
      <c r="JH90" s="150"/>
      <c r="JI90" s="150"/>
      <c r="JJ90" s="150"/>
      <c r="JK90" s="150"/>
      <c r="JL90" s="150"/>
      <c r="JM90" s="150"/>
      <c r="JN90" s="150"/>
      <c r="JO90" s="150"/>
      <c r="JP90" s="150"/>
      <c r="JQ90" s="150"/>
      <c r="JR90" s="150"/>
      <c r="JS90" s="150"/>
      <c r="JT90" s="150"/>
      <c r="JU90" s="150"/>
      <c r="JV90" s="150"/>
      <c r="JW90" s="150"/>
      <c r="JX90" s="150"/>
      <c r="JY90" s="150"/>
      <c r="JZ90" s="150"/>
      <c r="KA90" s="150"/>
      <c r="KB90" s="150"/>
      <c r="KC90" s="150"/>
      <c r="KD90" s="150"/>
      <c r="KE90" s="150"/>
      <c r="KF90" s="150"/>
      <c r="KG90" s="150"/>
      <c r="KH90" s="150"/>
      <c r="KI90" s="150"/>
      <c r="KJ90" s="150"/>
      <c r="KK90" s="150"/>
      <c r="KL90" s="150"/>
      <c r="KM90" s="150"/>
      <c r="KN90" s="150"/>
      <c r="KO90" s="150"/>
      <c r="KP90" s="150"/>
      <c r="KQ90" s="150"/>
      <c r="KR90" s="150"/>
      <c r="KS90" s="150"/>
      <c r="KT90" s="150"/>
      <c r="KU90" s="150"/>
      <c r="KV90" s="150"/>
      <c r="KW90" s="150"/>
      <c r="KX90" s="150"/>
      <c r="KY90" s="150"/>
      <c r="KZ90" s="150"/>
      <c r="LA90" s="150"/>
      <c r="LB90" s="150"/>
      <c r="LC90" s="150"/>
      <c r="LD90" s="150"/>
      <c r="LE90" s="150"/>
      <c r="LF90" s="150"/>
      <c r="LG90" s="150"/>
      <c r="LH90" s="150"/>
      <c r="LI90" s="150"/>
      <c r="LJ90" s="150"/>
      <c r="LK90" s="150"/>
      <c r="LL90" s="150"/>
      <c r="LM90" s="150"/>
      <c r="LN90" s="150"/>
      <c r="LO90" s="150"/>
      <c r="LP90" s="150"/>
      <c r="LQ90" s="150"/>
      <c r="LR90" s="150"/>
      <c r="LS90" s="150"/>
      <c r="LT90" s="150"/>
      <c r="LU90" s="150"/>
      <c r="LV90" s="150"/>
      <c r="LW90" s="150"/>
      <c r="LX90" s="150"/>
      <c r="LY90" s="150"/>
      <c r="LZ90" s="150"/>
      <c r="MA90" s="150"/>
      <c r="MB90" s="150"/>
      <c r="MC90" s="150"/>
      <c r="MD90" s="150"/>
      <c r="ME90" s="150"/>
      <c r="MF90" s="150"/>
      <c r="MG90" s="150"/>
      <c r="MH90" s="150"/>
      <c r="MI90" s="150"/>
      <c r="MJ90" s="150"/>
      <c r="MK90" s="150"/>
      <c r="ML90" s="150"/>
      <c r="MM90" s="150"/>
      <c r="MN90" s="150"/>
      <c r="MO90" s="150"/>
      <c r="MP90" s="150"/>
      <c r="MQ90" s="150"/>
      <c r="MR90" s="150"/>
      <c r="MS90" s="150"/>
      <c r="MT90" s="150"/>
      <c r="MU90" s="150"/>
      <c r="MV90" s="150"/>
      <c r="MW90" s="150"/>
      <c r="MX90" s="150"/>
      <c r="MY90" s="150"/>
      <c r="MZ90" s="150"/>
      <c r="NA90" s="150"/>
      <c r="NB90" s="150"/>
      <c r="NC90" s="150"/>
      <c r="ND90" s="150"/>
      <c r="NE90" s="150"/>
      <c r="NF90" s="150"/>
      <c r="NG90" s="150"/>
      <c r="NH90" s="150"/>
      <c r="NI90" s="150"/>
      <c r="NJ90" s="150"/>
      <c r="NK90" s="150"/>
      <c r="NL90" s="150"/>
      <c r="NM90" s="150"/>
      <c r="NN90" s="150"/>
      <c r="NO90" s="150"/>
      <c r="NP90" s="150"/>
      <c r="NQ90" s="150"/>
      <c r="NR90" s="150"/>
      <c r="NS90" s="150"/>
      <c r="NT90" s="150"/>
      <c r="NU90" s="150"/>
      <c r="NV90" s="150"/>
      <c r="NW90" s="150"/>
      <c r="NX90" s="150"/>
      <c r="NY90" s="150"/>
      <c r="NZ90" s="150"/>
      <c r="OA90" s="150"/>
      <c r="OB90" s="150"/>
      <c r="OC90" s="150"/>
      <c r="OD90" s="150"/>
      <c r="OE90" s="150"/>
    </row>
    <row r="91" spans="1:395">
      <c r="A91" s="19"/>
      <c r="B91" s="17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85"/>
      <c r="Q91" s="185"/>
      <c r="R91" s="185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50"/>
      <c r="BS91" s="150"/>
      <c r="BT91" s="150"/>
      <c r="BU91" s="150"/>
      <c r="BV91" s="150"/>
      <c r="BW91" s="150"/>
      <c r="BX91" s="150"/>
      <c r="BY91" s="150"/>
      <c r="BZ91" s="150"/>
      <c r="CA91" s="150"/>
      <c r="CB91" s="150"/>
      <c r="CC91" s="150"/>
      <c r="CD91" s="150"/>
      <c r="CE91" s="150"/>
      <c r="CF91" s="150"/>
      <c r="CG91" s="150"/>
      <c r="CH91" s="150"/>
      <c r="CI91" s="150"/>
      <c r="CJ91" s="150"/>
      <c r="CK91" s="150"/>
      <c r="CL91" s="150"/>
      <c r="CM91" s="150"/>
      <c r="CN91" s="150"/>
      <c r="CO91" s="150"/>
      <c r="CP91" s="150"/>
      <c r="CQ91" s="150"/>
      <c r="CR91" s="150"/>
      <c r="CS91" s="150"/>
      <c r="CT91" s="150"/>
      <c r="CU91" s="150"/>
      <c r="CV91" s="150"/>
      <c r="CW91" s="150"/>
      <c r="CX91" s="150"/>
      <c r="CY91" s="150"/>
      <c r="CZ91" s="150"/>
      <c r="DA91" s="150"/>
      <c r="DB91" s="150"/>
      <c r="DC91" s="150"/>
      <c r="DD91" s="150"/>
      <c r="DE91" s="150"/>
      <c r="DF91" s="150"/>
      <c r="DG91" s="150"/>
      <c r="DH91" s="150"/>
      <c r="DI91" s="150"/>
      <c r="DJ91" s="150"/>
      <c r="DK91" s="150"/>
      <c r="DL91" s="150"/>
      <c r="DM91" s="150"/>
      <c r="DN91" s="150"/>
      <c r="DO91" s="150"/>
      <c r="DP91" s="150"/>
      <c r="DQ91" s="150"/>
      <c r="DR91" s="150"/>
      <c r="DS91" s="150"/>
      <c r="DT91" s="150"/>
      <c r="DU91" s="150"/>
      <c r="DV91" s="150"/>
      <c r="DW91" s="150"/>
      <c r="DX91" s="150"/>
      <c r="DY91" s="150"/>
      <c r="DZ91" s="150"/>
      <c r="EA91" s="150"/>
      <c r="EB91" s="150"/>
      <c r="EC91" s="150"/>
      <c r="ED91" s="150"/>
      <c r="EE91" s="150"/>
      <c r="EF91" s="150"/>
      <c r="EG91" s="150"/>
      <c r="EH91" s="150"/>
      <c r="EI91" s="150"/>
      <c r="EJ91" s="150"/>
      <c r="EK91" s="150"/>
      <c r="EL91" s="150"/>
      <c r="EM91" s="150"/>
      <c r="EN91" s="150"/>
      <c r="EO91" s="150"/>
      <c r="EP91" s="150"/>
      <c r="EQ91" s="150"/>
      <c r="ER91" s="150"/>
      <c r="ES91" s="150"/>
      <c r="ET91" s="150"/>
      <c r="EU91" s="150"/>
      <c r="EV91" s="150"/>
      <c r="EW91" s="150"/>
      <c r="EX91" s="150"/>
      <c r="EY91" s="150"/>
      <c r="EZ91" s="150"/>
      <c r="FA91" s="150"/>
      <c r="FB91" s="150"/>
      <c r="FC91" s="150"/>
      <c r="FD91" s="150"/>
      <c r="FE91" s="150"/>
      <c r="FF91" s="150"/>
      <c r="FG91" s="150"/>
      <c r="FH91" s="150"/>
      <c r="FI91" s="150"/>
      <c r="FJ91" s="150"/>
      <c r="FK91" s="150"/>
      <c r="FL91" s="150"/>
      <c r="FM91" s="150"/>
      <c r="FN91" s="150"/>
      <c r="FO91" s="150"/>
      <c r="FP91" s="150"/>
      <c r="FQ91" s="150"/>
      <c r="FR91" s="150"/>
      <c r="FS91" s="150"/>
      <c r="FT91" s="150"/>
      <c r="FU91" s="150"/>
      <c r="FV91" s="150"/>
      <c r="FW91" s="150"/>
      <c r="FX91" s="150"/>
      <c r="FY91" s="150"/>
      <c r="FZ91" s="150"/>
      <c r="GA91" s="150"/>
      <c r="GB91" s="150"/>
      <c r="GC91" s="150"/>
      <c r="GD91" s="150"/>
      <c r="GE91" s="150"/>
      <c r="GF91" s="150"/>
      <c r="GG91" s="150"/>
      <c r="GH91" s="150"/>
      <c r="GI91" s="150"/>
      <c r="GJ91" s="150"/>
      <c r="GK91" s="150"/>
      <c r="GL91" s="150"/>
      <c r="GM91" s="150"/>
      <c r="GN91" s="150"/>
      <c r="GO91" s="150"/>
      <c r="GP91" s="150"/>
      <c r="GQ91" s="150"/>
      <c r="GR91" s="150"/>
      <c r="GS91" s="150"/>
      <c r="GT91" s="150"/>
      <c r="GU91" s="150"/>
      <c r="GV91" s="150"/>
      <c r="GW91" s="150"/>
      <c r="GX91" s="150"/>
      <c r="GY91" s="150"/>
      <c r="GZ91" s="150"/>
      <c r="HA91" s="150"/>
      <c r="HB91" s="150"/>
      <c r="HC91" s="150"/>
      <c r="HD91" s="150"/>
      <c r="HE91" s="150"/>
      <c r="HF91" s="150"/>
      <c r="HG91" s="150"/>
      <c r="HH91" s="150"/>
      <c r="HI91" s="150"/>
      <c r="HJ91" s="150"/>
      <c r="HK91" s="150"/>
      <c r="HL91" s="150"/>
      <c r="HM91" s="150"/>
      <c r="HN91" s="150"/>
      <c r="HO91" s="150"/>
      <c r="HP91" s="150"/>
      <c r="HQ91" s="150"/>
      <c r="HR91" s="150"/>
      <c r="HS91" s="150"/>
      <c r="HT91" s="150"/>
      <c r="HU91" s="150"/>
      <c r="HV91" s="150"/>
      <c r="HW91" s="150"/>
      <c r="HX91" s="150"/>
      <c r="HY91" s="150"/>
      <c r="HZ91" s="150"/>
      <c r="IA91" s="150"/>
      <c r="IB91" s="150"/>
      <c r="IC91" s="150"/>
      <c r="ID91" s="150"/>
      <c r="IE91" s="150"/>
      <c r="IF91" s="150"/>
      <c r="IG91" s="150"/>
      <c r="IH91" s="150"/>
      <c r="II91" s="150"/>
      <c r="IJ91" s="150"/>
      <c r="IK91" s="150"/>
      <c r="IL91" s="150"/>
      <c r="IM91" s="150"/>
      <c r="IN91" s="150"/>
      <c r="IO91" s="150"/>
      <c r="IP91" s="150"/>
      <c r="IQ91" s="150"/>
      <c r="IR91" s="150"/>
      <c r="IS91" s="150"/>
      <c r="IT91" s="150"/>
      <c r="IU91" s="150"/>
      <c r="IV91" s="150"/>
      <c r="IW91" s="150"/>
      <c r="IX91" s="150"/>
      <c r="IY91" s="150"/>
      <c r="IZ91" s="150"/>
      <c r="JA91" s="150"/>
      <c r="JB91" s="150"/>
      <c r="JC91" s="150"/>
      <c r="JD91" s="150"/>
      <c r="JE91" s="150"/>
      <c r="JF91" s="150"/>
      <c r="JG91" s="150"/>
      <c r="JH91" s="150"/>
      <c r="JI91" s="150"/>
      <c r="JJ91" s="150"/>
      <c r="JK91" s="150"/>
      <c r="JL91" s="150"/>
      <c r="JM91" s="150"/>
      <c r="JN91" s="150"/>
      <c r="JO91" s="150"/>
      <c r="JP91" s="150"/>
      <c r="JQ91" s="150"/>
      <c r="JR91" s="150"/>
      <c r="JS91" s="150"/>
      <c r="JT91" s="150"/>
      <c r="JU91" s="150"/>
      <c r="JV91" s="150"/>
      <c r="JW91" s="150"/>
      <c r="JX91" s="150"/>
      <c r="JY91" s="150"/>
      <c r="JZ91" s="150"/>
      <c r="KA91" s="150"/>
      <c r="KB91" s="150"/>
      <c r="KC91" s="150"/>
      <c r="KD91" s="150"/>
      <c r="KE91" s="150"/>
      <c r="KF91" s="150"/>
      <c r="KG91" s="150"/>
      <c r="KH91" s="150"/>
      <c r="KI91" s="150"/>
      <c r="KJ91" s="150"/>
      <c r="KK91" s="150"/>
      <c r="KL91" s="150"/>
      <c r="KM91" s="150"/>
      <c r="KN91" s="150"/>
      <c r="KO91" s="150"/>
      <c r="KP91" s="150"/>
      <c r="KQ91" s="150"/>
      <c r="KR91" s="150"/>
      <c r="KS91" s="150"/>
      <c r="KT91" s="150"/>
      <c r="KU91" s="150"/>
      <c r="KV91" s="150"/>
      <c r="KW91" s="150"/>
      <c r="KX91" s="150"/>
      <c r="KY91" s="150"/>
      <c r="KZ91" s="150"/>
      <c r="LA91" s="150"/>
      <c r="LB91" s="150"/>
      <c r="LC91" s="150"/>
      <c r="LD91" s="150"/>
      <c r="LE91" s="150"/>
      <c r="LF91" s="150"/>
      <c r="LG91" s="150"/>
      <c r="LH91" s="150"/>
      <c r="LI91" s="150"/>
      <c r="LJ91" s="150"/>
      <c r="LK91" s="150"/>
      <c r="LL91" s="150"/>
      <c r="LM91" s="150"/>
      <c r="LN91" s="150"/>
      <c r="LO91" s="150"/>
      <c r="LP91" s="150"/>
      <c r="LQ91" s="150"/>
      <c r="LR91" s="150"/>
      <c r="LS91" s="150"/>
      <c r="LT91" s="150"/>
      <c r="LU91" s="150"/>
      <c r="LV91" s="150"/>
      <c r="LW91" s="150"/>
      <c r="LX91" s="150"/>
      <c r="LY91" s="150"/>
      <c r="LZ91" s="150"/>
      <c r="MA91" s="150"/>
      <c r="MB91" s="150"/>
      <c r="MC91" s="150"/>
      <c r="MD91" s="150"/>
      <c r="ME91" s="150"/>
      <c r="MF91" s="150"/>
      <c r="MG91" s="150"/>
      <c r="MH91" s="150"/>
      <c r="MI91" s="150"/>
      <c r="MJ91" s="150"/>
      <c r="MK91" s="150"/>
      <c r="ML91" s="150"/>
      <c r="MM91" s="150"/>
      <c r="MN91" s="150"/>
      <c r="MO91" s="150"/>
      <c r="MP91" s="150"/>
      <c r="MQ91" s="150"/>
      <c r="MR91" s="150"/>
      <c r="MS91" s="150"/>
      <c r="MT91" s="150"/>
      <c r="MU91" s="150"/>
      <c r="MV91" s="150"/>
      <c r="MW91" s="150"/>
      <c r="MX91" s="150"/>
      <c r="MY91" s="150"/>
      <c r="MZ91" s="150"/>
      <c r="NA91" s="150"/>
      <c r="NB91" s="150"/>
      <c r="NC91" s="150"/>
      <c r="ND91" s="150"/>
      <c r="NE91" s="150"/>
      <c r="NF91" s="150"/>
      <c r="NG91" s="150"/>
      <c r="NH91" s="150"/>
      <c r="NI91" s="150"/>
      <c r="NJ91" s="150"/>
      <c r="NK91" s="150"/>
      <c r="NL91" s="150"/>
      <c r="NM91" s="150"/>
      <c r="NN91" s="150"/>
      <c r="NO91" s="150"/>
      <c r="NP91" s="150"/>
      <c r="NQ91" s="150"/>
      <c r="NR91" s="150"/>
      <c r="NS91" s="150"/>
      <c r="NT91" s="150"/>
      <c r="NU91" s="150"/>
      <c r="NV91" s="150"/>
      <c r="NW91" s="150"/>
      <c r="NX91" s="150"/>
      <c r="NY91" s="150"/>
      <c r="NZ91" s="150"/>
      <c r="OA91" s="150"/>
      <c r="OB91" s="150"/>
      <c r="OC91" s="150"/>
      <c r="OD91" s="150"/>
      <c r="OE91" s="150"/>
    </row>
    <row r="92" spans="1:395">
      <c r="A92" s="19"/>
      <c r="B92" s="17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85"/>
      <c r="Q92" s="185"/>
      <c r="R92" s="185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50"/>
      <c r="AF92" s="150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  <c r="BI92" s="150"/>
      <c r="BJ92" s="150"/>
      <c r="BK92" s="150"/>
      <c r="BL92" s="150"/>
      <c r="BM92" s="150"/>
      <c r="BN92" s="150"/>
      <c r="BO92" s="150"/>
      <c r="BP92" s="150"/>
      <c r="BQ92" s="150"/>
      <c r="BR92" s="150"/>
      <c r="BS92" s="150"/>
      <c r="BT92" s="150"/>
      <c r="BU92" s="150"/>
      <c r="BV92" s="150"/>
      <c r="BW92" s="150"/>
      <c r="BX92" s="150"/>
      <c r="BY92" s="150"/>
      <c r="BZ92" s="150"/>
      <c r="CA92" s="150"/>
      <c r="CB92" s="150"/>
      <c r="CC92" s="150"/>
      <c r="CD92" s="150"/>
      <c r="CE92" s="150"/>
      <c r="CF92" s="150"/>
      <c r="CG92" s="150"/>
      <c r="CH92" s="150"/>
      <c r="CI92" s="150"/>
      <c r="CJ92" s="150"/>
      <c r="CK92" s="150"/>
      <c r="CL92" s="150"/>
      <c r="CM92" s="150"/>
      <c r="CN92" s="150"/>
      <c r="CO92" s="150"/>
      <c r="CP92" s="150"/>
      <c r="CQ92" s="150"/>
      <c r="CR92" s="150"/>
      <c r="CS92" s="150"/>
      <c r="CT92" s="150"/>
      <c r="CU92" s="150"/>
      <c r="CV92" s="150"/>
      <c r="CW92" s="150"/>
      <c r="CX92" s="150"/>
      <c r="CY92" s="150"/>
      <c r="CZ92" s="150"/>
      <c r="DA92" s="150"/>
      <c r="DB92" s="150"/>
      <c r="DC92" s="150"/>
      <c r="DD92" s="150"/>
      <c r="DE92" s="150"/>
      <c r="DF92" s="150"/>
      <c r="DG92" s="150"/>
      <c r="DH92" s="150"/>
      <c r="DI92" s="150"/>
      <c r="DJ92" s="150"/>
      <c r="DK92" s="150"/>
      <c r="DL92" s="150"/>
      <c r="DM92" s="150"/>
      <c r="DN92" s="150"/>
      <c r="DO92" s="150"/>
      <c r="DP92" s="150"/>
      <c r="DQ92" s="150"/>
      <c r="DR92" s="150"/>
      <c r="DS92" s="150"/>
      <c r="DT92" s="150"/>
      <c r="DU92" s="150"/>
      <c r="DV92" s="150"/>
      <c r="DW92" s="150"/>
      <c r="DX92" s="150"/>
      <c r="DY92" s="150"/>
      <c r="DZ92" s="150"/>
      <c r="EA92" s="150"/>
      <c r="EB92" s="150"/>
      <c r="EC92" s="150"/>
      <c r="ED92" s="150"/>
      <c r="EE92" s="150"/>
      <c r="EF92" s="150"/>
      <c r="EG92" s="150"/>
      <c r="EH92" s="150"/>
      <c r="EI92" s="150"/>
      <c r="EJ92" s="150"/>
      <c r="EK92" s="150"/>
      <c r="EL92" s="150"/>
      <c r="EM92" s="150"/>
      <c r="EN92" s="150"/>
      <c r="EO92" s="150"/>
      <c r="EP92" s="150"/>
      <c r="EQ92" s="150"/>
      <c r="ER92" s="150"/>
      <c r="ES92" s="150"/>
      <c r="ET92" s="150"/>
      <c r="EU92" s="150"/>
      <c r="EV92" s="150"/>
      <c r="EW92" s="150"/>
      <c r="EX92" s="150"/>
      <c r="EY92" s="150"/>
      <c r="EZ92" s="150"/>
      <c r="FA92" s="150"/>
      <c r="FB92" s="150"/>
      <c r="FC92" s="150"/>
      <c r="FD92" s="150"/>
      <c r="FE92" s="150"/>
      <c r="FF92" s="150"/>
      <c r="FG92" s="150"/>
      <c r="FH92" s="150"/>
      <c r="FI92" s="150"/>
      <c r="FJ92" s="150"/>
      <c r="FK92" s="150"/>
      <c r="FL92" s="150"/>
      <c r="FM92" s="150"/>
      <c r="FN92" s="150"/>
      <c r="FO92" s="150"/>
      <c r="FP92" s="150"/>
      <c r="FQ92" s="150"/>
      <c r="FR92" s="150"/>
      <c r="FS92" s="150"/>
      <c r="FT92" s="150"/>
      <c r="FU92" s="150"/>
      <c r="FV92" s="150"/>
      <c r="FW92" s="150"/>
      <c r="FX92" s="150"/>
      <c r="FY92" s="150"/>
      <c r="FZ92" s="150"/>
      <c r="GA92" s="150"/>
      <c r="GB92" s="150"/>
      <c r="GC92" s="150"/>
      <c r="GD92" s="150"/>
      <c r="GE92" s="150"/>
      <c r="GF92" s="150"/>
      <c r="GG92" s="150"/>
      <c r="GH92" s="150"/>
      <c r="GI92" s="150"/>
      <c r="GJ92" s="150"/>
      <c r="GK92" s="150"/>
      <c r="GL92" s="150"/>
      <c r="GM92" s="150"/>
      <c r="GN92" s="150"/>
      <c r="GO92" s="150"/>
      <c r="GP92" s="150"/>
      <c r="GQ92" s="150"/>
      <c r="GR92" s="150"/>
      <c r="GS92" s="150"/>
      <c r="GT92" s="150"/>
      <c r="GU92" s="150"/>
      <c r="GV92" s="150"/>
      <c r="GW92" s="150"/>
      <c r="GX92" s="150"/>
      <c r="GY92" s="150"/>
      <c r="GZ92" s="150"/>
      <c r="HA92" s="150"/>
      <c r="HB92" s="150"/>
      <c r="HC92" s="150"/>
      <c r="HD92" s="150"/>
      <c r="HE92" s="150"/>
      <c r="HF92" s="150"/>
      <c r="HG92" s="150"/>
      <c r="HH92" s="150"/>
      <c r="HI92" s="150"/>
      <c r="HJ92" s="150"/>
      <c r="HK92" s="150"/>
      <c r="HL92" s="150"/>
      <c r="HM92" s="150"/>
      <c r="HN92" s="150"/>
      <c r="HO92" s="150"/>
      <c r="HP92" s="150"/>
      <c r="HQ92" s="150"/>
      <c r="HR92" s="150"/>
      <c r="HS92" s="150"/>
      <c r="HT92" s="150"/>
      <c r="HU92" s="150"/>
      <c r="HV92" s="150"/>
      <c r="HW92" s="150"/>
      <c r="HX92" s="150"/>
      <c r="HY92" s="150"/>
      <c r="HZ92" s="150"/>
      <c r="IA92" s="150"/>
      <c r="IB92" s="150"/>
      <c r="IC92" s="150"/>
      <c r="ID92" s="150"/>
      <c r="IE92" s="150"/>
      <c r="IF92" s="150"/>
      <c r="IG92" s="150"/>
      <c r="IH92" s="150"/>
      <c r="II92" s="150"/>
      <c r="IJ92" s="150"/>
      <c r="IK92" s="150"/>
      <c r="IL92" s="150"/>
      <c r="IM92" s="150"/>
      <c r="IN92" s="150"/>
      <c r="IO92" s="150"/>
      <c r="IP92" s="150"/>
      <c r="IQ92" s="150"/>
      <c r="IR92" s="150"/>
      <c r="IS92" s="150"/>
      <c r="IT92" s="150"/>
      <c r="IU92" s="150"/>
      <c r="IV92" s="150"/>
      <c r="IW92" s="150"/>
      <c r="IX92" s="150"/>
      <c r="IY92" s="150"/>
      <c r="IZ92" s="150"/>
      <c r="JA92" s="150"/>
      <c r="JB92" s="150"/>
      <c r="JC92" s="150"/>
      <c r="JD92" s="150"/>
      <c r="JE92" s="150"/>
      <c r="JF92" s="150"/>
      <c r="JG92" s="150"/>
      <c r="JH92" s="150"/>
      <c r="JI92" s="150"/>
      <c r="JJ92" s="150"/>
      <c r="JK92" s="150"/>
      <c r="JL92" s="150"/>
      <c r="JM92" s="150"/>
      <c r="JN92" s="150"/>
      <c r="JO92" s="150"/>
      <c r="JP92" s="150"/>
      <c r="JQ92" s="150"/>
      <c r="JR92" s="150"/>
      <c r="JS92" s="150"/>
      <c r="JT92" s="150"/>
      <c r="JU92" s="150"/>
      <c r="JV92" s="150"/>
      <c r="JW92" s="150"/>
      <c r="JX92" s="150"/>
      <c r="JY92" s="150"/>
      <c r="JZ92" s="150"/>
      <c r="KA92" s="150"/>
      <c r="KB92" s="150"/>
      <c r="KC92" s="150"/>
      <c r="KD92" s="150"/>
      <c r="KE92" s="150"/>
      <c r="KF92" s="150"/>
      <c r="KG92" s="150"/>
      <c r="KH92" s="150"/>
      <c r="KI92" s="150"/>
      <c r="KJ92" s="150"/>
      <c r="KK92" s="150"/>
      <c r="KL92" s="150"/>
      <c r="KM92" s="150"/>
      <c r="KN92" s="150"/>
      <c r="KO92" s="150"/>
      <c r="KP92" s="150"/>
      <c r="KQ92" s="150"/>
      <c r="KR92" s="150"/>
      <c r="KS92" s="150"/>
      <c r="KT92" s="150"/>
      <c r="KU92" s="150"/>
      <c r="KV92" s="150"/>
      <c r="KW92" s="150"/>
      <c r="KX92" s="150"/>
      <c r="KY92" s="150"/>
      <c r="KZ92" s="150"/>
      <c r="LA92" s="150"/>
      <c r="LB92" s="150"/>
      <c r="LC92" s="150"/>
      <c r="LD92" s="150"/>
      <c r="LE92" s="150"/>
      <c r="LF92" s="150"/>
      <c r="LG92" s="150"/>
      <c r="LH92" s="150"/>
      <c r="LI92" s="150"/>
      <c r="LJ92" s="150"/>
      <c r="LK92" s="150"/>
      <c r="LL92" s="150"/>
      <c r="LM92" s="150"/>
      <c r="LN92" s="150"/>
      <c r="LO92" s="150"/>
      <c r="LP92" s="150"/>
      <c r="LQ92" s="150"/>
      <c r="LR92" s="150"/>
      <c r="LS92" s="150"/>
      <c r="LT92" s="150"/>
      <c r="LU92" s="150"/>
      <c r="LV92" s="150"/>
      <c r="LW92" s="150"/>
      <c r="LX92" s="150"/>
      <c r="LY92" s="150"/>
      <c r="LZ92" s="150"/>
      <c r="MA92" s="150"/>
      <c r="MB92" s="150"/>
      <c r="MC92" s="150"/>
      <c r="MD92" s="150"/>
      <c r="ME92" s="150"/>
      <c r="MF92" s="150"/>
      <c r="MG92" s="150"/>
      <c r="MH92" s="150"/>
      <c r="MI92" s="150"/>
      <c r="MJ92" s="150"/>
      <c r="MK92" s="150"/>
      <c r="ML92" s="150"/>
      <c r="MM92" s="150"/>
      <c r="MN92" s="150"/>
      <c r="MO92" s="150"/>
      <c r="MP92" s="150"/>
      <c r="MQ92" s="150"/>
      <c r="MR92" s="150"/>
      <c r="MS92" s="150"/>
      <c r="MT92" s="150"/>
      <c r="MU92" s="150"/>
      <c r="MV92" s="150"/>
      <c r="MW92" s="150"/>
      <c r="MX92" s="150"/>
      <c r="MY92" s="150"/>
      <c r="MZ92" s="150"/>
      <c r="NA92" s="150"/>
      <c r="NB92" s="150"/>
      <c r="NC92" s="150"/>
      <c r="ND92" s="150"/>
      <c r="NE92" s="150"/>
      <c r="NF92" s="150"/>
      <c r="NG92" s="150"/>
      <c r="NH92" s="150"/>
      <c r="NI92" s="150"/>
      <c r="NJ92" s="150"/>
      <c r="NK92" s="150"/>
      <c r="NL92" s="150"/>
      <c r="NM92" s="150"/>
      <c r="NN92" s="150"/>
      <c r="NO92" s="150"/>
      <c r="NP92" s="150"/>
      <c r="NQ92" s="150"/>
      <c r="NR92" s="150"/>
      <c r="NS92" s="150"/>
      <c r="NT92" s="150"/>
      <c r="NU92" s="150"/>
      <c r="NV92" s="150"/>
      <c r="NW92" s="150"/>
      <c r="NX92" s="150"/>
      <c r="NY92" s="150"/>
      <c r="NZ92" s="150"/>
      <c r="OA92" s="150"/>
      <c r="OB92" s="150"/>
      <c r="OC92" s="150"/>
      <c r="OD92" s="150"/>
      <c r="OE92" s="150"/>
    </row>
    <row r="93" spans="1:395">
      <c r="A93" s="19"/>
      <c r="B93" s="17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85"/>
      <c r="Q93" s="185"/>
      <c r="R93" s="185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  <c r="BZ93" s="150"/>
      <c r="CA93" s="150"/>
      <c r="CB93" s="150"/>
      <c r="CC93" s="150"/>
      <c r="CD93" s="150"/>
      <c r="CE93" s="150"/>
      <c r="CF93" s="150"/>
      <c r="CG93" s="150"/>
      <c r="CH93" s="150"/>
      <c r="CI93" s="150"/>
      <c r="CJ93" s="150"/>
      <c r="CK93" s="150"/>
      <c r="CL93" s="150"/>
      <c r="CM93" s="150"/>
      <c r="CN93" s="150"/>
      <c r="CO93" s="150"/>
      <c r="CP93" s="150"/>
      <c r="CQ93" s="150"/>
      <c r="CR93" s="150"/>
      <c r="CS93" s="150"/>
      <c r="CT93" s="150"/>
      <c r="CU93" s="150"/>
      <c r="CV93" s="150"/>
      <c r="CW93" s="150"/>
      <c r="CX93" s="150"/>
      <c r="CY93" s="150"/>
      <c r="CZ93" s="150"/>
      <c r="DA93" s="150"/>
      <c r="DB93" s="150"/>
      <c r="DC93" s="150"/>
      <c r="DD93" s="150"/>
      <c r="DE93" s="150"/>
      <c r="DF93" s="150"/>
      <c r="DG93" s="150"/>
      <c r="DH93" s="150"/>
      <c r="DI93" s="150"/>
      <c r="DJ93" s="150"/>
      <c r="DK93" s="150"/>
      <c r="DL93" s="150"/>
      <c r="DM93" s="150"/>
      <c r="DN93" s="150"/>
      <c r="DO93" s="150"/>
      <c r="DP93" s="150"/>
      <c r="DQ93" s="150"/>
      <c r="DR93" s="150"/>
      <c r="DS93" s="150"/>
      <c r="DT93" s="150"/>
      <c r="DU93" s="150"/>
      <c r="DV93" s="150"/>
      <c r="DW93" s="150"/>
      <c r="DX93" s="150"/>
      <c r="DY93" s="150"/>
      <c r="DZ93" s="150"/>
      <c r="EA93" s="150"/>
      <c r="EB93" s="150"/>
      <c r="EC93" s="150"/>
      <c r="ED93" s="150"/>
      <c r="EE93" s="150"/>
      <c r="EF93" s="150"/>
      <c r="EG93" s="150"/>
      <c r="EH93" s="150"/>
      <c r="EI93" s="150"/>
      <c r="EJ93" s="150"/>
      <c r="EK93" s="150"/>
      <c r="EL93" s="150"/>
      <c r="EM93" s="150"/>
      <c r="EN93" s="150"/>
      <c r="EO93" s="150"/>
      <c r="EP93" s="150"/>
      <c r="EQ93" s="150"/>
      <c r="ER93" s="150"/>
      <c r="ES93" s="150"/>
      <c r="ET93" s="150"/>
      <c r="EU93" s="150"/>
      <c r="EV93" s="150"/>
      <c r="EW93" s="150"/>
      <c r="EX93" s="150"/>
      <c r="EY93" s="150"/>
      <c r="EZ93" s="150"/>
      <c r="FA93" s="150"/>
      <c r="FB93" s="150"/>
      <c r="FC93" s="150"/>
      <c r="FD93" s="150"/>
      <c r="FE93" s="150"/>
      <c r="FF93" s="150"/>
      <c r="FG93" s="150"/>
      <c r="FH93" s="150"/>
      <c r="FI93" s="150"/>
      <c r="FJ93" s="150"/>
      <c r="FK93" s="150"/>
      <c r="FL93" s="150"/>
      <c r="FM93" s="150"/>
      <c r="FN93" s="150"/>
      <c r="FO93" s="150"/>
      <c r="FP93" s="150"/>
      <c r="FQ93" s="150"/>
      <c r="FR93" s="150"/>
      <c r="FS93" s="150"/>
      <c r="FT93" s="150"/>
      <c r="FU93" s="150"/>
      <c r="FV93" s="150"/>
      <c r="FW93" s="150"/>
      <c r="FX93" s="150"/>
      <c r="FY93" s="150"/>
      <c r="FZ93" s="150"/>
      <c r="GA93" s="150"/>
      <c r="GB93" s="150"/>
      <c r="GC93" s="150"/>
      <c r="GD93" s="150"/>
      <c r="GE93" s="150"/>
      <c r="GF93" s="150"/>
      <c r="GG93" s="150"/>
      <c r="GH93" s="150"/>
      <c r="GI93" s="150"/>
      <c r="GJ93" s="150"/>
      <c r="GK93" s="150"/>
      <c r="GL93" s="150"/>
      <c r="GM93" s="150"/>
      <c r="GN93" s="150"/>
      <c r="GO93" s="150"/>
      <c r="GP93" s="150"/>
      <c r="GQ93" s="150"/>
      <c r="GR93" s="150"/>
      <c r="GS93" s="150"/>
      <c r="GT93" s="150"/>
      <c r="GU93" s="150"/>
      <c r="GV93" s="150"/>
      <c r="GW93" s="150"/>
      <c r="GX93" s="150"/>
      <c r="GY93" s="150"/>
      <c r="GZ93" s="150"/>
      <c r="HA93" s="150"/>
      <c r="HB93" s="150"/>
      <c r="HC93" s="150"/>
      <c r="HD93" s="150"/>
      <c r="HE93" s="150"/>
      <c r="HF93" s="150"/>
      <c r="HG93" s="150"/>
      <c r="HH93" s="150"/>
      <c r="HI93" s="150"/>
      <c r="HJ93" s="150"/>
      <c r="HK93" s="150"/>
      <c r="HL93" s="150"/>
      <c r="HM93" s="150"/>
      <c r="HN93" s="150"/>
      <c r="HO93" s="150"/>
      <c r="HP93" s="150"/>
      <c r="HQ93" s="150"/>
      <c r="HR93" s="150"/>
      <c r="HS93" s="150"/>
      <c r="HT93" s="150"/>
      <c r="HU93" s="150"/>
      <c r="HV93" s="150"/>
      <c r="HW93" s="150"/>
      <c r="HX93" s="150"/>
      <c r="HY93" s="150"/>
      <c r="HZ93" s="150"/>
      <c r="IA93" s="150"/>
      <c r="IB93" s="150"/>
      <c r="IC93" s="150"/>
      <c r="ID93" s="150"/>
      <c r="IE93" s="150"/>
      <c r="IF93" s="150"/>
      <c r="IG93" s="150"/>
      <c r="IH93" s="150"/>
      <c r="II93" s="150"/>
      <c r="IJ93" s="150"/>
      <c r="IK93" s="150"/>
      <c r="IL93" s="150"/>
      <c r="IM93" s="150"/>
      <c r="IN93" s="150"/>
      <c r="IO93" s="150"/>
      <c r="IP93" s="150"/>
      <c r="IQ93" s="150"/>
      <c r="IR93" s="150"/>
      <c r="IS93" s="150"/>
      <c r="IT93" s="150"/>
      <c r="IU93" s="150"/>
      <c r="IV93" s="150"/>
      <c r="IW93" s="150"/>
      <c r="IX93" s="150"/>
      <c r="IY93" s="150"/>
      <c r="IZ93" s="150"/>
      <c r="JA93" s="150"/>
      <c r="JB93" s="150"/>
      <c r="JC93" s="150"/>
      <c r="JD93" s="150"/>
      <c r="JE93" s="150"/>
      <c r="JF93" s="150"/>
      <c r="JG93" s="150"/>
      <c r="JH93" s="150"/>
      <c r="JI93" s="150"/>
      <c r="JJ93" s="150"/>
      <c r="JK93" s="150"/>
      <c r="JL93" s="150"/>
      <c r="JM93" s="150"/>
      <c r="JN93" s="150"/>
      <c r="JO93" s="150"/>
      <c r="JP93" s="150"/>
      <c r="JQ93" s="150"/>
      <c r="JR93" s="150"/>
      <c r="JS93" s="150"/>
      <c r="JT93" s="150"/>
      <c r="JU93" s="150"/>
      <c r="JV93" s="150"/>
      <c r="JW93" s="150"/>
      <c r="JX93" s="150"/>
      <c r="JY93" s="150"/>
      <c r="JZ93" s="150"/>
      <c r="KA93" s="150"/>
      <c r="KB93" s="150"/>
      <c r="KC93" s="150"/>
      <c r="KD93" s="150"/>
      <c r="KE93" s="150"/>
      <c r="KF93" s="150"/>
      <c r="KG93" s="150"/>
      <c r="KH93" s="150"/>
      <c r="KI93" s="150"/>
      <c r="KJ93" s="150"/>
      <c r="KK93" s="150"/>
      <c r="KL93" s="150"/>
      <c r="KM93" s="150"/>
      <c r="KN93" s="150"/>
      <c r="KO93" s="150"/>
      <c r="KP93" s="150"/>
      <c r="KQ93" s="150"/>
      <c r="KR93" s="150"/>
      <c r="KS93" s="150"/>
      <c r="KT93" s="150"/>
      <c r="KU93" s="150"/>
      <c r="KV93" s="150"/>
      <c r="KW93" s="150"/>
      <c r="KX93" s="150"/>
      <c r="KY93" s="150"/>
      <c r="KZ93" s="150"/>
      <c r="LA93" s="150"/>
      <c r="LB93" s="150"/>
      <c r="LC93" s="150"/>
      <c r="LD93" s="150"/>
      <c r="LE93" s="150"/>
      <c r="LF93" s="150"/>
      <c r="LG93" s="150"/>
      <c r="LH93" s="150"/>
      <c r="LI93" s="150"/>
      <c r="LJ93" s="150"/>
      <c r="LK93" s="150"/>
      <c r="LL93" s="150"/>
      <c r="LM93" s="150"/>
      <c r="LN93" s="150"/>
      <c r="LO93" s="150"/>
      <c r="LP93" s="150"/>
      <c r="LQ93" s="150"/>
      <c r="LR93" s="150"/>
      <c r="LS93" s="150"/>
      <c r="LT93" s="150"/>
      <c r="LU93" s="150"/>
      <c r="LV93" s="150"/>
      <c r="LW93" s="150"/>
      <c r="LX93" s="150"/>
      <c r="LY93" s="150"/>
      <c r="LZ93" s="150"/>
      <c r="MA93" s="150"/>
      <c r="MB93" s="150"/>
      <c r="MC93" s="150"/>
      <c r="MD93" s="150"/>
      <c r="ME93" s="150"/>
      <c r="MF93" s="150"/>
      <c r="MG93" s="150"/>
      <c r="MH93" s="150"/>
      <c r="MI93" s="150"/>
      <c r="MJ93" s="150"/>
      <c r="MK93" s="150"/>
      <c r="ML93" s="150"/>
      <c r="MM93" s="150"/>
      <c r="MN93" s="150"/>
      <c r="MO93" s="150"/>
      <c r="MP93" s="150"/>
      <c r="MQ93" s="150"/>
      <c r="MR93" s="150"/>
      <c r="MS93" s="150"/>
      <c r="MT93" s="150"/>
      <c r="MU93" s="150"/>
      <c r="MV93" s="150"/>
      <c r="MW93" s="150"/>
      <c r="MX93" s="150"/>
      <c r="MY93" s="150"/>
      <c r="MZ93" s="150"/>
      <c r="NA93" s="150"/>
      <c r="NB93" s="150"/>
      <c r="NC93" s="150"/>
      <c r="ND93" s="150"/>
      <c r="NE93" s="150"/>
      <c r="NF93" s="150"/>
      <c r="NG93" s="150"/>
      <c r="NH93" s="150"/>
      <c r="NI93" s="150"/>
      <c r="NJ93" s="150"/>
      <c r="NK93" s="150"/>
      <c r="NL93" s="150"/>
      <c r="NM93" s="150"/>
      <c r="NN93" s="150"/>
      <c r="NO93" s="150"/>
      <c r="NP93" s="150"/>
      <c r="NQ93" s="150"/>
      <c r="NR93" s="150"/>
      <c r="NS93" s="150"/>
      <c r="NT93" s="150"/>
      <c r="NU93" s="150"/>
      <c r="NV93" s="150"/>
      <c r="NW93" s="150"/>
      <c r="NX93" s="150"/>
      <c r="NY93" s="150"/>
      <c r="NZ93" s="150"/>
      <c r="OA93" s="150"/>
      <c r="OB93" s="150"/>
      <c r="OC93" s="150"/>
      <c r="OD93" s="150"/>
      <c r="OE93" s="150"/>
    </row>
    <row r="94" spans="1:395">
      <c r="A94" s="19"/>
      <c r="B94" s="17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85"/>
      <c r="Q94" s="185"/>
      <c r="R94" s="185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50"/>
      <c r="AF94" s="150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  <c r="BI94" s="150"/>
      <c r="BJ94" s="150"/>
      <c r="BK94" s="150"/>
      <c r="BL94" s="150"/>
      <c r="BM94" s="150"/>
      <c r="BN94" s="150"/>
      <c r="BO94" s="150"/>
      <c r="BP94" s="150"/>
      <c r="BQ94" s="150"/>
      <c r="BR94" s="150"/>
      <c r="BS94" s="150"/>
      <c r="BT94" s="150"/>
      <c r="BU94" s="150"/>
      <c r="BV94" s="150"/>
      <c r="BW94" s="150"/>
      <c r="BX94" s="150"/>
      <c r="BY94" s="150"/>
      <c r="BZ94" s="150"/>
      <c r="CA94" s="150"/>
      <c r="CB94" s="150"/>
      <c r="CC94" s="150"/>
      <c r="CD94" s="150"/>
      <c r="CE94" s="150"/>
      <c r="CF94" s="150"/>
      <c r="CG94" s="150"/>
      <c r="CH94" s="150"/>
      <c r="CI94" s="150"/>
      <c r="CJ94" s="150"/>
      <c r="CK94" s="150"/>
      <c r="CL94" s="150"/>
      <c r="CM94" s="150"/>
      <c r="CN94" s="150"/>
      <c r="CO94" s="150"/>
      <c r="CP94" s="150"/>
      <c r="CQ94" s="150"/>
      <c r="CR94" s="150"/>
      <c r="CS94" s="150"/>
      <c r="CT94" s="150"/>
      <c r="CU94" s="150"/>
      <c r="CV94" s="150"/>
      <c r="CW94" s="150"/>
      <c r="CX94" s="150"/>
      <c r="CY94" s="150"/>
      <c r="CZ94" s="150"/>
      <c r="DA94" s="150"/>
      <c r="DB94" s="150"/>
      <c r="DC94" s="150"/>
      <c r="DD94" s="150"/>
      <c r="DE94" s="150"/>
      <c r="DF94" s="150"/>
      <c r="DG94" s="150"/>
      <c r="DH94" s="150"/>
      <c r="DI94" s="150"/>
      <c r="DJ94" s="150"/>
      <c r="DK94" s="150"/>
      <c r="DL94" s="150"/>
      <c r="DM94" s="150"/>
      <c r="DN94" s="150"/>
      <c r="DO94" s="150"/>
      <c r="DP94" s="150"/>
      <c r="DQ94" s="150"/>
      <c r="DR94" s="150"/>
      <c r="DS94" s="150"/>
      <c r="DT94" s="150"/>
      <c r="DU94" s="150"/>
      <c r="DV94" s="150"/>
      <c r="DW94" s="150"/>
      <c r="DX94" s="150"/>
      <c r="DY94" s="150"/>
      <c r="DZ94" s="150"/>
      <c r="EA94" s="150"/>
      <c r="EB94" s="150"/>
      <c r="EC94" s="150"/>
      <c r="ED94" s="150"/>
      <c r="EE94" s="150"/>
      <c r="EF94" s="150"/>
      <c r="EG94" s="150"/>
      <c r="EH94" s="150"/>
      <c r="EI94" s="150"/>
      <c r="EJ94" s="150"/>
      <c r="EK94" s="150"/>
      <c r="EL94" s="150"/>
      <c r="EM94" s="150"/>
      <c r="EN94" s="150"/>
      <c r="EO94" s="150"/>
      <c r="EP94" s="150"/>
      <c r="EQ94" s="150"/>
      <c r="ER94" s="150"/>
      <c r="ES94" s="150"/>
      <c r="ET94" s="150"/>
      <c r="EU94" s="150"/>
      <c r="EV94" s="150"/>
      <c r="EW94" s="150"/>
      <c r="EX94" s="150"/>
      <c r="EY94" s="150"/>
      <c r="EZ94" s="150"/>
      <c r="FA94" s="150"/>
      <c r="FB94" s="150"/>
      <c r="FC94" s="150"/>
      <c r="FD94" s="150"/>
      <c r="FE94" s="150"/>
      <c r="FF94" s="150"/>
      <c r="FG94" s="150"/>
      <c r="FH94" s="150"/>
      <c r="FI94" s="150"/>
      <c r="FJ94" s="150"/>
      <c r="FK94" s="150"/>
      <c r="FL94" s="150"/>
      <c r="FM94" s="150"/>
      <c r="FN94" s="150"/>
      <c r="FO94" s="150"/>
      <c r="FP94" s="150"/>
      <c r="FQ94" s="150"/>
      <c r="FR94" s="150"/>
      <c r="FS94" s="150"/>
      <c r="FT94" s="150"/>
      <c r="FU94" s="150"/>
      <c r="FV94" s="150"/>
      <c r="FW94" s="150"/>
      <c r="FX94" s="150"/>
      <c r="FY94" s="150"/>
      <c r="FZ94" s="150"/>
      <c r="GA94" s="150"/>
      <c r="GB94" s="150"/>
      <c r="GC94" s="150"/>
      <c r="GD94" s="150"/>
      <c r="GE94" s="150"/>
      <c r="GF94" s="150"/>
      <c r="GG94" s="150"/>
      <c r="GH94" s="150"/>
      <c r="GI94" s="150"/>
      <c r="GJ94" s="150"/>
      <c r="GK94" s="150"/>
      <c r="GL94" s="150"/>
      <c r="GM94" s="150"/>
      <c r="GN94" s="150"/>
      <c r="GO94" s="150"/>
      <c r="GP94" s="150"/>
      <c r="GQ94" s="150"/>
      <c r="GR94" s="150"/>
      <c r="GS94" s="150"/>
      <c r="GT94" s="150"/>
      <c r="GU94" s="150"/>
      <c r="GV94" s="150"/>
      <c r="GW94" s="150"/>
      <c r="GX94" s="150"/>
      <c r="GY94" s="150"/>
      <c r="GZ94" s="150"/>
      <c r="HA94" s="150"/>
      <c r="HB94" s="150"/>
      <c r="HC94" s="150"/>
      <c r="HD94" s="150"/>
      <c r="HE94" s="150"/>
      <c r="HF94" s="150"/>
      <c r="HG94" s="150"/>
      <c r="HH94" s="150"/>
      <c r="HI94" s="150"/>
      <c r="HJ94" s="150"/>
      <c r="HK94" s="150"/>
      <c r="HL94" s="150"/>
      <c r="HM94" s="150"/>
      <c r="HN94" s="150"/>
      <c r="HO94" s="150"/>
      <c r="HP94" s="150"/>
      <c r="HQ94" s="150"/>
      <c r="HR94" s="150"/>
      <c r="HS94" s="150"/>
      <c r="HT94" s="150"/>
      <c r="HU94" s="150"/>
      <c r="HV94" s="150"/>
      <c r="HW94" s="150"/>
      <c r="HX94" s="150"/>
      <c r="HY94" s="150"/>
      <c r="HZ94" s="150"/>
      <c r="IA94" s="150"/>
      <c r="IB94" s="150"/>
      <c r="IC94" s="150"/>
      <c r="ID94" s="150"/>
      <c r="IE94" s="150"/>
      <c r="IF94" s="150"/>
      <c r="IG94" s="150"/>
      <c r="IH94" s="150"/>
      <c r="II94" s="150"/>
      <c r="IJ94" s="150"/>
      <c r="IK94" s="150"/>
      <c r="IL94" s="150"/>
      <c r="IM94" s="150"/>
      <c r="IN94" s="150"/>
      <c r="IO94" s="150"/>
      <c r="IP94" s="150"/>
      <c r="IQ94" s="150"/>
      <c r="IR94" s="150"/>
      <c r="IS94" s="150"/>
      <c r="IT94" s="150"/>
      <c r="IU94" s="150"/>
      <c r="IV94" s="150"/>
      <c r="IW94" s="150"/>
      <c r="IX94" s="150"/>
      <c r="IY94" s="150"/>
      <c r="IZ94" s="150"/>
      <c r="JA94" s="150"/>
      <c r="JB94" s="150"/>
      <c r="JC94" s="150"/>
      <c r="JD94" s="150"/>
      <c r="JE94" s="150"/>
      <c r="JF94" s="150"/>
      <c r="JG94" s="150"/>
      <c r="JH94" s="150"/>
      <c r="JI94" s="150"/>
      <c r="JJ94" s="150"/>
      <c r="JK94" s="150"/>
      <c r="JL94" s="150"/>
      <c r="JM94" s="150"/>
      <c r="JN94" s="150"/>
      <c r="JO94" s="150"/>
      <c r="JP94" s="150"/>
      <c r="JQ94" s="150"/>
      <c r="JR94" s="150"/>
      <c r="JS94" s="150"/>
      <c r="JT94" s="150"/>
      <c r="JU94" s="150"/>
      <c r="JV94" s="150"/>
      <c r="JW94" s="150"/>
      <c r="JX94" s="150"/>
      <c r="JY94" s="150"/>
      <c r="JZ94" s="150"/>
      <c r="KA94" s="150"/>
      <c r="KB94" s="150"/>
      <c r="KC94" s="150"/>
      <c r="KD94" s="150"/>
      <c r="KE94" s="150"/>
      <c r="KF94" s="150"/>
      <c r="KG94" s="150"/>
      <c r="KH94" s="150"/>
      <c r="KI94" s="150"/>
      <c r="KJ94" s="150"/>
      <c r="KK94" s="150"/>
      <c r="KL94" s="150"/>
      <c r="KM94" s="150"/>
      <c r="KN94" s="150"/>
      <c r="KO94" s="150"/>
      <c r="KP94" s="150"/>
      <c r="KQ94" s="150"/>
      <c r="KR94" s="150"/>
      <c r="KS94" s="150"/>
      <c r="KT94" s="150"/>
      <c r="KU94" s="150"/>
      <c r="KV94" s="150"/>
      <c r="KW94" s="150"/>
      <c r="KX94" s="150"/>
      <c r="KY94" s="150"/>
      <c r="KZ94" s="150"/>
      <c r="LA94" s="150"/>
      <c r="LB94" s="150"/>
      <c r="LC94" s="150"/>
      <c r="LD94" s="150"/>
      <c r="LE94" s="150"/>
      <c r="LF94" s="150"/>
      <c r="LG94" s="150"/>
      <c r="LH94" s="150"/>
      <c r="LI94" s="150"/>
      <c r="LJ94" s="150"/>
      <c r="LK94" s="150"/>
      <c r="LL94" s="150"/>
      <c r="LM94" s="150"/>
      <c r="LN94" s="150"/>
      <c r="LO94" s="150"/>
      <c r="LP94" s="150"/>
      <c r="LQ94" s="150"/>
      <c r="LR94" s="150"/>
      <c r="LS94" s="150"/>
      <c r="LT94" s="150"/>
      <c r="LU94" s="150"/>
      <c r="LV94" s="150"/>
      <c r="LW94" s="150"/>
      <c r="LX94" s="150"/>
      <c r="LY94" s="150"/>
      <c r="LZ94" s="150"/>
      <c r="MA94" s="150"/>
      <c r="MB94" s="150"/>
      <c r="MC94" s="150"/>
      <c r="MD94" s="150"/>
      <c r="ME94" s="150"/>
      <c r="MF94" s="150"/>
      <c r="MG94" s="150"/>
      <c r="MH94" s="150"/>
      <c r="MI94" s="150"/>
      <c r="MJ94" s="150"/>
      <c r="MK94" s="150"/>
      <c r="ML94" s="150"/>
      <c r="MM94" s="150"/>
      <c r="MN94" s="150"/>
      <c r="MO94" s="150"/>
      <c r="MP94" s="150"/>
      <c r="MQ94" s="150"/>
      <c r="MR94" s="150"/>
      <c r="MS94" s="150"/>
      <c r="MT94" s="150"/>
      <c r="MU94" s="150"/>
      <c r="MV94" s="150"/>
      <c r="MW94" s="150"/>
      <c r="MX94" s="150"/>
      <c r="MY94" s="150"/>
      <c r="MZ94" s="150"/>
      <c r="NA94" s="150"/>
      <c r="NB94" s="150"/>
      <c r="NC94" s="150"/>
      <c r="ND94" s="150"/>
      <c r="NE94" s="150"/>
      <c r="NF94" s="150"/>
      <c r="NG94" s="150"/>
      <c r="NH94" s="150"/>
      <c r="NI94" s="150"/>
      <c r="NJ94" s="150"/>
      <c r="NK94" s="150"/>
      <c r="NL94" s="150"/>
      <c r="NM94" s="150"/>
      <c r="NN94" s="150"/>
      <c r="NO94" s="150"/>
      <c r="NP94" s="150"/>
      <c r="NQ94" s="150"/>
      <c r="NR94" s="150"/>
      <c r="NS94" s="150"/>
      <c r="NT94" s="150"/>
      <c r="NU94" s="150"/>
      <c r="NV94" s="150"/>
      <c r="NW94" s="150"/>
      <c r="NX94" s="150"/>
      <c r="NY94" s="150"/>
      <c r="NZ94" s="150"/>
      <c r="OA94" s="150"/>
      <c r="OB94" s="150"/>
      <c r="OC94" s="150"/>
      <c r="OD94" s="150"/>
      <c r="OE94" s="150"/>
    </row>
    <row r="95" spans="1:395">
      <c r="A95" s="19"/>
      <c r="B95" s="17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85"/>
      <c r="Q95" s="185"/>
      <c r="R95" s="185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50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  <c r="BI95" s="150"/>
      <c r="BJ95" s="150"/>
      <c r="BK95" s="150"/>
      <c r="BL95" s="150"/>
      <c r="BM95" s="150"/>
      <c r="BN95" s="150"/>
      <c r="BO95" s="150"/>
      <c r="BP95" s="150"/>
      <c r="BQ95" s="150"/>
      <c r="BR95" s="150"/>
      <c r="BS95" s="150"/>
      <c r="BT95" s="150"/>
      <c r="BU95" s="150"/>
      <c r="BV95" s="150"/>
      <c r="BW95" s="150"/>
      <c r="BX95" s="150"/>
      <c r="BY95" s="150"/>
      <c r="BZ95" s="150"/>
      <c r="CA95" s="150"/>
      <c r="CB95" s="150"/>
      <c r="CC95" s="150"/>
      <c r="CD95" s="150"/>
      <c r="CE95" s="150"/>
      <c r="CF95" s="150"/>
      <c r="CG95" s="150"/>
      <c r="CH95" s="150"/>
      <c r="CI95" s="150"/>
      <c r="CJ95" s="150"/>
      <c r="CK95" s="150"/>
      <c r="CL95" s="150"/>
      <c r="CM95" s="150"/>
      <c r="CN95" s="150"/>
      <c r="CO95" s="150"/>
      <c r="CP95" s="150"/>
      <c r="CQ95" s="150"/>
      <c r="CR95" s="150"/>
      <c r="CS95" s="150"/>
      <c r="CT95" s="150"/>
      <c r="CU95" s="150"/>
      <c r="CV95" s="150"/>
      <c r="CW95" s="150"/>
      <c r="CX95" s="150"/>
      <c r="CY95" s="150"/>
      <c r="CZ95" s="150"/>
      <c r="DA95" s="150"/>
      <c r="DB95" s="150"/>
      <c r="DC95" s="150"/>
      <c r="DD95" s="150"/>
      <c r="DE95" s="150"/>
      <c r="DF95" s="150"/>
      <c r="DG95" s="150"/>
      <c r="DH95" s="150"/>
      <c r="DI95" s="150"/>
      <c r="DJ95" s="150"/>
      <c r="DK95" s="150"/>
      <c r="DL95" s="150"/>
      <c r="DM95" s="150"/>
      <c r="DN95" s="150"/>
      <c r="DO95" s="150"/>
      <c r="DP95" s="150"/>
      <c r="DQ95" s="150"/>
      <c r="DR95" s="150"/>
      <c r="DS95" s="150"/>
      <c r="DT95" s="150"/>
      <c r="DU95" s="150"/>
      <c r="DV95" s="150"/>
      <c r="DW95" s="150"/>
      <c r="DX95" s="150"/>
      <c r="DY95" s="150"/>
      <c r="DZ95" s="150"/>
      <c r="EA95" s="150"/>
      <c r="EB95" s="150"/>
      <c r="EC95" s="150"/>
      <c r="ED95" s="150"/>
      <c r="EE95" s="150"/>
      <c r="EF95" s="150"/>
      <c r="EG95" s="150"/>
      <c r="EH95" s="150"/>
      <c r="EI95" s="150"/>
      <c r="EJ95" s="150"/>
      <c r="EK95" s="150"/>
      <c r="EL95" s="150"/>
      <c r="EM95" s="150"/>
      <c r="EN95" s="150"/>
      <c r="EO95" s="150"/>
      <c r="EP95" s="150"/>
      <c r="EQ95" s="150"/>
      <c r="ER95" s="150"/>
      <c r="ES95" s="150"/>
      <c r="ET95" s="150"/>
      <c r="EU95" s="150"/>
      <c r="EV95" s="150"/>
      <c r="EW95" s="150"/>
      <c r="EX95" s="150"/>
      <c r="EY95" s="150"/>
      <c r="EZ95" s="150"/>
      <c r="FA95" s="150"/>
      <c r="FB95" s="150"/>
      <c r="FC95" s="150"/>
      <c r="FD95" s="150"/>
      <c r="FE95" s="150"/>
      <c r="FF95" s="150"/>
      <c r="FG95" s="150"/>
      <c r="FH95" s="150"/>
      <c r="FI95" s="150"/>
      <c r="FJ95" s="150"/>
      <c r="FK95" s="150"/>
      <c r="FL95" s="150"/>
      <c r="FM95" s="150"/>
      <c r="FN95" s="150"/>
      <c r="FO95" s="150"/>
      <c r="FP95" s="150"/>
      <c r="FQ95" s="150"/>
      <c r="FR95" s="150"/>
      <c r="FS95" s="150"/>
      <c r="FT95" s="150"/>
      <c r="FU95" s="150"/>
      <c r="FV95" s="150"/>
      <c r="FW95" s="150"/>
      <c r="FX95" s="150"/>
      <c r="FY95" s="150"/>
      <c r="FZ95" s="150"/>
      <c r="GA95" s="150"/>
      <c r="GB95" s="150"/>
      <c r="GC95" s="150"/>
      <c r="GD95" s="150"/>
      <c r="GE95" s="150"/>
      <c r="GF95" s="150"/>
      <c r="GG95" s="150"/>
      <c r="GH95" s="150"/>
      <c r="GI95" s="150"/>
      <c r="GJ95" s="150"/>
      <c r="GK95" s="150"/>
      <c r="GL95" s="150"/>
      <c r="GM95" s="150"/>
      <c r="GN95" s="150"/>
      <c r="GO95" s="150"/>
      <c r="GP95" s="150"/>
      <c r="GQ95" s="150"/>
      <c r="GR95" s="150"/>
      <c r="GS95" s="150"/>
      <c r="GT95" s="150"/>
      <c r="GU95" s="150"/>
      <c r="GV95" s="150"/>
      <c r="GW95" s="150"/>
      <c r="GX95" s="150"/>
      <c r="GY95" s="150"/>
      <c r="GZ95" s="150"/>
      <c r="HA95" s="150"/>
      <c r="HB95" s="150"/>
      <c r="HC95" s="150"/>
      <c r="HD95" s="150"/>
      <c r="HE95" s="150"/>
      <c r="HF95" s="150"/>
      <c r="HG95" s="150"/>
      <c r="HH95" s="150"/>
      <c r="HI95" s="150"/>
      <c r="HJ95" s="150"/>
      <c r="HK95" s="150"/>
      <c r="HL95" s="150"/>
      <c r="HM95" s="150"/>
      <c r="HN95" s="150"/>
      <c r="HO95" s="150"/>
      <c r="HP95" s="150"/>
      <c r="HQ95" s="150"/>
      <c r="HR95" s="150"/>
      <c r="HS95" s="150"/>
      <c r="HT95" s="150"/>
      <c r="HU95" s="150"/>
      <c r="HV95" s="150"/>
      <c r="HW95" s="150"/>
      <c r="HX95" s="150"/>
      <c r="HY95" s="150"/>
      <c r="HZ95" s="150"/>
      <c r="IA95" s="150"/>
      <c r="IB95" s="150"/>
      <c r="IC95" s="150"/>
      <c r="ID95" s="150"/>
      <c r="IE95" s="150"/>
      <c r="IF95" s="150"/>
      <c r="IG95" s="150"/>
      <c r="IH95" s="150"/>
      <c r="II95" s="150"/>
      <c r="IJ95" s="150"/>
      <c r="IK95" s="150"/>
      <c r="IL95" s="150"/>
      <c r="IM95" s="150"/>
      <c r="IN95" s="150"/>
      <c r="IO95" s="150"/>
      <c r="IP95" s="150"/>
      <c r="IQ95" s="150"/>
      <c r="IR95" s="150"/>
      <c r="IS95" s="150"/>
      <c r="IT95" s="150"/>
      <c r="IU95" s="150"/>
      <c r="IV95" s="150"/>
      <c r="IW95" s="150"/>
      <c r="IX95" s="150"/>
      <c r="IY95" s="150"/>
      <c r="IZ95" s="150"/>
      <c r="JA95" s="150"/>
      <c r="JB95" s="150"/>
      <c r="JC95" s="150"/>
      <c r="JD95" s="150"/>
      <c r="JE95" s="150"/>
      <c r="JF95" s="150"/>
      <c r="JG95" s="150"/>
      <c r="JH95" s="150"/>
      <c r="JI95" s="150"/>
      <c r="JJ95" s="150"/>
      <c r="JK95" s="150"/>
      <c r="JL95" s="150"/>
      <c r="JM95" s="150"/>
      <c r="JN95" s="150"/>
      <c r="JO95" s="150"/>
      <c r="JP95" s="150"/>
      <c r="JQ95" s="150"/>
      <c r="JR95" s="150"/>
      <c r="JS95" s="150"/>
      <c r="JT95" s="150"/>
      <c r="JU95" s="150"/>
      <c r="JV95" s="150"/>
      <c r="JW95" s="150"/>
      <c r="JX95" s="150"/>
      <c r="JY95" s="150"/>
      <c r="JZ95" s="150"/>
      <c r="KA95" s="150"/>
      <c r="KB95" s="150"/>
      <c r="KC95" s="150"/>
      <c r="KD95" s="150"/>
      <c r="KE95" s="150"/>
      <c r="KF95" s="150"/>
      <c r="KG95" s="150"/>
      <c r="KH95" s="150"/>
      <c r="KI95" s="150"/>
      <c r="KJ95" s="150"/>
      <c r="KK95" s="150"/>
      <c r="KL95" s="150"/>
      <c r="KM95" s="150"/>
      <c r="KN95" s="150"/>
      <c r="KO95" s="150"/>
      <c r="KP95" s="150"/>
      <c r="KQ95" s="150"/>
      <c r="KR95" s="150"/>
      <c r="KS95" s="150"/>
      <c r="KT95" s="150"/>
      <c r="KU95" s="150"/>
      <c r="KV95" s="150"/>
      <c r="KW95" s="150"/>
      <c r="KX95" s="150"/>
      <c r="KY95" s="150"/>
      <c r="KZ95" s="150"/>
      <c r="LA95" s="150"/>
      <c r="LB95" s="150"/>
      <c r="LC95" s="150"/>
      <c r="LD95" s="150"/>
      <c r="LE95" s="150"/>
      <c r="LF95" s="150"/>
      <c r="LG95" s="150"/>
      <c r="LH95" s="150"/>
      <c r="LI95" s="150"/>
      <c r="LJ95" s="150"/>
      <c r="LK95" s="150"/>
      <c r="LL95" s="150"/>
      <c r="LM95" s="150"/>
      <c r="LN95" s="150"/>
      <c r="LO95" s="150"/>
      <c r="LP95" s="150"/>
      <c r="LQ95" s="150"/>
      <c r="LR95" s="150"/>
      <c r="LS95" s="150"/>
      <c r="LT95" s="150"/>
      <c r="LU95" s="150"/>
      <c r="LV95" s="150"/>
      <c r="LW95" s="150"/>
      <c r="LX95" s="150"/>
      <c r="LY95" s="150"/>
      <c r="LZ95" s="150"/>
      <c r="MA95" s="150"/>
      <c r="MB95" s="150"/>
      <c r="MC95" s="150"/>
      <c r="MD95" s="150"/>
      <c r="ME95" s="150"/>
      <c r="MF95" s="150"/>
      <c r="MG95" s="150"/>
      <c r="MH95" s="150"/>
      <c r="MI95" s="150"/>
      <c r="MJ95" s="150"/>
      <c r="MK95" s="150"/>
      <c r="ML95" s="150"/>
      <c r="MM95" s="150"/>
      <c r="MN95" s="150"/>
      <c r="MO95" s="150"/>
      <c r="MP95" s="150"/>
      <c r="MQ95" s="150"/>
      <c r="MR95" s="150"/>
      <c r="MS95" s="150"/>
      <c r="MT95" s="150"/>
      <c r="MU95" s="150"/>
      <c r="MV95" s="150"/>
      <c r="MW95" s="150"/>
      <c r="MX95" s="150"/>
      <c r="MY95" s="150"/>
      <c r="MZ95" s="150"/>
      <c r="NA95" s="150"/>
      <c r="NB95" s="150"/>
      <c r="NC95" s="150"/>
      <c r="ND95" s="150"/>
      <c r="NE95" s="150"/>
      <c r="NF95" s="150"/>
      <c r="NG95" s="150"/>
      <c r="NH95" s="150"/>
      <c r="NI95" s="150"/>
      <c r="NJ95" s="150"/>
      <c r="NK95" s="150"/>
      <c r="NL95" s="150"/>
      <c r="NM95" s="150"/>
      <c r="NN95" s="150"/>
      <c r="NO95" s="150"/>
      <c r="NP95" s="150"/>
      <c r="NQ95" s="150"/>
      <c r="NR95" s="150"/>
      <c r="NS95" s="150"/>
      <c r="NT95" s="150"/>
      <c r="NU95" s="150"/>
      <c r="NV95" s="150"/>
      <c r="NW95" s="150"/>
      <c r="NX95" s="150"/>
      <c r="NY95" s="150"/>
      <c r="NZ95" s="150"/>
      <c r="OA95" s="150"/>
      <c r="OB95" s="150"/>
      <c r="OC95" s="150"/>
      <c r="OD95" s="150"/>
      <c r="OE95" s="150"/>
    </row>
    <row r="96" spans="1:395">
      <c r="A96" s="19"/>
      <c r="B96" s="17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85"/>
      <c r="Q96" s="185"/>
      <c r="R96" s="185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50"/>
      <c r="AF96" s="150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  <c r="BI96" s="150"/>
      <c r="BJ96" s="150"/>
      <c r="BK96" s="150"/>
      <c r="BL96" s="150"/>
      <c r="BM96" s="150"/>
      <c r="BN96" s="150"/>
      <c r="BO96" s="150"/>
      <c r="BP96" s="150"/>
      <c r="BQ96" s="150"/>
      <c r="BR96" s="150"/>
      <c r="BS96" s="150"/>
      <c r="BT96" s="150"/>
      <c r="BU96" s="150"/>
      <c r="BV96" s="150"/>
      <c r="BW96" s="150"/>
      <c r="BX96" s="150"/>
      <c r="BY96" s="150"/>
      <c r="BZ96" s="150"/>
      <c r="CA96" s="150"/>
      <c r="CB96" s="150"/>
      <c r="CC96" s="150"/>
      <c r="CD96" s="150"/>
      <c r="CE96" s="150"/>
      <c r="CF96" s="150"/>
      <c r="CG96" s="150"/>
      <c r="CH96" s="150"/>
      <c r="CI96" s="150"/>
      <c r="CJ96" s="150"/>
      <c r="CK96" s="150"/>
      <c r="CL96" s="150"/>
      <c r="CM96" s="150"/>
      <c r="CN96" s="150"/>
      <c r="CO96" s="150"/>
      <c r="CP96" s="150"/>
      <c r="CQ96" s="150"/>
      <c r="CR96" s="150"/>
      <c r="CS96" s="150"/>
      <c r="CT96" s="150"/>
      <c r="CU96" s="150"/>
      <c r="CV96" s="150"/>
      <c r="CW96" s="150"/>
      <c r="CX96" s="150"/>
      <c r="CY96" s="150"/>
      <c r="CZ96" s="150"/>
      <c r="DA96" s="150"/>
      <c r="DB96" s="150"/>
      <c r="DC96" s="150"/>
      <c r="DD96" s="150"/>
      <c r="DE96" s="150"/>
      <c r="DF96" s="150"/>
      <c r="DG96" s="150"/>
      <c r="DH96" s="150"/>
      <c r="DI96" s="150"/>
      <c r="DJ96" s="150"/>
      <c r="DK96" s="150"/>
      <c r="DL96" s="150"/>
      <c r="DM96" s="150"/>
      <c r="DN96" s="150"/>
      <c r="DO96" s="150"/>
      <c r="DP96" s="150"/>
      <c r="DQ96" s="150"/>
      <c r="DR96" s="150"/>
      <c r="DS96" s="150"/>
      <c r="DT96" s="150"/>
      <c r="DU96" s="150"/>
      <c r="DV96" s="150"/>
      <c r="DW96" s="150"/>
      <c r="DX96" s="150"/>
      <c r="DY96" s="150"/>
      <c r="DZ96" s="150"/>
      <c r="EA96" s="150"/>
      <c r="EB96" s="150"/>
      <c r="EC96" s="150"/>
      <c r="ED96" s="150"/>
      <c r="EE96" s="150"/>
      <c r="EF96" s="150"/>
      <c r="EG96" s="150"/>
      <c r="EH96" s="150"/>
      <c r="EI96" s="150"/>
      <c r="EJ96" s="150"/>
      <c r="EK96" s="150"/>
      <c r="EL96" s="150"/>
      <c r="EM96" s="150"/>
      <c r="EN96" s="150"/>
      <c r="EO96" s="150"/>
      <c r="EP96" s="150"/>
      <c r="EQ96" s="150"/>
      <c r="ER96" s="150"/>
      <c r="ES96" s="150"/>
      <c r="ET96" s="150"/>
      <c r="EU96" s="150"/>
      <c r="EV96" s="150"/>
      <c r="EW96" s="150"/>
      <c r="EX96" s="150"/>
      <c r="EY96" s="150"/>
      <c r="EZ96" s="150"/>
      <c r="FA96" s="150"/>
      <c r="FB96" s="150"/>
      <c r="FC96" s="150"/>
      <c r="FD96" s="150"/>
      <c r="FE96" s="150"/>
      <c r="FF96" s="150"/>
      <c r="FG96" s="150"/>
      <c r="FH96" s="150"/>
      <c r="FI96" s="150"/>
      <c r="FJ96" s="150"/>
      <c r="FK96" s="150"/>
      <c r="FL96" s="150"/>
      <c r="FM96" s="150"/>
      <c r="FN96" s="150"/>
      <c r="FO96" s="150"/>
      <c r="FP96" s="150"/>
      <c r="FQ96" s="150"/>
      <c r="FR96" s="150"/>
      <c r="FS96" s="150"/>
      <c r="FT96" s="150"/>
      <c r="FU96" s="150"/>
      <c r="FV96" s="150"/>
      <c r="FW96" s="150"/>
      <c r="FX96" s="150"/>
      <c r="FY96" s="150"/>
      <c r="FZ96" s="150"/>
      <c r="GA96" s="150"/>
      <c r="GB96" s="150"/>
      <c r="GC96" s="150"/>
      <c r="GD96" s="150"/>
      <c r="GE96" s="150"/>
      <c r="GF96" s="150"/>
      <c r="GG96" s="150"/>
      <c r="GH96" s="150"/>
      <c r="GI96" s="150"/>
      <c r="GJ96" s="150"/>
      <c r="GK96" s="150"/>
      <c r="GL96" s="150"/>
      <c r="GM96" s="150"/>
      <c r="GN96" s="150"/>
      <c r="GO96" s="150"/>
      <c r="GP96" s="150"/>
      <c r="GQ96" s="150"/>
      <c r="GR96" s="150"/>
      <c r="GS96" s="150"/>
      <c r="GT96" s="150"/>
      <c r="GU96" s="150"/>
      <c r="GV96" s="150"/>
      <c r="GW96" s="150"/>
      <c r="GX96" s="150"/>
      <c r="GY96" s="150"/>
      <c r="GZ96" s="150"/>
      <c r="HA96" s="150"/>
      <c r="HB96" s="150"/>
      <c r="HC96" s="150"/>
      <c r="HD96" s="150"/>
      <c r="HE96" s="150"/>
      <c r="HF96" s="150"/>
      <c r="HG96" s="150"/>
      <c r="HH96" s="150"/>
      <c r="HI96" s="150"/>
      <c r="HJ96" s="150"/>
      <c r="HK96" s="150"/>
      <c r="HL96" s="150"/>
      <c r="HM96" s="150"/>
      <c r="HN96" s="150"/>
      <c r="HO96" s="150"/>
      <c r="HP96" s="150"/>
      <c r="HQ96" s="150"/>
      <c r="HR96" s="150"/>
      <c r="HS96" s="150"/>
      <c r="HT96" s="150"/>
      <c r="HU96" s="150"/>
      <c r="HV96" s="150"/>
      <c r="HW96" s="150"/>
      <c r="HX96" s="150"/>
      <c r="HY96" s="150"/>
      <c r="HZ96" s="150"/>
      <c r="IA96" s="150"/>
      <c r="IB96" s="150"/>
      <c r="IC96" s="150"/>
      <c r="ID96" s="150"/>
      <c r="IE96" s="150"/>
      <c r="IF96" s="150"/>
      <c r="IG96" s="150"/>
      <c r="IH96" s="150"/>
      <c r="II96" s="150"/>
      <c r="IJ96" s="150"/>
      <c r="IK96" s="150"/>
      <c r="IL96" s="150"/>
      <c r="IM96" s="150"/>
      <c r="IN96" s="150"/>
      <c r="IO96" s="150"/>
      <c r="IP96" s="150"/>
      <c r="IQ96" s="150"/>
      <c r="IR96" s="150"/>
      <c r="IS96" s="150"/>
      <c r="IT96" s="150"/>
      <c r="IU96" s="150"/>
      <c r="IV96" s="150"/>
      <c r="IW96" s="150"/>
      <c r="IX96" s="150"/>
      <c r="IY96" s="150"/>
      <c r="IZ96" s="150"/>
      <c r="JA96" s="150"/>
      <c r="JB96" s="150"/>
      <c r="JC96" s="150"/>
      <c r="JD96" s="150"/>
      <c r="JE96" s="150"/>
      <c r="JF96" s="150"/>
      <c r="JG96" s="150"/>
      <c r="JH96" s="150"/>
      <c r="JI96" s="150"/>
      <c r="JJ96" s="150"/>
      <c r="JK96" s="150"/>
      <c r="JL96" s="150"/>
      <c r="JM96" s="150"/>
      <c r="JN96" s="150"/>
      <c r="JO96" s="150"/>
      <c r="JP96" s="150"/>
      <c r="JQ96" s="150"/>
      <c r="JR96" s="150"/>
      <c r="JS96" s="150"/>
      <c r="JT96" s="150"/>
      <c r="JU96" s="150"/>
      <c r="JV96" s="150"/>
      <c r="JW96" s="150"/>
      <c r="JX96" s="150"/>
      <c r="JY96" s="150"/>
      <c r="JZ96" s="150"/>
      <c r="KA96" s="150"/>
      <c r="KB96" s="150"/>
      <c r="KC96" s="150"/>
      <c r="KD96" s="150"/>
      <c r="KE96" s="150"/>
      <c r="KF96" s="150"/>
      <c r="KG96" s="150"/>
      <c r="KH96" s="150"/>
      <c r="KI96" s="150"/>
      <c r="KJ96" s="150"/>
      <c r="KK96" s="150"/>
      <c r="KL96" s="150"/>
      <c r="KM96" s="150"/>
      <c r="KN96" s="150"/>
      <c r="KO96" s="150"/>
      <c r="KP96" s="150"/>
      <c r="KQ96" s="150"/>
      <c r="KR96" s="150"/>
      <c r="KS96" s="150"/>
      <c r="KT96" s="150"/>
      <c r="KU96" s="150"/>
      <c r="KV96" s="150"/>
      <c r="KW96" s="150"/>
      <c r="KX96" s="150"/>
      <c r="KY96" s="150"/>
      <c r="KZ96" s="150"/>
      <c r="LA96" s="150"/>
      <c r="LB96" s="150"/>
      <c r="LC96" s="150"/>
      <c r="LD96" s="150"/>
      <c r="LE96" s="150"/>
      <c r="LF96" s="150"/>
      <c r="LG96" s="150"/>
      <c r="LH96" s="150"/>
      <c r="LI96" s="150"/>
      <c r="LJ96" s="150"/>
      <c r="LK96" s="150"/>
      <c r="LL96" s="150"/>
      <c r="LM96" s="150"/>
      <c r="LN96" s="150"/>
      <c r="LO96" s="150"/>
      <c r="LP96" s="150"/>
      <c r="LQ96" s="150"/>
      <c r="LR96" s="150"/>
      <c r="LS96" s="150"/>
      <c r="LT96" s="150"/>
      <c r="LU96" s="150"/>
      <c r="LV96" s="150"/>
      <c r="LW96" s="150"/>
      <c r="LX96" s="150"/>
      <c r="LY96" s="150"/>
      <c r="LZ96" s="150"/>
      <c r="MA96" s="150"/>
      <c r="MB96" s="150"/>
      <c r="MC96" s="150"/>
      <c r="MD96" s="150"/>
      <c r="ME96" s="150"/>
      <c r="MF96" s="150"/>
      <c r="MG96" s="150"/>
      <c r="MH96" s="150"/>
      <c r="MI96" s="150"/>
      <c r="MJ96" s="150"/>
      <c r="MK96" s="150"/>
      <c r="ML96" s="150"/>
      <c r="MM96" s="150"/>
      <c r="MN96" s="150"/>
      <c r="MO96" s="150"/>
      <c r="MP96" s="150"/>
      <c r="MQ96" s="150"/>
      <c r="MR96" s="150"/>
      <c r="MS96" s="150"/>
      <c r="MT96" s="150"/>
      <c r="MU96" s="150"/>
      <c r="MV96" s="150"/>
      <c r="MW96" s="150"/>
      <c r="MX96" s="150"/>
      <c r="MY96" s="150"/>
      <c r="MZ96" s="150"/>
      <c r="NA96" s="150"/>
      <c r="NB96" s="150"/>
      <c r="NC96" s="150"/>
      <c r="ND96" s="150"/>
      <c r="NE96" s="150"/>
      <c r="NF96" s="150"/>
      <c r="NG96" s="150"/>
      <c r="NH96" s="150"/>
      <c r="NI96" s="150"/>
      <c r="NJ96" s="150"/>
      <c r="NK96" s="150"/>
      <c r="NL96" s="150"/>
      <c r="NM96" s="150"/>
      <c r="NN96" s="150"/>
      <c r="NO96" s="150"/>
      <c r="NP96" s="150"/>
      <c r="NQ96" s="150"/>
      <c r="NR96" s="150"/>
      <c r="NS96" s="150"/>
      <c r="NT96" s="150"/>
      <c r="NU96" s="150"/>
      <c r="NV96" s="150"/>
      <c r="NW96" s="150"/>
      <c r="NX96" s="150"/>
      <c r="NY96" s="150"/>
      <c r="NZ96" s="150"/>
      <c r="OA96" s="150"/>
      <c r="OB96" s="150"/>
      <c r="OC96" s="150"/>
      <c r="OD96" s="150"/>
      <c r="OE96" s="150"/>
    </row>
    <row r="97" spans="1:395">
      <c r="A97" s="19"/>
      <c r="B97" s="17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85"/>
      <c r="Q97" s="185"/>
      <c r="R97" s="185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50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  <c r="BI97" s="150"/>
      <c r="BJ97" s="150"/>
      <c r="BK97" s="150"/>
      <c r="BL97" s="150"/>
      <c r="BM97" s="150"/>
      <c r="BN97" s="150"/>
      <c r="BO97" s="150"/>
      <c r="BP97" s="150"/>
      <c r="BQ97" s="150"/>
      <c r="BR97" s="150"/>
      <c r="BS97" s="150"/>
      <c r="BT97" s="150"/>
      <c r="BU97" s="150"/>
      <c r="BV97" s="150"/>
      <c r="BW97" s="150"/>
      <c r="BX97" s="150"/>
      <c r="BY97" s="150"/>
      <c r="BZ97" s="150"/>
      <c r="CA97" s="150"/>
      <c r="CB97" s="150"/>
      <c r="CC97" s="150"/>
      <c r="CD97" s="150"/>
      <c r="CE97" s="150"/>
      <c r="CF97" s="150"/>
      <c r="CG97" s="150"/>
      <c r="CH97" s="150"/>
      <c r="CI97" s="150"/>
      <c r="CJ97" s="150"/>
      <c r="CK97" s="150"/>
      <c r="CL97" s="150"/>
      <c r="CM97" s="150"/>
      <c r="CN97" s="150"/>
      <c r="CO97" s="150"/>
      <c r="CP97" s="150"/>
      <c r="CQ97" s="150"/>
      <c r="CR97" s="150"/>
      <c r="CS97" s="150"/>
      <c r="CT97" s="150"/>
      <c r="CU97" s="150"/>
      <c r="CV97" s="150"/>
      <c r="CW97" s="150"/>
      <c r="CX97" s="150"/>
      <c r="CY97" s="150"/>
      <c r="CZ97" s="150"/>
      <c r="DA97" s="150"/>
      <c r="DB97" s="150"/>
      <c r="DC97" s="150"/>
      <c r="DD97" s="150"/>
      <c r="DE97" s="150"/>
      <c r="DF97" s="150"/>
      <c r="DG97" s="150"/>
      <c r="DH97" s="150"/>
      <c r="DI97" s="150"/>
      <c r="DJ97" s="150"/>
      <c r="DK97" s="150"/>
      <c r="DL97" s="150"/>
      <c r="DM97" s="150"/>
      <c r="DN97" s="150"/>
      <c r="DO97" s="150"/>
      <c r="DP97" s="150"/>
      <c r="DQ97" s="150"/>
      <c r="DR97" s="150"/>
      <c r="DS97" s="150"/>
      <c r="DT97" s="150"/>
      <c r="DU97" s="150"/>
      <c r="DV97" s="150"/>
      <c r="DW97" s="150"/>
      <c r="DX97" s="150"/>
      <c r="DY97" s="150"/>
      <c r="DZ97" s="150"/>
      <c r="EA97" s="150"/>
      <c r="EB97" s="150"/>
      <c r="EC97" s="150"/>
      <c r="ED97" s="150"/>
      <c r="EE97" s="150"/>
      <c r="EF97" s="150"/>
      <c r="EG97" s="150"/>
      <c r="EH97" s="150"/>
      <c r="EI97" s="150"/>
      <c r="EJ97" s="150"/>
      <c r="EK97" s="150"/>
      <c r="EL97" s="150"/>
      <c r="EM97" s="150"/>
      <c r="EN97" s="150"/>
      <c r="EO97" s="150"/>
      <c r="EP97" s="150"/>
      <c r="EQ97" s="150"/>
      <c r="ER97" s="150"/>
      <c r="ES97" s="150"/>
      <c r="ET97" s="150"/>
      <c r="EU97" s="150"/>
      <c r="EV97" s="150"/>
      <c r="EW97" s="150"/>
      <c r="EX97" s="150"/>
      <c r="EY97" s="150"/>
      <c r="EZ97" s="150"/>
      <c r="FA97" s="150"/>
      <c r="FB97" s="150"/>
      <c r="FC97" s="150"/>
      <c r="FD97" s="150"/>
      <c r="FE97" s="150"/>
      <c r="FF97" s="150"/>
      <c r="FG97" s="150"/>
      <c r="FH97" s="150"/>
      <c r="FI97" s="150"/>
      <c r="FJ97" s="150"/>
      <c r="FK97" s="150"/>
      <c r="FL97" s="150"/>
      <c r="FM97" s="150"/>
      <c r="FN97" s="150"/>
      <c r="FO97" s="150"/>
      <c r="FP97" s="150"/>
      <c r="FQ97" s="150"/>
      <c r="FR97" s="150"/>
      <c r="FS97" s="150"/>
      <c r="FT97" s="150"/>
      <c r="FU97" s="150"/>
      <c r="FV97" s="150"/>
      <c r="FW97" s="150"/>
      <c r="FX97" s="150"/>
      <c r="FY97" s="150"/>
      <c r="FZ97" s="150"/>
      <c r="GA97" s="150"/>
      <c r="GB97" s="150"/>
      <c r="GC97" s="150"/>
      <c r="GD97" s="150"/>
      <c r="GE97" s="150"/>
      <c r="GF97" s="150"/>
      <c r="GG97" s="150"/>
      <c r="GH97" s="150"/>
      <c r="GI97" s="150"/>
      <c r="GJ97" s="150"/>
      <c r="GK97" s="150"/>
      <c r="GL97" s="150"/>
      <c r="GM97" s="150"/>
      <c r="GN97" s="150"/>
      <c r="GO97" s="150"/>
      <c r="GP97" s="150"/>
      <c r="GQ97" s="150"/>
      <c r="GR97" s="150"/>
      <c r="GS97" s="150"/>
      <c r="GT97" s="150"/>
      <c r="GU97" s="150"/>
      <c r="GV97" s="150"/>
      <c r="GW97" s="150"/>
      <c r="GX97" s="150"/>
      <c r="GY97" s="150"/>
      <c r="GZ97" s="150"/>
      <c r="HA97" s="150"/>
      <c r="HB97" s="150"/>
      <c r="HC97" s="150"/>
      <c r="HD97" s="150"/>
      <c r="HE97" s="150"/>
      <c r="HF97" s="150"/>
      <c r="HG97" s="150"/>
      <c r="HH97" s="150"/>
      <c r="HI97" s="150"/>
      <c r="HJ97" s="150"/>
      <c r="HK97" s="150"/>
      <c r="HL97" s="150"/>
      <c r="HM97" s="150"/>
      <c r="HN97" s="150"/>
      <c r="HO97" s="150"/>
      <c r="HP97" s="150"/>
      <c r="HQ97" s="150"/>
      <c r="HR97" s="150"/>
      <c r="HS97" s="150"/>
      <c r="HT97" s="150"/>
      <c r="HU97" s="150"/>
      <c r="HV97" s="150"/>
      <c r="HW97" s="150"/>
      <c r="HX97" s="150"/>
      <c r="HY97" s="150"/>
      <c r="HZ97" s="150"/>
      <c r="IA97" s="150"/>
      <c r="IB97" s="150"/>
      <c r="IC97" s="150"/>
      <c r="ID97" s="150"/>
      <c r="IE97" s="150"/>
      <c r="IF97" s="150"/>
      <c r="IG97" s="150"/>
      <c r="IH97" s="150"/>
      <c r="II97" s="150"/>
      <c r="IJ97" s="150"/>
      <c r="IK97" s="150"/>
      <c r="IL97" s="150"/>
      <c r="IM97" s="150"/>
      <c r="IN97" s="150"/>
      <c r="IO97" s="150"/>
      <c r="IP97" s="150"/>
      <c r="IQ97" s="150"/>
      <c r="IR97" s="150"/>
      <c r="IS97" s="150"/>
      <c r="IT97" s="150"/>
      <c r="IU97" s="150"/>
      <c r="IV97" s="150"/>
      <c r="IW97" s="150"/>
      <c r="IX97" s="150"/>
      <c r="IY97" s="150"/>
      <c r="IZ97" s="150"/>
      <c r="JA97" s="150"/>
      <c r="JB97" s="150"/>
      <c r="JC97" s="150"/>
      <c r="JD97" s="150"/>
      <c r="JE97" s="150"/>
      <c r="JF97" s="150"/>
      <c r="JG97" s="150"/>
      <c r="JH97" s="150"/>
      <c r="JI97" s="150"/>
      <c r="JJ97" s="150"/>
      <c r="JK97" s="150"/>
      <c r="JL97" s="150"/>
      <c r="JM97" s="150"/>
      <c r="JN97" s="150"/>
      <c r="JO97" s="150"/>
      <c r="JP97" s="150"/>
      <c r="JQ97" s="150"/>
      <c r="JR97" s="150"/>
      <c r="JS97" s="150"/>
      <c r="JT97" s="150"/>
      <c r="JU97" s="150"/>
      <c r="JV97" s="150"/>
      <c r="JW97" s="150"/>
      <c r="JX97" s="150"/>
      <c r="JY97" s="150"/>
      <c r="JZ97" s="150"/>
      <c r="KA97" s="150"/>
      <c r="KB97" s="150"/>
      <c r="KC97" s="150"/>
      <c r="KD97" s="150"/>
      <c r="KE97" s="150"/>
      <c r="KF97" s="150"/>
      <c r="KG97" s="150"/>
      <c r="KH97" s="150"/>
      <c r="KI97" s="150"/>
      <c r="KJ97" s="150"/>
      <c r="KK97" s="150"/>
      <c r="KL97" s="150"/>
      <c r="KM97" s="150"/>
      <c r="KN97" s="150"/>
      <c r="KO97" s="150"/>
      <c r="KP97" s="150"/>
      <c r="KQ97" s="150"/>
      <c r="KR97" s="150"/>
      <c r="KS97" s="150"/>
      <c r="KT97" s="150"/>
      <c r="KU97" s="150"/>
      <c r="KV97" s="150"/>
      <c r="KW97" s="150"/>
      <c r="KX97" s="150"/>
      <c r="KY97" s="150"/>
      <c r="KZ97" s="150"/>
      <c r="LA97" s="150"/>
      <c r="LB97" s="150"/>
      <c r="LC97" s="150"/>
      <c r="LD97" s="150"/>
      <c r="LE97" s="150"/>
      <c r="LF97" s="150"/>
      <c r="LG97" s="150"/>
      <c r="LH97" s="150"/>
      <c r="LI97" s="150"/>
      <c r="LJ97" s="150"/>
      <c r="LK97" s="150"/>
      <c r="LL97" s="150"/>
      <c r="LM97" s="150"/>
      <c r="LN97" s="150"/>
      <c r="LO97" s="150"/>
      <c r="LP97" s="150"/>
      <c r="LQ97" s="150"/>
      <c r="LR97" s="150"/>
      <c r="LS97" s="150"/>
      <c r="LT97" s="150"/>
      <c r="LU97" s="150"/>
      <c r="LV97" s="150"/>
      <c r="LW97" s="150"/>
      <c r="LX97" s="150"/>
      <c r="LY97" s="150"/>
      <c r="LZ97" s="150"/>
      <c r="MA97" s="150"/>
      <c r="MB97" s="150"/>
      <c r="MC97" s="150"/>
      <c r="MD97" s="150"/>
      <c r="ME97" s="150"/>
      <c r="MF97" s="150"/>
      <c r="MG97" s="150"/>
      <c r="MH97" s="150"/>
      <c r="MI97" s="150"/>
      <c r="MJ97" s="150"/>
      <c r="MK97" s="150"/>
      <c r="ML97" s="150"/>
      <c r="MM97" s="150"/>
      <c r="MN97" s="150"/>
      <c r="MO97" s="150"/>
      <c r="MP97" s="150"/>
      <c r="MQ97" s="150"/>
      <c r="MR97" s="150"/>
      <c r="MS97" s="150"/>
      <c r="MT97" s="150"/>
      <c r="MU97" s="150"/>
      <c r="MV97" s="150"/>
      <c r="MW97" s="150"/>
      <c r="MX97" s="150"/>
      <c r="MY97" s="150"/>
      <c r="MZ97" s="150"/>
      <c r="NA97" s="150"/>
      <c r="NB97" s="150"/>
      <c r="NC97" s="150"/>
      <c r="ND97" s="150"/>
      <c r="NE97" s="150"/>
      <c r="NF97" s="150"/>
      <c r="NG97" s="150"/>
      <c r="NH97" s="150"/>
      <c r="NI97" s="150"/>
      <c r="NJ97" s="150"/>
      <c r="NK97" s="150"/>
      <c r="NL97" s="150"/>
      <c r="NM97" s="150"/>
      <c r="NN97" s="150"/>
      <c r="NO97" s="150"/>
      <c r="NP97" s="150"/>
      <c r="NQ97" s="150"/>
      <c r="NR97" s="150"/>
      <c r="NS97" s="150"/>
      <c r="NT97" s="150"/>
      <c r="NU97" s="150"/>
      <c r="NV97" s="150"/>
      <c r="NW97" s="150"/>
      <c r="NX97" s="150"/>
      <c r="NY97" s="150"/>
      <c r="NZ97" s="150"/>
      <c r="OA97" s="150"/>
      <c r="OB97" s="150"/>
      <c r="OC97" s="150"/>
      <c r="OD97" s="150"/>
      <c r="OE97" s="150"/>
    </row>
    <row r="98" spans="1:395">
      <c r="A98" s="19"/>
      <c r="B98" s="17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85"/>
      <c r="Q98" s="185"/>
      <c r="R98" s="185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50"/>
      <c r="AF98" s="150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  <c r="BI98" s="150"/>
      <c r="BJ98" s="150"/>
      <c r="BK98" s="150"/>
      <c r="BL98" s="150"/>
      <c r="BM98" s="150"/>
      <c r="BN98" s="150"/>
      <c r="BO98" s="150"/>
      <c r="BP98" s="150"/>
      <c r="BQ98" s="150"/>
      <c r="BR98" s="150"/>
      <c r="BS98" s="150"/>
      <c r="BT98" s="150"/>
      <c r="BU98" s="150"/>
      <c r="BV98" s="150"/>
      <c r="BW98" s="150"/>
      <c r="BX98" s="150"/>
      <c r="BY98" s="150"/>
      <c r="BZ98" s="150"/>
      <c r="CA98" s="150"/>
      <c r="CB98" s="150"/>
      <c r="CC98" s="150"/>
      <c r="CD98" s="150"/>
      <c r="CE98" s="150"/>
      <c r="CF98" s="150"/>
      <c r="CG98" s="150"/>
      <c r="CH98" s="150"/>
      <c r="CI98" s="150"/>
      <c r="CJ98" s="150"/>
      <c r="CK98" s="150"/>
      <c r="CL98" s="150"/>
      <c r="CM98" s="150"/>
      <c r="CN98" s="150"/>
      <c r="CO98" s="150"/>
      <c r="CP98" s="150"/>
      <c r="CQ98" s="150"/>
      <c r="CR98" s="150"/>
      <c r="CS98" s="150"/>
      <c r="CT98" s="150"/>
      <c r="CU98" s="150"/>
      <c r="CV98" s="150"/>
      <c r="CW98" s="150"/>
      <c r="CX98" s="150"/>
      <c r="CY98" s="150"/>
      <c r="CZ98" s="150"/>
      <c r="DA98" s="150"/>
      <c r="DB98" s="150"/>
      <c r="DC98" s="150"/>
      <c r="DD98" s="150"/>
      <c r="DE98" s="150"/>
      <c r="DF98" s="150"/>
      <c r="DG98" s="150"/>
      <c r="DH98" s="150"/>
      <c r="DI98" s="150"/>
      <c r="DJ98" s="150"/>
      <c r="DK98" s="150"/>
      <c r="DL98" s="150"/>
      <c r="DM98" s="150"/>
      <c r="DN98" s="150"/>
      <c r="DO98" s="150"/>
      <c r="DP98" s="150"/>
      <c r="DQ98" s="150"/>
      <c r="DR98" s="150"/>
      <c r="DS98" s="150"/>
      <c r="DT98" s="150"/>
      <c r="DU98" s="150"/>
      <c r="DV98" s="150"/>
      <c r="DW98" s="150"/>
      <c r="DX98" s="150"/>
      <c r="DY98" s="150"/>
      <c r="DZ98" s="150"/>
      <c r="EA98" s="150"/>
      <c r="EB98" s="150"/>
      <c r="EC98" s="150"/>
      <c r="ED98" s="150"/>
      <c r="EE98" s="150"/>
      <c r="EF98" s="150"/>
      <c r="EG98" s="150"/>
      <c r="EH98" s="150"/>
      <c r="EI98" s="150"/>
      <c r="EJ98" s="150"/>
      <c r="EK98" s="150"/>
      <c r="EL98" s="150"/>
      <c r="EM98" s="150"/>
      <c r="EN98" s="150"/>
      <c r="EO98" s="150"/>
      <c r="EP98" s="150"/>
      <c r="EQ98" s="150"/>
      <c r="ER98" s="150"/>
      <c r="ES98" s="150"/>
      <c r="ET98" s="150"/>
      <c r="EU98" s="150"/>
      <c r="EV98" s="150"/>
      <c r="EW98" s="150"/>
      <c r="EX98" s="150"/>
      <c r="EY98" s="150"/>
      <c r="EZ98" s="150"/>
      <c r="FA98" s="150"/>
      <c r="FB98" s="150"/>
      <c r="FC98" s="150"/>
      <c r="FD98" s="150"/>
      <c r="FE98" s="150"/>
      <c r="FF98" s="150"/>
      <c r="FG98" s="150"/>
      <c r="FH98" s="150"/>
      <c r="FI98" s="150"/>
      <c r="FJ98" s="150"/>
      <c r="FK98" s="150"/>
      <c r="FL98" s="150"/>
      <c r="FM98" s="150"/>
      <c r="FN98" s="150"/>
      <c r="FO98" s="150"/>
      <c r="FP98" s="150"/>
      <c r="FQ98" s="150"/>
      <c r="FR98" s="150"/>
      <c r="FS98" s="150"/>
      <c r="FT98" s="150"/>
      <c r="FU98" s="150"/>
      <c r="FV98" s="150"/>
      <c r="FW98" s="150"/>
      <c r="FX98" s="150"/>
      <c r="FY98" s="150"/>
      <c r="FZ98" s="150"/>
      <c r="GA98" s="150"/>
      <c r="GB98" s="150"/>
      <c r="GC98" s="150"/>
      <c r="GD98" s="150"/>
      <c r="GE98" s="150"/>
      <c r="GF98" s="150"/>
      <c r="GG98" s="150"/>
      <c r="GH98" s="150"/>
      <c r="GI98" s="150"/>
      <c r="GJ98" s="150"/>
      <c r="GK98" s="150"/>
      <c r="GL98" s="150"/>
      <c r="GM98" s="150"/>
      <c r="GN98" s="150"/>
      <c r="GO98" s="150"/>
      <c r="GP98" s="150"/>
      <c r="GQ98" s="150"/>
      <c r="GR98" s="150"/>
      <c r="GS98" s="150"/>
      <c r="GT98" s="150"/>
      <c r="GU98" s="150"/>
      <c r="GV98" s="150"/>
      <c r="GW98" s="150"/>
      <c r="GX98" s="150"/>
      <c r="GY98" s="150"/>
      <c r="GZ98" s="150"/>
      <c r="HA98" s="150"/>
      <c r="HB98" s="150"/>
      <c r="HC98" s="150"/>
      <c r="HD98" s="150"/>
      <c r="HE98" s="150"/>
      <c r="HF98" s="150"/>
      <c r="HG98" s="150"/>
      <c r="HH98" s="150"/>
      <c r="HI98" s="150"/>
      <c r="HJ98" s="150"/>
      <c r="HK98" s="150"/>
      <c r="HL98" s="150"/>
      <c r="HM98" s="150"/>
      <c r="HN98" s="150"/>
      <c r="HO98" s="150"/>
      <c r="HP98" s="150"/>
      <c r="HQ98" s="150"/>
      <c r="HR98" s="150"/>
      <c r="HS98" s="150"/>
      <c r="HT98" s="150"/>
      <c r="HU98" s="150"/>
      <c r="HV98" s="150"/>
      <c r="HW98" s="150"/>
      <c r="HX98" s="150"/>
      <c r="HY98" s="150"/>
      <c r="HZ98" s="150"/>
      <c r="IA98" s="150"/>
      <c r="IB98" s="150"/>
      <c r="IC98" s="150"/>
      <c r="ID98" s="150"/>
      <c r="IE98" s="150"/>
      <c r="IF98" s="150"/>
      <c r="IG98" s="150"/>
      <c r="IH98" s="150"/>
      <c r="II98" s="150"/>
      <c r="IJ98" s="150"/>
      <c r="IK98" s="150"/>
      <c r="IL98" s="150"/>
      <c r="IM98" s="150"/>
      <c r="IN98" s="150"/>
      <c r="IO98" s="150"/>
      <c r="IP98" s="150"/>
      <c r="IQ98" s="150"/>
      <c r="IR98" s="150"/>
      <c r="IS98" s="150"/>
      <c r="IT98" s="150"/>
      <c r="IU98" s="150"/>
      <c r="IV98" s="150"/>
      <c r="IW98" s="150"/>
      <c r="IX98" s="150"/>
      <c r="IY98" s="150"/>
      <c r="IZ98" s="150"/>
      <c r="JA98" s="150"/>
      <c r="JB98" s="150"/>
      <c r="JC98" s="150"/>
      <c r="JD98" s="150"/>
      <c r="JE98" s="150"/>
      <c r="JF98" s="150"/>
      <c r="JG98" s="150"/>
      <c r="JH98" s="150"/>
      <c r="JI98" s="150"/>
      <c r="JJ98" s="150"/>
      <c r="JK98" s="150"/>
      <c r="JL98" s="150"/>
      <c r="JM98" s="150"/>
      <c r="JN98" s="150"/>
      <c r="JO98" s="150"/>
      <c r="JP98" s="150"/>
      <c r="JQ98" s="150"/>
      <c r="JR98" s="150"/>
      <c r="JS98" s="150"/>
      <c r="JT98" s="150"/>
      <c r="JU98" s="150"/>
      <c r="JV98" s="150"/>
      <c r="JW98" s="150"/>
      <c r="JX98" s="150"/>
      <c r="JY98" s="150"/>
      <c r="JZ98" s="150"/>
      <c r="KA98" s="150"/>
      <c r="KB98" s="150"/>
      <c r="KC98" s="150"/>
      <c r="KD98" s="150"/>
      <c r="KE98" s="150"/>
      <c r="KF98" s="150"/>
      <c r="KG98" s="150"/>
      <c r="KH98" s="150"/>
      <c r="KI98" s="150"/>
      <c r="KJ98" s="150"/>
      <c r="KK98" s="150"/>
      <c r="KL98" s="150"/>
      <c r="KM98" s="150"/>
      <c r="KN98" s="150"/>
      <c r="KO98" s="150"/>
      <c r="KP98" s="150"/>
      <c r="KQ98" s="150"/>
      <c r="KR98" s="150"/>
      <c r="KS98" s="150"/>
      <c r="KT98" s="150"/>
      <c r="KU98" s="150"/>
      <c r="KV98" s="150"/>
      <c r="KW98" s="150"/>
      <c r="KX98" s="150"/>
      <c r="KY98" s="150"/>
      <c r="KZ98" s="150"/>
      <c r="LA98" s="150"/>
      <c r="LB98" s="150"/>
      <c r="LC98" s="150"/>
      <c r="LD98" s="150"/>
      <c r="LE98" s="150"/>
      <c r="LF98" s="150"/>
      <c r="LG98" s="150"/>
      <c r="LH98" s="150"/>
      <c r="LI98" s="150"/>
      <c r="LJ98" s="150"/>
      <c r="LK98" s="150"/>
      <c r="LL98" s="150"/>
      <c r="LM98" s="150"/>
      <c r="LN98" s="150"/>
      <c r="LO98" s="150"/>
      <c r="LP98" s="150"/>
      <c r="LQ98" s="150"/>
      <c r="LR98" s="150"/>
      <c r="LS98" s="150"/>
      <c r="LT98" s="150"/>
      <c r="LU98" s="150"/>
      <c r="LV98" s="150"/>
      <c r="LW98" s="150"/>
      <c r="LX98" s="150"/>
      <c r="LY98" s="150"/>
      <c r="LZ98" s="150"/>
      <c r="MA98" s="150"/>
      <c r="MB98" s="150"/>
      <c r="MC98" s="150"/>
      <c r="MD98" s="150"/>
      <c r="ME98" s="150"/>
      <c r="MF98" s="150"/>
      <c r="MG98" s="150"/>
      <c r="MH98" s="150"/>
      <c r="MI98" s="150"/>
      <c r="MJ98" s="150"/>
      <c r="MK98" s="150"/>
      <c r="ML98" s="150"/>
      <c r="MM98" s="150"/>
      <c r="MN98" s="150"/>
      <c r="MO98" s="150"/>
      <c r="MP98" s="150"/>
      <c r="MQ98" s="150"/>
      <c r="MR98" s="150"/>
      <c r="MS98" s="150"/>
      <c r="MT98" s="150"/>
      <c r="MU98" s="150"/>
      <c r="MV98" s="150"/>
      <c r="MW98" s="150"/>
      <c r="MX98" s="150"/>
      <c r="MY98" s="150"/>
      <c r="MZ98" s="150"/>
      <c r="NA98" s="150"/>
      <c r="NB98" s="150"/>
      <c r="NC98" s="150"/>
      <c r="ND98" s="150"/>
      <c r="NE98" s="150"/>
      <c r="NF98" s="150"/>
      <c r="NG98" s="150"/>
      <c r="NH98" s="150"/>
      <c r="NI98" s="150"/>
      <c r="NJ98" s="150"/>
      <c r="NK98" s="150"/>
      <c r="NL98" s="150"/>
      <c r="NM98" s="150"/>
      <c r="NN98" s="150"/>
      <c r="NO98" s="150"/>
      <c r="NP98" s="150"/>
      <c r="NQ98" s="150"/>
      <c r="NR98" s="150"/>
      <c r="NS98" s="150"/>
      <c r="NT98" s="150"/>
      <c r="NU98" s="150"/>
      <c r="NV98" s="150"/>
      <c r="NW98" s="150"/>
      <c r="NX98" s="150"/>
      <c r="NY98" s="150"/>
      <c r="NZ98" s="150"/>
      <c r="OA98" s="150"/>
      <c r="OB98" s="150"/>
      <c r="OC98" s="150"/>
      <c r="OD98" s="150"/>
      <c r="OE98" s="150"/>
    </row>
    <row r="99" spans="1:395">
      <c r="A99" s="19"/>
      <c r="B99" s="17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85"/>
      <c r="Q99" s="185"/>
      <c r="R99" s="185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50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  <c r="BI99" s="150"/>
      <c r="BJ99" s="150"/>
      <c r="BK99" s="150"/>
      <c r="BL99" s="150"/>
      <c r="BM99" s="150"/>
      <c r="BN99" s="150"/>
      <c r="BO99" s="150"/>
      <c r="BP99" s="150"/>
      <c r="BQ99" s="150"/>
      <c r="BR99" s="150"/>
      <c r="BS99" s="150"/>
      <c r="BT99" s="150"/>
      <c r="BU99" s="150"/>
      <c r="BV99" s="150"/>
      <c r="BW99" s="150"/>
      <c r="BX99" s="150"/>
      <c r="BY99" s="150"/>
      <c r="BZ99" s="150"/>
      <c r="CA99" s="150"/>
      <c r="CB99" s="150"/>
      <c r="CC99" s="150"/>
      <c r="CD99" s="150"/>
      <c r="CE99" s="150"/>
      <c r="CF99" s="150"/>
      <c r="CG99" s="150"/>
      <c r="CH99" s="150"/>
      <c r="CI99" s="150"/>
      <c r="CJ99" s="150"/>
      <c r="CK99" s="150"/>
      <c r="CL99" s="150"/>
      <c r="CM99" s="150"/>
      <c r="CN99" s="150"/>
      <c r="CO99" s="150"/>
      <c r="CP99" s="150"/>
      <c r="CQ99" s="150"/>
      <c r="CR99" s="150"/>
      <c r="CS99" s="150"/>
      <c r="CT99" s="150"/>
      <c r="CU99" s="150"/>
      <c r="CV99" s="150"/>
      <c r="CW99" s="150"/>
      <c r="CX99" s="150"/>
      <c r="CY99" s="150"/>
      <c r="CZ99" s="150"/>
      <c r="DA99" s="150"/>
      <c r="DB99" s="150"/>
      <c r="DC99" s="150"/>
      <c r="DD99" s="150"/>
      <c r="DE99" s="150"/>
      <c r="DF99" s="150"/>
      <c r="DG99" s="150"/>
      <c r="DH99" s="150"/>
      <c r="DI99" s="150"/>
      <c r="DJ99" s="150"/>
      <c r="DK99" s="150"/>
      <c r="DL99" s="150"/>
      <c r="DM99" s="150"/>
      <c r="DN99" s="150"/>
      <c r="DO99" s="150"/>
      <c r="DP99" s="150"/>
      <c r="DQ99" s="150"/>
      <c r="DR99" s="150"/>
      <c r="DS99" s="150"/>
      <c r="DT99" s="150"/>
      <c r="DU99" s="150"/>
      <c r="DV99" s="150"/>
      <c r="DW99" s="150"/>
      <c r="DX99" s="150"/>
      <c r="DY99" s="150"/>
      <c r="DZ99" s="150"/>
      <c r="EA99" s="150"/>
      <c r="EB99" s="150"/>
      <c r="EC99" s="150"/>
      <c r="ED99" s="150"/>
      <c r="EE99" s="150"/>
      <c r="EF99" s="150"/>
      <c r="EG99" s="150"/>
      <c r="EH99" s="150"/>
      <c r="EI99" s="150"/>
      <c r="EJ99" s="150"/>
      <c r="EK99" s="150"/>
      <c r="EL99" s="150"/>
      <c r="EM99" s="150"/>
      <c r="EN99" s="150"/>
      <c r="EO99" s="150"/>
      <c r="EP99" s="150"/>
      <c r="EQ99" s="150"/>
      <c r="ER99" s="150"/>
      <c r="ES99" s="150"/>
      <c r="ET99" s="150"/>
      <c r="EU99" s="150"/>
      <c r="EV99" s="150"/>
      <c r="EW99" s="150"/>
      <c r="EX99" s="150"/>
      <c r="EY99" s="150"/>
      <c r="EZ99" s="150"/>
      <c r="FA99" s="150"/>
      <c r="FB99" s="150"/>
      <c r="FC99" s="150"/>
      <c r="FD99" s="150"/>
      <c r="FE99" s="150"/>
      <c r="FF99" s="150"/>
      <c r="FG99" s="150"/>
      <c r="FH99" s="150"/>
      <c r="FI99" s="150"/>
      <c r="FJ99" s="150"/>
      <c r="FK99" s="150"/>
      <c r="FL99" s="150"/>
      <c r="FM99" s="150"/>
      <c r="FN99" s="150"/>
      <c r="FO99" s="150"/>
      <c r="FP99" s="150"/>
      <c r="FQ99" s="150"/>
      <c r="FR99" s="150"/>
      <c r="FS99" s="150"/>
      <c r="FT99" s="150"/>
      <c r="FU99" s="150"/>
      <c r="FV99" s="150"/>
      <c r="FW99" s="150"/>
      <c r="FX99" s="150"/>
      <c r="FY99" s="150"/>
      <c r="FZ99" s="150"/>
      <c r="GA99" s="150"/>
      <c r="GB99" s="150"/>
      <c r="GC99" s="150"/>
      <c r="GD99" s="150"/>
      <c r="GE99" s="150"/>
      <c r="GF99" s="150"/>
      <c r="GG99" s="150"/>
      <c r="GH99" s="150"/>
      <c r="GI99" s="150"/>
      <c r="GJ99" s="150"/>
      <c r="GK99" s="150"/>
      <c r="GL99" s="150"/>
      <c r="GM99" s="150"/>
      <c r="GN99" s="150"/>
      <c r="GO99" s="150"/>
      <c r="GP99" s="150"/>
      <c r="GQ99" s="150"/>
      <c r="GR99" s="150"/>
      <c r="GS99" s="150"/>
      <c r="GT99" s="150"/>
      <c r="GU99" s="150"/>
      <c r="GV99" s="150"/>
      <c r="GW99" s="150"/>
      <c r="GX99" s="150"/>
      <c r="GY99" s="150"/>
      <c r="GZ99" s="150"/>
      <c r="HA99" s="150"/>
      <c r="HB99" s="150"/>
      <c r="HC99" s="150"/>
      <c r="HD99" s="150"/>
      <c r="HE99" s="150"/>
      <c r="HF99" s="150"/>
      <c r="HG99" s="150"/>
      <c r="HH99" s="150"/>
      <c r="HI99" s="150"/>
      <c r="HJ99" s="150"/>
      <c r="HK99" s="150"/>
      <c r="HL99" s="150"/>
      <c r="HM99" s="150"/>
      <c r="HN99" s="150"/>
      <c r="HO99" s="150"/>
      <c r="HP99" s="150"/>
      <c r="HQ99" s="150"/>
      <c r="HR99" s="150"/>
      <c r="HS99" s="150"/>
      <c r="HT99" s="150"/>
      <c r="HU99" s="150"/>
      <c r="HV99" s="150"/>
      <c r="HW99" s="150"/>
      <c r="HX99" s="150"/>
      <c r="HY99" s="150"/>
      <c r="HZ99" s="150"/>
      <c r="IA99" s="150"/>
      <c r="IB99" s="150"/>
      <c r="IC99" s="150"/>
      <c r="ID99" s="150"/>
      <c r="IE99" s="150"/>
      <c r="IF99" s="150"/>
      <c r="IG99" s="150"/>
      <c r="IH99" s="150"/>
      <c r="II99" s="150"/>
      <c r="IJ99" s="150"/>
      <c r="IK99" s="150"/>
      <c r="IL99" s="150"/>
      <c r="IM99" s="150"/>
      <c r="IN99" s="150"/>
      <c r="IO99" s="150"/>
      <c r="IP99" s="150"/>
      <c r="IQ99" s="150"/>
      <c r="IR99" s="150"/>
      <c r="IS99" s="150"/>
      <c r="IT99" s="150"/>
      <c r="IU99" s="150"/>
      <c r="IV99" s="150"/>
      <c r="IW99" s="150"/>
      <c r="IX99" s="150"/>
      <c r="IY99" s="150"/>
      <c r="IZ99" s="150"/>
      <c r="JA99" s="150"/>
      <c r="JB99" s="150"/>
      <c r="JC99" s="150"/>
      <c r="JD99" s="150"/>
      <c r="JE99" s="150"/>
      <c r="JF99" s="150"/>
      <c r="JG99" s="150"/>
      <c r="JH99" s="150"/>
      <c r="JI99" s="150"/>
      <c r="JJ99" s="150"/>
      <c r="JK99" s="150"/>
      <c r="JL99" s="150"/>
      <c r="JM99" s="150"/>
      <c r="JN99" s="150"/>
      <c r="JO99" s="150"/>
      <c r="JP99" s="150"/>
      <c r="JQ99" s="150"/>
      <c r="JR99" s="150"/>
      <c r="JS99" s="150"/>
      <c r="JT99" s="150"/>
      <c r="JU99" s="150"/>
      <c r="JV99" s="150"/>
      <c r="JW99" s="150"/>
      <c r="JX99" s="150"/>
      <c r="JY99" s="150"/>
      <c r="JZ99" s="150"/>
      <c r="KA99" s="150"/>
      <c r="KB99" s="150"/>
      <c r="KC99" s="150"/>
      <c r="KD99" s="150"/>
      <c r="KE99" s="150"/>
      <c r="KF99" s="150"/>
      <c r="KG99" s="150"/>
      <c r="KH99" s="150"/>
      <c r="KI99" s="150"/>
      <c r="KJ99" s="150"/>
      <c r="KK99" s="150"/>
      <c r="KL99" s="150"/>
      <c r="KM99" s="150"/>
      <c r="KN99" s="150"/>
      <c r="KO99" s="150"/>
      <c r="KP99" s="150"/>
      <c r="KQ99" s="150"/>
      <c r="KR99" s="150"/>
      <c r="KS99" s="150"/>
      <c r="KT99" s="150"/>
      <c r="KU99" s="150"/>
      <c r="KV99" s="150"/>
      <c r="KW99" s="150"/>
      <c r="KX99" s="150"/>
      <c r="KY99" s="150"/>
      <c r="KZ99" s="150"/>
      <c r="LA99" s="150"/>
      <c r="LB99" s="150"/>
      <c r="LC99" s="150"/>
      <c r="LD99" s="150"/>
      <c r="LE99" s="150"/>
      <c r="LF99" s="150"/>
      <c r="LG99" s="150"/>
      <c r="LH99" s="150"/>
      <c r="LI99" s="150"/>
      <c r="LJ99" s="150"/>
      <c r="LK99" s="150"/>
      <c r="LL99" s="150"/>
      <c r="LM99" s="150"/>
      <c r="LN99" s="150"/>
      <c r="LO99" s="150"/>
      <c r="LP99" s="150"/>
      <c r="LQ99" s="150"/>
      <c r="LR99" s="150"/>
      <c r="LS99" s="150"/>
      <c r="LT99" s="150"/>
      <c r="LU99" s="150"/>
      <c r="LV99" s="150"/>
      <c r="LW99" s="150"/>
      <c r="LX99" s="150"/>
      <c r="LY99" s="150"/>
      <c r="LZ99" s="150"/>
      <c r="MA99" s="150"/>
      <c r="MB99" s="150"/>
      <c r="MC99" s="150"/>
      <c r="MD99" s="150"/>
      <c r="ME99" s="150"/>
      <c r="MF99" s="150"/>
      <c r="MG99" s="150"/>
      <c r="MH99" s="150"/>
      <c r="MI99" s="150"/>
      <c r="MJ99" s="150"/>
      <c r="MK99" s="150"/>
      <c r="ML99" s="150"/>
      <c r="MM99" s="150"/>
      <c r="MN99" s="150"/>
      <c r="MO99" s="150"/>
      <c r="MP99" s="150"/>
      <c r="MQ99" s="150"/>
      <c r="MR99" s="150"/>
      <c r="MS99" s="150"/>
      <c r="MT99" s="150"/>
      <c r="MU99" s="150"/>
      <c r="MV99" s="150"/>
      <c r="MW99" s="150"/>
      <c r="MX99" s="150"/>
      <c r="MY99" s="150"/>
      <c r="MZ99" s="150"/>
      <c r="NA99" s="150"/>
      <c r="NB99" s="150"/>
      <c r="NC99" s="150"/>
      <c r="ND99" s="150"/>
      <c r="NE99" s="150"/>
      <c r="NF99" s="150"/>
      <c r="NG99" s="150"/>
      <c r="NH99" s="150"/>
      <c r="NI99" s="150"/>
      <c r="NJ99" s="150"/>
      <c r="NK99" s="150"/>
      <c r="NL99" s="150"/>
      <c r="NM99" s="150"/>
      <c r="NN99" s="150"/>
      <c r="NO99" s="150"/>
      <c r="NP99" s="150"/>
      <c r="NQ99" s="150"/>
      <c r="NR99" s="150"/>
      <c r="NS99" s="150"/>
      <c r="NT99" s="150"/>
      <c r="NU99" s="150"/>
      <c r="NV99" s="150"/>
      <c r="NW99" s="150"/>
      <c r="NX99" s="150"/>
      <c r="NY99" s="150"/>
      <c r="NZ99" s="150"/>
      <c r="OA99" s="150"/>
      <c r="OB99" s="150"/>
      <c r="OC99" s="150"/>
      <c r="OD99" s="150"/>
      <c r="OE99" s="150"/>
    </row>
    <row r="100" spans="1:395">
      <c r="A100" s="19"/>
      <c r="B100" s="17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85"/>
      <c r="Q100" s="185"/>
      <c r="R100" s="185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  <c r="BI100" s="150"/>
      <c r="BJ100" s="150"/>
      <c r="BK100" s="150"/>
      <c r="BL100" s="150"/>
      <c r="BM100" s="150"/>
      <c r="BN100" s="150"/>
      <c r="BO100" s="150"/>
      <c r="BP100" s="150"/>
      <c r="BQ100" s="150"/>
      <c r="BR100" s="150"/>
      <c r="BS100" s="150"/>
      <c r="BT100" s="150"/>
      <c r="BU100" s="150"/>
      <c r="BV100" s="150"/>
      <c r="BW100" s="150"/>
      <c r="BX100" s="150"/>
      <c r="BY100" s="150"/>
      <c r="BZ100" s="150"/>
      <c r="CA100" s="150"/>
      <c r="CB100" s="150"/>
      <c r="CC100" s="150"/>
      <c r="CD100" s="150"/>
      <c r="CE100" s="150"/>
      <c r="CF100" s="150"/>
      <c r="CG100" s="150"/>
      <c r="CH100" s="150"/>
      <c r="CI100" s="150"/>
      <c r="CJ100" s="150"/>
      <c r="CK100" s="150"/>
      <c r="CL100" s="150"/>
      <c r="CM100" s="150"/>
      <c r="CN100" s="150"/>
      <c r="CO100" s="150"/>
      <c r="CP100" s="150"/>
      <c r="CQ100" s="150"/>
      <c r="CR100" s="150"/>
      <c r="CS100" s="150"/>
      <c r="CT100" s="150"/>
      <c r="CU100" s="150"/>
      <c r="CV100" s="150"/>
      <c r="CW100" s="150"/>
      <c r="CX100" s="150"/>
      <c r="CY100" s="150"/>
      <c r="CZ100" s="150"/>
      <c r="DA100" s="150"/>
      <c r="DB100" s="150"/>
      <c r="DC100" s="150"/>
      <c r="DD100" s="150"/>
      <c r="DE100" s="150"/>
      <c r="DF100" s="150"/>
      <c r="DG100" s="150"/>
      <c r="DH100" s="150"/>
      <c r="DI100" s="150"/>
      <c r="DJ100" s="150"/>
      <c r="DK100" s="150"/>
      <c r="DL100" s="150"/>
      <c r="DM100" s="150"/>
      <c r="DN100" s="150"/>
      <c r="DO100" s="150"/>
      <c r="DP100" s="150"/>
      <c r="DQ100" s="150"/>
      <c r="DR100" s="150"/>
      <c r="DS100" s="150"/>
      <c r="DT100" s="150"/>
      <c r="DU100" s="150"/>
      <c r="DV100" s="150"/>
      <c r="DW100" s="150"/>
      <c r="DX100" s="150"/>
      <c r="DY100" s="150"/>
      <c r="DZ100" s="150"/>
      <c r="EA100" s="150"/>
      <c r="EB100" s="150"/>
      <c r="EC100" s="150"/>
      <c r="ED100" s="150"/>
      <c r="EE100" s="150"/>
      <c r="EF100" s="150"/>
      <c r="EG100" s="150"/>
      <c r="EH100" s="150"/>
      <c r="EI100" s="150"/>
      <c r="EJ100" s="150"/>
      <c r="EK100" s="150"/>
      <c r="EL100" s="150"/>
      <c r="EM100" s="150"/>
      <c r="EN100" s="150"/>
      <c r="EO100" s="150"/>
      <c r="EP100" s="150"/>
      <c r="EQ100" s="150"/>
      <c r="ER100" s="150"/>
      <c r="ES100" s="150"/>
      <c r="ET100" s="150"/>
      <c r="EU100" s="150"/>
      <c r="EV100" s="150"/>
      <c r="EW100" s="150"/>
      <c r="EX100" s="150"/>
      <c r="EY100" s="150"/>
      <c r="EZ100" s="150"/>
      <c r="FA100" s="150"/>
      <c r="FB100" s="150"/>
      <c r="FC100" s="150"/>
      <c r="FD100" s="150"/>
      <c r="FE100" s="150"/>
      <c r="FF100" s="150"/>
      <c r="FG100" s="150"/>
      <c r="FH100" s="150"/>
      <c r="FI100" s="150"/>
      <c r="FJ100" s="150"/>
      <c r="FK100" s="150"/>
      <c r="FL100" s="150"/>
      <c r="FM100" s="150"/>
      <c r="FN100" s="150"/>
      <c r="FO100" s="150"/>
      <c r="FP100" s="150"/>
      <c r="FQ100" s="150"/>
      <c r="FR100" s="150"/>
      <c r="FS100" s="150"/>
      <c r="FT100" s="150"/>
      <c r="FU100" s="150"/>
      <c r="FV100" s="150"/>
      <c r="FW100" s="150"/>
      <c r="FX100" s="150"/>
      <c r="FY100" s="150"/>
      <c r="FZ100" s="150"/>
      <c r="GA100" s="150"/>
      <c r="GB100" s="150"/>
      <c r="GC100" s="150"/>
      <c r="GD100" s="150"/>
      <c r="GE100" s="150"/>
      <c r="GF100" s="150"/>
      <c r="GG100" s="150"/>
      <c r="GH100" s="150"/>
      <c r="GI100" s="150"/>
      <c r="GJ100" s="150"/>
      <c r="GK100" s="150"/>
      <c r="GL100" s="150"/>
      <c r="GM100" s="150"/>
      <c r="GN100" s="150"/>
      <c r="GO100" s="150"/>
      <c r="GP100" s="150"/>
      <c r="GQ100" s="150"/>
      <c r="GR100" s="150"/>
      <c r="GS100" s="150"/>
      <c r="GT100" s="150"/>
      <c r="GU100" s="150"/>
      <c r="GV100" s="150"/>
      <c r="GW100" s="150"/>
      <c r="GX100" s="150"/>
      <c r="GY100" s="150"/>
      <c r="GZ100" s="150"/>
      <c r="HA100" s="150"/>
      <c r="HB100" s="150"/>
      <c r="HC100" s="150"/>
      <c r="HD100" s="150"/>
      <c r="HE100" s="150"/>
      <c r="HF100" s="150"/>
      <c r="HG100" s="150"/>
      <c r="HH100" s="150"/>
      <c r="HI100" s="150"/>
      <c r="HJ100" s="150"/>
      <c r="HK100" s="150"/>
      <c r="HL100" s="150"/>
      <c r="HM100" s="150"/>
      <c r="HN100" s="150"/>
      <c r="HO100" s="150"/>
      <c r="HP100" s="150"/>
      <c r="HQ100" s="150"/>
      <c r="HR100" s="150"/>
      <c r="HS100" s="150"/>
      <c r="HT100" s="150"/>
      <c r="HU100" s="150"/>
      <c r="HV100" s="150"/>
      <c r="HW100" s="150"/>
      <c r="HX100" s="150"/>
      <c r="HY100" s="150"/>
      <c r="HZ100" s="150"/>
      <c r="IA100" s="150"/>
      <c r="IB100" s="150"/>
      <c r="IC100" s="150"/>
      <c r="ID100" s="150"/>
      <c r="IE100" s="150"/>
      <c r="IF100" s="150"/>
      <c r="IG100" s="150"/>
      <c r="IH100" s="150"/>
      <c r="II100" s="150"/>
      <c r="IJ100" s="150"/>
      <c r="IK100" s="150"/>
      <c r="IL100" s="150"/>
      <c r="IM100" s="150"/>
      <c r="IN100" s="150"/>
      <c r="IO100" s="150"/>
      <c r="IP100" s="150"/>
      <c r="IQ100" s="150"/>
      <c r="IR100" s="150"/>
      <c r="IS100" s="150"/>
      <c r="IT100" s="150"/>
      <c r="IU100" s="150"/>
      <c r="IV100" s="150"/>
      <c r="IW100" s="150"/>
      <c r="IX100" s="150"/>
      <c r="IY100" s="150"/>
      <c r="IZ100" s="150"/>
      <c r="JA100" s="150"/>
      <c r="JB100" s="150"/>
      <c r="JC100" s="150"/>
      <c r="JD100" s="150"/>
      <c r="JE100" s="150"/>
      <c r="JF100" s="150"/>
      <c r="JG100" s="150"/>
      <c r="JH100" s="150"/>
      <c r="JI100" s="150"/>
      <c r="JJ100" s="150"/>
      <c r="JK100" s="150"/>
      <c r="JL100" s="150"/>
      <c r="JM100" s="150"/>
      <c r="JN100" s="150"/>
      <c r="JO100" s="150"/>
      <c r="JP100" s="150"/>
      <c r="JQ100" s="150"/>
      <c r="JR100" s="150"/>
      <c r="JS100" s="150"/>
      <c r="JT100" s="150"/>
      <c r="JU100" s="150"/>
      <c r="JV100" s="150"/>
      <c r="JW100" s="150"/>
      <c r="JX100" s="150"/>
      <c r="JY100" s="150"/>
      <c r="JZ100" s="150"/>
      <c r="KA100" s="150"/>
      <c r="KB100" s="150"/>
      <c r="KC100" s="150"/>
      <c r="KD100" s="150"/>
      <c r="KE100" s="150"/>
      <c r="KF100" s="150"/>
      <c r="KG100" s="150"/>
      <c r="KH100" s="150"/>
      <c r="KI100" s="150"/>
      <c r="KJ100" s="150"/>
      <c r="KK100" s="150"/>
      <c r="KL100" s="150"/>
      <c r="KM100" s="150"/>
      <c r="KN100" s="150"/>
      <c r="KO100" s="150"/>
      <c r="KP100" s="150"/>
      <c r="KQ100" s="150"/>
      <c r="KR100" s="150"/>
      <c r="KS100" s="150"/>
      <c r="KT100" s="150"/>
      <c r="KU100" s="150"/>
      <c r="KV100" s="150"/>
      <c r="KW100" s="150"/>
      <c r="KX100" s="150"/>
      <c r="KY100" s="150"/>
      <c r="KZ100" s="150"/>
      <c r="LA100" s="150"/>
      <c r="LB100" s="150"/>
      <c r="LC100" s="150"/>
      <c r="LD100" s="150"/>
      <c r="LE100" s="150"/>
      <c r="LF100" s="150"/>
      <c r="LG100" s="150"/>
      <c r="LH100" s="150"/>
      <c r="LI100" s="150"/>
      <c r="LJ100" s="150"/>
      <c r="LK100" s="150"/>
      <c r="LL100" s="150"/>
      <c r="LM100" s="150"/>
      <c r="LN100" s="150"/>
      <c r="LO100" s="150"/>
      <c r="LP100" s="150"/>
      <c r="LQ100" s="150"/>
      <c r="LR100" s="150"/>
      <c r="LS100" s="150"/>
      <c r="LT100" s="150"/>
      <c r="LU100" s="150"/>
      <c r="LV100" s="150"/>
      <c r="LW100" s="150"/>
      <c r="LX100" s="150"/>
      <c r="LY100" s="150"/>
      <c r="LZ100" s="150"/>
      <c r="MA100" s="150"/>
      <c r="MB100" s="150"/>
      <c r="MC100" s="150"/>
      <c r="MD100" s="150"/>
      <c r="ME100" s="150"/>
      <c r="MF100" s="150"/>
      <c r="MG100" s="150"/>
      <c r="MH100" s="150"/>
      <c r="MI100" s="150"/>
      <c r="MJ100" s="150"/>
      <c r="MK100" s="150"/>
      <c r="ML100" s="150"/>
      <c r="MM100" s="150"/>
      <c r="MN100" s="150"/>
      <c r="MO100" s="150"/>
      <c r="MP100" s="150"/>
      <c r="MQ100" s="150"/>
      <c r="MR100" s="150"/>
      <c r="MS100" s="150"/>
      <c r="MT100" s="150"/>
      <c r="MU100" s="150"/>
      <c r="MV100" s="150"/>
      <c r="MW100" s="150"/>
      <c r="MX100" s="150"/>
      <c r="MY100" s="150"/>
      <c r="MZ100" s="150"/>
      <c r="NA100" s="150"/>
      <c r="NB100" s="150"/>
      <c r="NC100" s="150"/>
      <c r="ND100" s="150"/>
      <c r="NE100" s="150"/>
      <c r="NF100" s="150"/>
      <c r="NG100" s="150"/>
      <c r="NH100" s="150"/>
      <c r="NI100" s="150"/>
      <c r="NJ100" s="150"/>
      <c r="NK100" s="150"/>
      <c r="NL100" s="150"/>
      <c r="NM100" s="150"/>
      <c r="NN100" s="150"/>
      <c r="NO100" s="150"/>
      <c r="NP100" s="150"/>
      <c r="NQ100" s="150"/>
      <c r="NR100" s="150"/>
      <c r="NS100" s="150"/>
      <c r="NT100" s="150"/>
      <c r="NU100" s="150"/>
      <c r="NV100" s="150"/>
      <c r="NW100" s="150"/>
      <c r="NX100" s="150"/>
      <c r="NY100" s="150"/>
      <c r="NZ100" s="150"/>
      <c r="OA100" s="150"/>
      <c r="OB100" s="150"/>
      <c r="OC100" s="150"/>
      <c r="OD100" s="150"/>
      <c r="OE100" s="150"/>
    </row>
    <row r="101" spans="1:395">
      <c r="A101" s="19"/>
      <c r="B101" s="17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85"/>
      <c r="Q101" s="185"/>
      <c r="R101" s="185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  <c r="BM101" s="150"/>
      <c r="BN101" s="150"/>
      <c r="BO101" s="150"/>
      <c r="BP101" s="150"/>
      <c r="BQ101" s="150"/>
      <c r="BR101" s="150"/>
      <c r="BS101" s="150"/>
      <c r="BT101" s="150"/>
      <c r="BU101" s="150"/>
      <c r="BV101" s="150"/>
      <c r="BW101" s="150"/>
      <c r="BX101" s="150"/>
      <c r="BY101" s="150"/>
      <c r="BZ101" s="150"/>
      <c r="CA101" s="150"/>
      <c r="CB101" s="150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  <c r="CM101" s="150"/>
      <c r="CN101" s="150"/>
      <c r="CO101" s="150"/>
      <c r="CP101" s="150"/>
      <c r="CQ101" s="150"/>
      <c r="CR101" s="150"/>
      <c r="CS101" s="150"/>
      <c r="CT101" s="150"/>
      <c r="CU101" s="150"/>
      <c r="CV101" s="150"/>
      <c r="CW101" s="150"/>
      <c r="CX101" s="150"/>
      <c r="CY101" s="150"/>
      <c r="CZ101" s="150"/>
      <c r="DA101" s="150"/>
      <c r="DB101" s="150"/>
      <c r="DC101" s="150"/>
      <c r="DD101" s="150"/>
      <c r="DE101" s="150"/>
      <c r="DF101" s="150"/>
      <c r="DG101" s="150"/>
      <c r="DH101" s="150"/>
      <c r="DI101" s="150"/>
      <c r="DJ101" s="150"/>
      <c r="DK101" s="150"/>
      <c r="DL101" s="150"/>
      <c r="DM101" s="150"/>
      <c r="DN101" s="150"/>
      <c r="DO101" s="150"/>
      <c r="DP101" s="150"/>
      <c r="DQ101" s="150"/>
      <c r="DR101" s="150"/>
      <c r="DS101" s="150"/>
      <c r="DT101" s="150"/>
      <c r="DU101" s="150"/>
      <c r="DV101" s="150"/>
      <c r="DW101" s="150"/>
      <c r="DX101" s="150"/>
      <c r="DY101" s="150"/>
      <c r="DZ101" s="150"/>
      <c r="EA101" s="150"/>
      <c r="EB101" s="150"/>
      <c r="EC101" s="150"/>
      <c r="ED101" s="150"/>
      <c r="EE101" s="150"/>
      <c r="EF101" s="150"/>
      <c r="EG101" s="150"/>
      <c r="EH101" s="150"/>
      <c r="EI101" s="150"/>
      <c r="EJ101" s="150"/>
      <c r="EK101" s="150"/>
      <c r="EL101" s="150"/>
      <c r="EM101" s="150"/>
      <c r="EN101" s="150"/>
      <c r="EO101" s="150"/>
      <c r="EP101" s="150"/>
      <c r="EQ101" s="150"/>
      <c r="ER101" s="150"/>
      <c r="ES101" s="150"/>
      <c r="ET101" s="150"/>
      <c r="EU101" s="150"/>
      <c r="EV101" s="150"/>
      <c r="EW101" s="150"/>
      <c r="EX101" s="150"/>
      <c r="EY101" s="150"/>
      <c r="EZ101" s="150"/>
      <c r="FA101" s="150"/>
      <c r="FB101" s="150"/>
      <c r="FC101" s="150"/>
      <c r="FD101" s="150"/>
      <c r="FE101" s="150"/>
      <c r="FF101" s="150"/>
      <c r="FG101" s="150"/>
      <c r="FH101" s="150"/>
      <c r="FI101" s="150"/>
      <c r="FJ101" s="150"/>
      <c r="FK101" s="150"/>
      <c r="FL101" s="150"/>
      <c r="FM101" s="150"/>
      <c r="FN101" s="150"/>
      <c r="FO101" s="150"/>
      <c r="FP101" s="150"/>
      <c r="FQ101" s="150"/>
      <c r="FR101" s="150"/>
      <c r="FS101" s="150"/>
      <c r="FT101" s="150"/>
      <c r="FU101" s="150"/>
      <c r="FV101" s="150"/>
      <c r="FW101" s="150"/>
      <c r="FX101" s="150"/>
      <c r="FY101" s="150"/>
      <c r="FZ101" s="150"/>
      <c r="GA101" s="150"/>
      <c r="GB101" s="150"/>
      <c r="GC101" s="150"/>
      <c r="GD101" s="150"/>
      <c r="GE101" s="150"/>
      <c r="GF101" s="150"/>
      <c r="GG101" s="150"/>
      <c r="GH101" s="150"/>
      <c r="GI101" s="150"/>
      <c r="GJ101" s="150"/>
      <c r="GK101" s="150"/>
      <c r="GL101" s="150"/>
      <c r="GM101" s="150"/>
      <c r="GN101" s="150"/>
      <c r="GO101" s="150"/>
      <c r="GP101" s="150"/>
      <c r="GQ101" s="150"/>
      <c r="GR101" s="150"/>
      <c r="GS101" s="150"/>
      <c r="GT101" s="150"/>
      <c r="GU101" s="150"/>
      <c r="GV101" s="150"/>
      <c r="GW101" s="150"/>
      <c r="GX101" s="150"/>
      <c r="GY101" s="150"/>
      <c r="GZ101" s="150"/>
      <c r="HA101" s="150"/>
      <c r="HB101" s="150"/>
      <c r="HC101" s="150"/>
      <c r="HD101" s="150"/>
      <c r="HE101" s="150"/>
      <c r="HF101" s="150"/>
      <c r="HG101" s="150"/>
      <c r="HH101" s="150"/>
      <c r="HI101" s="150"/>
      <c r="HJ101" s="150"/>
      <c r="HK101" s="150"/>
      <c r="HL101" s="150"/>
      <c r="HM101" s="150"/>
      <c r="HN101" s="150"/>
      <c r="HO101" s="150"/>
      <c r="HP101" s="150"/>
      <c r="HQ101" s="150"/>
      <c r="HR101" s="150"/>
      <c r="HS101" s="150"/>
      <c r="HT101" s="150"/>
      <c r="HU101" s="150"/>
      <c r="HV101" s="150"/>
      <c r="HW101" s="150"/>
      <c r="HX101" s="150"/>
      <c r="HY101" s="150"/>
      <c r="HZ101" s="150"/>
      <c r="IA101" s="150"/>
      <c r="IB101" s="150"/>
      <c r="IC101" s="150"/>
      <c r="ID101" s="150"/>
      <c r="IE101" s="150"/>
      <c r="IF101" s="150"/>
      <c r="IG101" s="150"/>
      <c r="IH101" s="150"/>
      <c r="II101" s="150"/>
      <c r="IJ101" s="150"/>
      <c r="IK101" s="150"/>
      <c r="IL101" s="150"/>
      <c r="IM101" s="150"/>
      <c r="IN101" s="150"/>
      <c r="IO101" s="150"/>
      <c r="IP101" s="150"/>
      <c r="IQ101" s="150"/>
      <c r="IR101" s="150"/>
      <c r="IS101" s="150"/>
      <c r="IT101" s="150"/>
      <c r="IU101" s="150"/>
      <c r="IV101" s="150"/>
      <c r="IW101" s="150"/>
      <c r="IX101" s="150"/>
      <c r="IY101" s="150"/>
      <c r="IZ101" s="150"/>
      <c r="JA101" s="150"/>
      <c r="JB101" s="150"/>
      <c r="JC101" s="150"/>
      <c r="JD101" s="150"/>
      <c r="JE101" s="150"/>
      <c r="JF101" s="150"/>
      <c r="JG101" s="150"/>
      <c r="JH101" s="150"/>
      <c r="JI101" s="150"/>
      <c r="JJ101" s="150"/>
      <c r="JK101" s="150"/>
      <c r="JL101" s="150"/>
      <c r="JM101" s="150"/>
      <c r="JN101" s="150"/>
      <c r="JO101" s="150"/>
      <c r="JP101" s="150"/>
      <c r="JQ101" s="150"/>
      <c r="JR101" s="150"/>
      <c r="JS101" s="150"/>
      <c r="JT101" s="150"/>
      <c r="JU101" s="150"/>
      <c r="JV101" s="150"/>
      <c r="JW101" s="150"/>
      <c r="JX101" s="150"/>
      <c r="JY101" s="150"/>
      <c r="JZ101" s="150"/>
      <c r="KA101" s="150"/>
      <c r="KB101" s="150"/>
      <c r="KC101" s="150"/>
      <c r="KD101" s="150"/>
      <c r="KE101" s="150"/>
      <c r="KF101" s="150"/>
      <c r="KG101" s="150"/>
      <c r="KH101" s="150"/>
      <c r="KI101" s="150"/>
      <c r="KJ101" s="150"/>
      <c r="KK101" s="150"/>
      <c r="KL101" s="150"/>
      <c r="KM101" s="150"/>
      <c r="KN101" s="150"/>
      <c r="KO101" s="150"/>
      <c r="KP101" s="150"/>
      <c r="KQ101" s="150"/>
      <c r="KR101" s="150"/>
      <c r="KS101" s="150"/>
      <c r="KT101" s="150"/>
      <c r="KU101" s="150"/>
      <c r="KV101" s="150"/>
      <c r="KW101" s="150"/>
      <c r="KX101" s="150"/>
      <c r="KY101" s="150"/>
      <c r="KZ101" s="150"/>
      <c r="LA101" s="150"/>
      <c r="LB101" s="150"/>
      <c r="LC101" s="150"/>
      <c r="LD101" s="150"/>
      <c r="LE101" s="150"/>
      <c r="LF101" s="150"/>
      <c r="LG101" s="150"/>
      <c r="LH101" s="150"/>
      <c r="LI101" s="150"/>
      <c r="LJ101" s="150"/>
      <c r="LK101" s="150"/>
      <c r="LL101" s="150"/>
      <c r="LM101" s="150"/>
      <c r="LN101" s="150"/>
      <c r="LO101" s="150"/>
      <c r="LP101" s="150"/>
      <c r="LQ101" s="150"/>
      <c r="LR101" s="150"/>
      <c r="LS101" s="150"/>
      <c r="LT101" s="150"/>
      <c r="LU101" s="150"/>
      <c r="LV101" s="150"/>
      <c r="LW101" s="150"/>
      <c r="LX101" s="150"/>
      <c r="LY101" s="150"/>
      <c r="LZ101" s="150"/>
      <c r="MA101" s="150"/>
      <c r="MB101" s="150"/>
      <c r="MC101" s="150"/>
      <c r="MD101" s="150"/>
      <c r="ME101" s="150"/>
      <c r="MF101" s="150"/>
      <c r="MG101" s="150"/>
      <c r="MH101" s="150"/>
      <c r="MI101" s="150"/>
      <c r="MJ101" s="150"/>
      <c r="MK101" s="150"/>
      <c r="ML101" s="150"/>
      <c r="MM101" s="150"/>
      <c r="MN101" s="150"/>
      <c r="MO101" s="150"/>
      <c r="MP101" s="150"/>
      <c r="MQ101" s="150"/>
      <c r="MR101" s="150"/>
      <c r="MS101" s="150"/>
      <c r="MT101" s="150"/>
      <c r="MU101" s="150"/>
      <c r="MV101" s="150"/>
      <c r="MW101" s="150"/>
      <c r="MX101" s="150"/>
      <c r="MY101" s="150"/>
      <c r="MZ101" s="150"/>
      <c r="NA101" s="150"/>
      <c r="NB101" s="150"/>
      <c r="NC101" s="150"/>
      <c r="ND101" s="150"/>
      <c r="NE101" s="150"/>
      <c r="NF101" s="150"/>
      <c r="NG101" s="150"/>
      <c r="NH101" s="150"/>
      <c r="NI101" s="150"/>
      <c r="NJ101" s="150"/>
      <c r="NK101" s="150"/>
      <c r="NL101" s="150"/>
      <c r="NM101" s="150"/>
      <c r="NN101" s="150"/>
      <c r="NO101" s="150"/>
      <c r="NP101" s="150"/>
      <c r="NQ101" s="150"/>
      <c r="NR101" s="150"/>
      <c r="NS101" s="150"/>
      <c r="NT101" s="150"/>
      <c r="NU101" s="150"/>
      <c r="NV101" s="150"/>
      <c r="NW101" s="150"/>
      <c r="NX101" s="150"/>
      <c r="NY101" s="150"/>
      <c r="NZ101" s="150"/>
      <c r="OA101" s="150"/>
      <c r="OB101" s="150"/>
      <c r="OC101" s="150"/>
      <c r="OD101" s="150"/>
      <c r="OE101" s="150"/>
    </row>
    <row r="102" spans="1:395">
      <c r="A102" s="19"/>
      <c r="B102" s="17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85"/>
      <c r="Q102" s="185"/>
      <c r="R102" s="185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50"/>
      <c r="AF102" s="150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  <c r="BI102" s="150"/>
      <c r="BJ102" s="150"/>
      <c r="BK102" s="150"/>
      <c r="BL102" s="150"/>
      <c r="BM102" s="150"/>
      <c r="BN102" s="150"/>
      <c r="BO102" s="150"/>
      <c r="BP102" s="150"/>
      <c r="BQ102" s="150"/>
      <c r="BR102" s="150"/>
      <c r="BS102" s="150"/>
      <c r="BT102" s="150"/>
      <c r="BU102" s="150"/>
      <c r="BV102" s="150"/>
      <c r="BW102" s="150"/>
      <c r="BX102" s="150"/>
      <c r="BY102" s="150"/>
      <c r="BZ102" s="150"/>
      <c r="CA102" s="150"/>
      <c r="CB102" s="150"/>
      <c r="CC102" s="150"/>
      <c r="CD102" s="150"/>
      <c r="CE102" s="150"/>
      <c r="CF102" s="150"/>
      <c r="CG102" s="150"/>
      <c r="CH102" s="150"/>
      <c r="CI102" s="150"/>
      <c r="CJ102" s="150"/>
      <c r="CK102" s="150"/>
      <c r="CL102" s="150"/>
      <c r="CM102" s="150"/>
      <c r="CN102" s="150"/>
      <c r="CO102" s="150"/>
      <c r="CP102" s="150"/>
      <c r="CQ102" s="150"/>
      <c r="CR102" s="150"/>
      <c r="CS102" s="150"/>
      <c r="CT102" s="150"/>
      <c r="CU102" s="150"/>
      <c r="CV102" s="150"/>
      <c r="CW102" s="150"/>
      <c r="CX102" s="150"/>
      <c r="CY102" s="150"/>
      <c r="CZ102" s="150"/>
      <c r="DA102" s="150"/>
      <c r="DB102" s="150"/>
      <c r="DC102" s="150"/>
      <c r="DD102" s="150"/>
      <c r="DE102" s="150"/>
      <c r="DF102" s="150"/>
      <c r="DG102" s="150"/>
      <c r="DH102" s="150"/>
      <c r="DI102" s="150"/>
      <c r="DJ102" s="150"/>
      <c r="DK102" s="150"/>
      <c r="DL102" s="150"/>
      <c r="DM102" s="150"/>
      <c r="DN102" s="150"/>
      <c r="DO102" s="150"/>
      <c r="DP102" s="150"/>
      <c r="DQ102" s="150"/>
      <c r="DR102" s="150"/>
      <c r="DS102" s="150"/>
      <c r="DT102" s="150"/>
      <c r="DU102" s="150"/>
      <c r="DV102" s="150"/>
      <c r="DW102" s="150"/>
      <c r="DX102" s="150"/>
      <c r="DY102" s="150"/>
      <c r="DZ102" s="150"/>
      <c r="EA102" s="150"/>
      <c r="EB102" s="150"/>
      <c r="EC102" s="150"/>
      <c r="ED102" s="150"/>
      <c r="EE102" s="150"/>
      <c r="EF102" s="150"/>
      <c r="EG102" s="150"/>
      <c r="EH102" s="150"/>
      <c r="EI102" s="150"/>
      <c r="EJ102" s="150"/>
      <c r="EK102" s="150"/>
      <c r="EL102" s="150"/>
      <c r="EM102" s="150"/>
      <c r="EN102" s="150"/>
      <c r="EO102" s="150"/>
      <c r="EP102" s="150"/>
      <c r="EQ102" s="150"/>
      <c r="ER102" s="150"/>
      <c r="ES102" s="150"/>
      <c r="ET102" s="150"/>
      <c r="EU102" s="150"/>
      <c r="EV102" s="150"/>
      <c r="EW102" s="150"/>
      <c r="EX102" s="150"/>
      <c r="EY102" s="150"/>
      <c r="EZ102" s="150"/>
      <c r="FA102" s="150"/>
      <c r="FB102" s="150"/>
      <c r="FC102" s="150"/>
      <c r="FD102" s="150"/>
      <c r="FE102" s="150"/>
      <c r="FF102" s="150"/>
      <c r="FG102" s="150"/>
      <c r="FH102" s="150"/>
      <c r="FI102" s="150"/>
      <c r="FJ102" s="150"/>
      <c r="FK102" s="150"/>
      <c r="FL102" s="150"/>
      <c r="FM102" s="150"/>
      <c r="FN102" s="150"/>
      <c r="FO102" s="150"/>
      <c r="FP102" s="150"/>
      <c r="FQ102" s="150"/>
      <c r="FR102" s="150"/>
      <c r="FS102" s="150"/>
      <c r="FT102" s="150"/>
      <c r="FU102" s="150"/>
      <c r="FV102" s="150"/>
      <c r="FW102" s="150"/>
      <c r="FX102" s="150"/>
      <c r="FY102" s="150"/>
      <c r="FZ102" s="150"/>
      <c r="GA102" s="150"/>
      <c r="GB102" s="150"/>
      <c r="GC102" s="150"/>
      <c r="GD102" s="150"/>
      <c r="GE102" s="150"/>
      <c r="GF102" s="150"/>
      <c r="GG102" s="150"/>
      <c r="GH102" s="150"/>
      <c r="GI102" s="150"/>
      <c r="GJ102" s="150"/>
      <c r="GK102" s="150"/>
      <c r="GL102" s="150"/>
      <c r="GM102" s="150"/>
      <c r="GN102" s="150"/>
      <c r="GO102" s="150"/>
      <c r="GP102" s="150"/>
      <c r="GQ102" s="150"/>
      <c r="GR102" s="150"/>
      <c r="GS102" s="150"/>
      <c r="GT102" s="150"/>
      <c r="GU102" s="150"/>
      <c r="GV102" s="150"/>
      <c r="GW102" s="150"/>
      <c r="GX102" s="150"/>
      <c r="GY102" s="150"/>
      <c r="GZ102" s="150"/>
      <c r="HA102" s="150"/>
      <c r="HB102" s="150"/>
      <c r="HC102" s="150"/>
      <c r="HD102" s="150"/>
      <c r="HE102" s="150"/>
      <c r="HF102" s="150"/>
      <c r="HG102" s="150"/>
      <c r="HH102" s="150"/>
      <c r="HI102" s="150"/>
      <c r="HJ102" s="150"/>
      <c r="HK102" s="150"/>
      <c r="HL102" s="150"/>
      <c r="HM102" s="150"/>
      <c r="HN102" s="150"/>
      <c r="HO102" s="150"/>
      <c r="HP102" s="150"/>
      <c r="HQ102" s="150"/>
      <c r="HR102" s="150"/>
      <c r="HS102" s="150"/>
      <c r="HT102" s="150"/>
      <c r="HU102" s="150"/>
      <c r="HV102" s="150"/>
      <c r="HW102" s="150"/>
      <c r="HX102" s="150"/>
      <c r="HY102" s="150"/>
      <c r="HZ102" s="150"/>
      <c r="IA102" s="150"/>
      <c r="IB102" s="150"/>
      <c r="IC102" s="150"/>
      <c r="ID102" s="150"/>
      <c r="IE102" s="150"/>
      <c r="IF102" s="150"/>
      <c r="IG102" s="150"/>
      <c r="IH102" s="150"/>
      <c r="II102" s="150"/>
      <c r="IJ102" s="150"/>
      <c r="IK102" s="150"/>
      <c r="IL102" s="150"/>
      <c r="IM102" s="150"/>
      <c r="IN102" s="150"/>
      <c r="IO102" s="150"/>
      <c r="IP102" s="150"/>
      <c r="IQ102" s="150"/>
      <c r="IR102" s="150"/>
      <c r="IS102" s="150"/>
      <c r="IT102" s="150"/>
      <c r="IU102" s="150"/>
      <c r="IV102" s="150"/>
      <c r="IW102" s="150"/>
      <c r="IX102" s="150"/>
      <c r="IY102" s="150"/>
      <c r="IZ102" s="150"/>
      <c r="JA102" s="150"/>
      <c r="JB102" s="150"/>
      <c r="JC102" s="150"/>
      <c r="JD102" s="150"/>
      <c r="JE102" s="150"/>
      <c r="JF102" s="150"/>
      <c r="JG102" s="150"/>
      <c r="JH102" s="150"/>
      <c r="JI102" s="150"/>
      <c r="JJ102" s="150"/>
      <c r="JK102" s="150"/>
      <c r="JL102" s="150"/>
      <c r="JM102" s="150"/>
      <c r="JN102" s="150"/>
      <c r="JO102" s="150"/>
      <c r="JP102" s="150"/>
      <c r="JQ102" s="150"/>
      <c r="JR102" s="150"/>
      <c r="JS102" s="150"/>
      <c r="JT102" s="150"/>
      <c r="JU102" s="150"/>
      <c r="JV102" s="150"/>
      <c r="JW102" s="150"/>
      <c r="JX102" s="150"/>
      <c r="JY102" s="150"/>
      <c r="JZ102" s="150"/>
      <c r="KA102" s="150"/>
      <c r="KB102" s="150"/>
      <c r="KC102" s="150"/>
      <c r="KD102" s="150"/>
      <c r="KE102" s="150"/>
      <c r="KF102" s="150"/>
      <c r="KG102" s="150"/>
      <c r="KH102" s="150"/>
      <c r="KI102" s="150"/>
      <c r="KJ102" s="150"/>
      <c r="KK102" s="150"/>
      <c r="KL102" s="150"/>
      <c r="KM102" s="150"/>
      <c r="KN102" s="150"/>
      <c r="KO102" s="150"/>
      <c r="KP102" s="150"/>
      <c r="KQ102" s="150"/>
      <c r="KR102" s="150"/>
      <c r="KS102" s="150"/>
      <c r="KT102" s="150"/>
      <c r="KU102" s="150"/>
      <c r="KV102" s="150"/>
      <c r="KW102" s="150"/>
      <c r="KX102" s="150"/>
      <c r="KY102" s="150"/>
      <c r="KZ102" s="150"/>
      <c r="LA102" s="150"/>
      <c r="LB102" s="150"/>
      <c r="LC102" s="150"/>
      <c r="LD102" s="150"/>
      <c r="LE102" s="150"/>
      <c r="LF102" s="150"/>
      <c r="LG102" s="150"/>
      <c r="LH102" s="150"/>
      <c r="LI102" s="150"/>
      <c r="LJ102" s="150"/>
      <c r="LK102" s="150"/>
      <c r="LL102" s="150"/>
      <c r="LM102" s="150"/>
      <c r="LN102" s="150"/>
      <c r="LO102" s="150"/>
      <c r="LP102" s="150"/>
      <c r="LQ102" s="150"/>
      <c r="LR102" s="150"/>
      <c r="LS102" s="150"/>
      <c r="LT102" s="150"/>
      <c r="LU102" s="150"/>
      <c r="LV102" s="150"/>
      <c r="LW102" s="150"/>
      <c r="LX102" s="150"/>
      <c r="LY102" s="150"/>
      <c r="LZ102" s="150"/>
      <c r="MA102" s="150"/>
      <c r="MB102" s="150"/>
      <c r="MC102" s="150"/>
      <c r="MD102" s="150"/>
      <c r="ME102" s="150"/>
      <c r="MF102" s="150"/>
      <c r="MG102" s="150"/>
      <c r="MH102" s="150"/>
      <c r="MI102" s="150"/>
      <c r="MJ102" s="150"/>
      <c r="MK102" s="150"/>
      <c r="ML102" s="150"/>
      <c r="MM102" s="150"/>
      <c r="MN102" s="150"/>
      <c r="MO102" s="150"/>
      <c r="MP102" s="150"/>
      <c r="MQ102" s="150"/>
      <c r="MR102" s="150"/>
      <c r="MS102" s="150"/>
      <c r="MT102" s="150"/>
      <c r="MU102" s="150"/>
      <c r="MV102" s="150"/>
      <c r="MW102" s="150"/>
      <c r="MX102" s="150"/>
      <c r="MY102" s="150"/>
      <c r="MZ102" s="150"/>
      <c r="NA102" s="150"/>
      <c r="NB102" s="150"/>
      <c r="NC102" s="150"/>
      <c r="ND102" s="150"/>
      <c r="NE102" s="150"/>
      <c r="NF102" s="150"/>
      <c r="NG102" s="150"/>
      <c r="NH102" s="150"/>
      <c r="NI102" s="150"/>
      <c r="NJ102" s="150"/>
      <c r="NK102" s="150"/>
      <c r="NL102" s="150"/>
      <c r="NM102" s="150"/>
      <c r="NN102" s="150"/>
      <c r="NO102" s="150"/>
      <c r="NP102" s="150"/>
      <c r="NQ102" s="150"/>
      <c r="NR102" s="150"/>
      <c r="NS102" s="150"/>
      <c r="NT102" s="150"/>
      <c r="NU102" s="150"/>
      <c r="NV102" s="150"/>
      <c r="NW102" s="150"/>
      <c r="NX102" s="150"/>
      <c r="NY102" s="150"/>
      <c r="NZ102" s="150"/>
      <c r="OA102" s="150"/>
      <c r="OB102" s="150"/>
      <c r="OC102" s="150"/>
      <c r="OD102" s="150"/>
      <c r="OE102" s="150"/>
    </row>
    <row r="103" spans="1:395">
      <c r="A103" s="19"/>
      <c r="B103" s="17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85"/>
      <c r="Q103" s="185"/>
      <c r="R103" s="185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50"/>
      <c r="AF103" s="150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  <c r="BI103" s="150"/>
      <c r="BJ103" s="150"/>
      <c r="BK103" s="150"/>
      <c r="BL103" s="150"/>
      <c r="BM103" s="150"/>
      <c r="BN103" s="150"/>
      <c r="BO103" s="150"/>
      <c r="BP103" s="150"/>
      <c r="BQ103" s="150"/>
      <c r="BR103" s="150"/>
      <c r="BS103" s="150"/>
      <c r="BT103" s="150"/>
      <c r="BU103" s="150"/>
      <c r="BV103" s="150"/>
      <c r="BW103" s="150"/>
      <c r="BX103" s="150"/>
      <c r="BY103" s="150"/>
      <c r="BZ103" s="150"/>
      <c r="CA103" s="150"/>
      <c r="CB103" s="150"/>
      <c r="CC103" s="150"/>
      <c r="CD103" s="150"/>
      <c r="CE103" s="150"/>
      <c r="CF103" s="150"/>
      <c r="CG103" s="150"/>
      <c r="CH103" s="150"/>
      <c r="CI103" s="150"/>
      <c r="CJ103" s="150"/>
      <c r="CK103" s="150"/>
      <c r="CL103" s="150"/>
      <c r="CM103" s="150"/>
      <c r="CN103" s="150"/>
      <c r="CO103" s="150"/>
      <c r="CP103" s="150"/>
      <c r="CQ103" s="150"/>
      <c r="CR103" s="150"/>
      <c r="CS103" s="150"/>
      <c r="CT103" s="150"/>
      <c r="CU103" s="150"/>
      <c r="CV103" s="150"/>
      <c r="CW103" s="150"/>
      <c r="CX103" s="150"/>
      <c r="CY103" s="150"/>
      <c r="CZ103" s="150"/>
      <c r="DA103" s="150"/>
      <c r="DB103" s="150"/>
      <c r="DC103" s="150"/>
      <c r="DD103" s="150"/>
      <c r="DE103" s="150"/>
      <c r="DF103" s="150"/>
      <c r="DG103" s="150"/>
      <c r="DH103" s="150"/>
      <c r="DI103" s="150"/>
      <c r="DJ103" s="150"/>
      <c r="DK103" s="150"/>
      <c r="DL103" s="150"/>
      <c r="DM103" s="150"/>
      <c r="DN103" s="150"/>
      <c r="DO103" s="150"/>
      <c r="DP103" s="150"/>
      <c r="DQ103" s="150"/>
      <c r="DR103" s="150"/>
      <c r="DS103" s="150"/>
      <c r="DT103" s="150"/>
      <c r="DU103" s="150"/>
      <c r="DV103" s="150"/>
      <c r="DW103" s="150"/>
      <c r="DX103" s="150"/>
      <c r="DY103" s="150"/>
      <c r="DZ103" s="150"/>
      <c r="EA103" s="150"/>
      <c r="EB103" s="150"/>
      <c r="EC103" s="150"/>
      <c r="ED103" s="150"/>
      <c r="EE103" s="150"/>
      <c r="EF103" s="150"/>
      <c r="EG103" s="150"/>
      <c r="EH103" s="150"/>
      <c r="EI103" s="150"/>
      <c r="EJ103" s="150"/>
      <c r="EK103" s="150"/>
      <c r="EL103" s="150"/>
      <c r="EM103" s="150"/>
      <c r="EN103" s="150"/>
      <c r="EO103" s="150"/>
      <c r="EP103" s="150"/>
      <c r="EQ103" s="150"/>
      <c r="ER103" s="150"/>
      <c r="ES103" s="150"/>
      <c r="ET103" s="150"/>
      <c r="EU103" s="150"/>
      <c r="EV103" s="150"/>
      <c r="EW103" s="150"/>
      <c r="EX103" s="150"/>
      <c r="EY103" s="150"/>
      <c r="EZ103" s="150"/>
      <c r="FA103" s="150"/>
      <c r="FB103" s="150"/>
      <c r="FC103" s="150"/>
      <c r="FD103" s="150"/>
      <c r="FE103" s="150"/>
      <c r="FF103" s="150"/>
      <c r="FG103" s="150"/>
      <c r="FH103" s="150"/>
      <c r="FI103" s="150"/>
      <c r="FJ103" s="150"/>
      <c r="FK103" s="150"/>
      <c r="FL103" s="150"/>
      <c r="FM103" s="150"/>
      <c r="FN103" s="150"/>
      <c r="FO103" s="150"/>
      <c r="FP103" s="150"/>
      <c r="FQ103" s="150"/>
      <c r="FR103" s="150"/>
      <c r="FS103" s="150"/>
      <c r="FT103" s="150"/>
      <c r="FU103" s="150"/>
      <c r="FV103" s="150"/>
      <c r="FW103" s="150"/>
      <c r="FX103" s="150"/>
      <c r="FY103" s="150"/>
      <c r="FZ103" s="150"/>
      <c r="GA103" s="150"/>
      <c r="GB103" s="150"/>
      <c r="GC103" s="150"/>
      <c r="GD103" s="150"/>
      <c r="GE103" s="150"/>
      <c r="GF103" s="150"/>
      <c r="GG103" s="150"/>
      <c r="GH103" s="150"/>
      <c r="GI103" s="150"/>
      <c r="GJ103" s="150"/>
      <c r="GK103" s="150"/>
      <c r="GL103" s="150"/>
      <c r="GM103" s="150"/>
      <c r="GN103" s="150"/>
      <c r="GO103" s="150"/>
      <c r="GP103" s="150"/>
      <c r="GQ103" s="150"/>
      <c r="GR103" s="150"/>
      <c r="GS103" s="150"/>
      <c r="GT103" s="150"/>
      <c r="GU103" s="150"/>
      <c r="GV103" s="150"/>
      <c r="GW103" s="150"/>
      <c r="GX103" s="150"/>
      <c r="GY103" s="150"/>
      <c r="GZ103" s="150"/>
      <c r="HA103" s="150"/>
      <c r="HB103" s="150"/>
      <c r="HC103" s="150"/>
      <c r="HD103" s="150"/>
      <c r="HE103" s="150"/>
      <c r="HF103" s="150"/>
      <c r="HG103" s="150"/>
      <c r="HH103" s="150"/>
      <c r="HI103" s="150"/>
      <c r="HJ103" s="150"/>
      <c r="HK103" s="150"/>
      <c r="HL103" s="150"/>
      <c r="HM103" s="150"/>
      <c r="HN103" s="150"/>
      <c r="HO103" s="150"/>
      <c r="HP103" s="150"/>
      <c r="HQ103" s="150"/>
      <c r="HR103" s="150"/>
      <c r="HS103" s="150"/>
      <c r="HT103" s="150"/>
      <c r="HU103" s="150"/>
      <c r="HV103" s="150"/>
      <c r="HW103" s="150"/>
      <c r="HX103" s="150"/>
      <c r="HY103" s="150"/>
      <c r="HZ103" s="150"/>
      <c r="IA103" s="150"/>
      <c r="IB103" s="150"/>
      <c r="IC103" s="150"/>
      <c r="ID103" s="150"/>
      <c r="IE103" s="150"/>
      <c r="IF103" s="150"/>
      <c r="IG103" s="150"/>
      <c r="IH103" s="150"/>
      <c r="II103" s="150"/>
      <c r="IJ103" s="150"/>
      <c r="IK103" s="150"/>
      <c r="IL103" s="150"/>
      <c r="IM103" s="150"/>
      <c r="IN103" s="150"/>
      <c r="IO103" s="150"/>
      <c r="IP103" s="150"/>
      <c r="IQ103" s="150"/>
      <c r="IR103" s="150"/>
      <c r="IS103" s="150"/>
      <c r="IT103" s="150"/>
      <c r="IU103" s="150"/>
      <c r="IV103" s="150"/>
      <c r="IW103" s="150"/>
      <c r="IX103" s="150"/>
      <c r="IY103" s="150"/>
      <c r="IZ103" s="150"/>
      <c r="JA103" s="150"/>
      <c r="JB103" s="150"/>
      <c r="JC103" s="150"/>
      <c r="JD103" s="150"/>
      <c r="JE103" s="150"/>
      <c r="JF103" s="150"/>
      <c r="JG103" s="150"/>
      <c r="JH103" s="150"/>
      <c r="JI103" s="150"/>
      <c r="JJ103" s="150"/>
      <c r="JK103" s="150"/>
      <c r="JL103" s="150"/>
      <c r="JM103" s="150"/>
      <c r="JN103" s="150"/>
      <c r="JO103" s="150"/>
      <c r="JP103" s="150"/>
      <c r="JQ103" s="150"/>
      <c r="JR103" s="150"/>
      <c r="JS103" s="150"/>
      <c r="JT103" s="150"/>
      <c r="JU103" s="150"/>
      <c r="JV103" s="150"/>
      <c r="JW103" s="150"/>
      <c r="JX103" s="150"/>
      <c r="JY103" s="150"/>
      <c r="JZ103" s="150"/>
      <c r="KA103" s="150"/>
      <c r="KB103" s="150"/>
      <c r="KC103" s="150"/>
      <c r="KD103" s="150"/>
      <c r="KE103" s="150"/>
      <c r="KF103" s="150"/>
      <c r="KG103" s="150"/>
      <c r="KH103" s="150"/>
      <c r="KI103" s="150"/>
      <c r="KJ103" s="150"/>
      <c r="KK103" s="150"/>
      <c r="KL103" s="150"/>
      <c r="KM103" s="150"/>
      <c r="KN103" s="150"/>
      <c r="KO103" s="150"/>
      <c r="KP103" s="150"/>
      <c r="KQ103" s="150"/>
      <c r="KR103" s="150"/>
      <c r="KS103" s="150"/>
      <c r="KT103" s="150"/>
      <c r="KU103" s="150"/>
      <c r="KV103" s="150"/>
      <c r="KW103" s="150"/>
      <c r="KX103" s="150"/>
      <c r="KY103" s="150"/>
      <c r="KZ103" s="150"/>
      <c r="LA103" s="150"/>
      <c r="LB103" s="150"/>
      <c r="LC103" s="150"/>
      <c r="LD103" s="150"/>
      <c r="LE103" s="150"/>
      <c r="LF103" s="150"/>
      <c r="LG103" s="150"/>
      <c r="LH103" s="150"/>
      <c r="LI103" s="150"/>
      <c r="LJ103" s="150"/>
      <c r="LK103" s="150"/>
      <c r="LL103" s="150"/>
      <c r="LM103" s="150"/>
      <c r="LN103" s="150"/>
      <c r="LO103" s="150"/>
      <c r="LP103" s="150"/>
      <c r="LQ103" s="150"/>
      <c r="LR103" s="150"/>
      <c r="LS103" s="150"/>
      <c r="LT103" s="150"/>
      <c r="LU103" s="150"/>
      <c r="LV103" s="150"/>
      <c r="LW103" s="150"/>
      <c r="LX103" s="150"/>
      <c r="LY103" s="150"/>
      <c r="LZ103" s="150"/>
      <c r="MA103" s="150"/>
      <c r="MB103" s="150"/>
      <c r="MC103" s="150"/>
      <c r="MD103" s="150"/>
      <c r="ME103" s="150"/>
      <c r="MF103" s="150"/>
      <c r="MG103" s="150"/>
      <c r="MH103" s="150"/>
      <c r="MI103" s="150"/>
      <c r="MJ103" s="150"/>
      <c r="MK103" s="150"/>
      <c r="ML103" s="150"/>
      <c r="MM103" s="150"/>
      <c r="MN103" s="150"/>
      <c r="MO103" s="150"/>
      <c r="MP103" s="150"/>
      <c r="MQ103" s="150"/>
      <c r="MR103" s="150"/>
      <c r="MS103" s="150"/>
      <c r="MT103" s="150"/>
      <c r="MU103" s="150"/>
      <c r="MV103" s="150"/>
      <c r="MW103" s="150"/>
      <c r="MX103" s="150"/>
      <c r="MY103" s="150"/>
      <c r="MZ103" s="150"/>
      <c r="NA103" s="150"/>
      <c r="NB103" s="150"/>
      <c r="NC103" s="150"/>
      <c r="ND103" s="150"/>
      <c r="NE103" s="150"/>
      <c r="NF103" s="150"/>
      <c r="NG103" s="150"/>
      <c r="NH103" s="150"/>
      <c r="NI103" s="150"/>
      <c r="NJ103" s="150"/>
      <c r="NK103" s="150"/>
      <c r="NL103" s="150"/>
      <c r="NM103" s="150"/>
      <c r="NN103" s="150"/>
      <c r="NO103" s="150"/>
      <c r="NP103" s="150"/>
      <c r="NQ103" s="150"/>
      <c r="NR103" s="150"/>
      <c r="NS103" s="150"/>
      <c r="NT103" s="150"/>
      <c r="NU103" s="150"/>
      <c r="NV103" s="150"/>
      <c r="NW103" s="150"/>
      <c r="NX103" s="150"/>
      <c r="NY103" s="150"/>
      <c r="NZ103" s="150"/>
      <c r="OA103" s="150"/>
      <c r="OB103" s="150"/>
      <c r="OC103" s="150"/>
      <c r="OD103" s="150"/>
      <c r="OE103" s="150"/>
    </row>
    <row r="104" spans="1:395">
      <c r="A104" s="19"/>
      <c r="B104" s="17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0"/>
      <c r="DT104" s="150"/>
      <c r="DU104" s="150"/>
      <c r="DV104" s="150"/>
      <c r="DW104" s="150"/>
      <c r="DX104" s="150"/>
      <c r="DY104" s="150"/>
      <c r="DZ104" s="150"/>
      <c r="EA104" s="150"/>
      <c r="EB104" s="150"/>
      <c r="EC104" s="150"/>
      <c r="ED104" s="150"/>
      <c r="EE104" s="150"/>
      <c r="EF104" s="150"/>
      <c r="EG104" s="150"/>
      <c r="EH104" s="150"/>
      <c r="EI104" s="150"/>
      <c r="EJ104" s="150"/>
      <c r="EK104" s="150"/>
      <c r="EL104" s="150"/>
      <c r="EM104" s="150"/>
      <c r="EN104" s="150"/>
      <c r="EO104" s="150"/>
      <c r="EP104" s="150"/>
      <c r="EQ104" s="150"/>
      <c r="ER104" s="150"/>
      <c r="ES104" s="150"/>
      <c r="ET104" s="150"/>
      <c r="EU104" s="150"/>
      <c r="EV104" s="150"/>
      <c r="EW104" s="150"/>
      <c r="EX104" s="150"/>
      <c r="EY104" s="150"/>
      <c r="EZ104" s="150"/>
      <c r="FA104" s="150"/>
      <c r="FB104" s="150"/>
      <c r="FC104" s="150"/>
      <c r="FD104" s="150"/>
      <c r="FE104" s="150"/>
      <c r="FF104" s="150"/>
      <c r="FG104" s="150"/>
      <c r="FH104" s="150"/>
      <c r="FI104" s="150"/>
      <c r="FJ104" s="150"/>
      <c r="FK104" s="150"/>
      <c r="FL104" s="150"/>
      <c r="FM104" s="150"/>
      <c r="FN104" s="150"/>
      <c r="FO104" s="150"/>
      <c r="FP104" s="150"/>
      <c r="FQ104" s="150"/>
      <c r="FR104" s="150"/>
      <c r="FS104" s="150"/>
      <c r="FT104" s="150"/>
      <c r="FU104" s="150"/>
      <c r="FV104" s="150"/>
      <c r="FW104" s="150"/>
      <c r="FX104" s="150"/>
      <c r="FY104" s="150"/>
      <c r="FZ104" s="150"/>
      <c r="GA104" s="150"/>
      <c r="GB104" s="150"/>
      <c r="GC104" s="150"/>
      <c r="GD104" s="150"/>
      <c r="GE104" s="150"/>
      <c r="GF104" s="150"/>
      <c r="GG104" s="150"/>
      <c r="GH104" s="150"/>
      <c r="GI104" s="150"/>
      <c r="GJ104" s="150"/>
      <c r="GK104" s="150"/>
      <c r="GL104" s="150"/>
      <c r="GM104" s="150"/>
      <c r="GN104" s="150"/>
      <c r="GO104" s="150"/>
      <c r="GP104" s="150"/>
      <c r="GQ104" s="150"/>
      <c r="GR104" s="150"/>
      <c r="GS104" s="150"/>
      <c r="GT104" s="150"/>
      <c r="GU104" s="150"/>
      <c r="GV104" s="150"/>
      <c r="GW104" s="150"/>
      <c r="GX104" s="150"/>
      <c r="GY104" s="150"/>
      <c r="GZ104" s="150"/>
      <c r="HA104" s="150"/>
      <c r="HB104" s="150"/>
      <c r="HC104" s="150"/>
      <c r="HD104" s="150"/>
      <c r="HE104" s="150"/>
      <c r="HF104" s="150"/>
      <c r="HG104" s="150"/>
      <c r="HH104" s="150"/>
      <c r="HI104" s="150"/>
      <c r="HJ104" s="150"/>
      <c r="HK104" s="150"/>
      <c r="HL104" s="150"/>
      <c r="HM104" s="150"/>
      <c r="HN104" s="150"/>
      <c r="HO104" s="150"/>
      <c r="HP104" s="150"/>
      <c r="HQ104" s="150"/>
      <c r="HR104" s="150"/>
      <c r="HS104" s="150"/>
      <c r="HT104" s="150"/>
      <c r="HU104" s="150"/>
      <c r="HV104" s="150"/>
      <c r="HW104" s="150"/>
      <c r="HX104" s="150"/>
      <c r="HY104" s="150"/>
      <c r="HZ104" s="150"/>
      <c r="IA104" s="150"/>
      <c r="IB104" s="150"/>
      <c r="IC104" s="150"/>
      <c r="ID104" s="150"/>
      <c r="IE104" s="150"/>
      <c r="IF104" s="150"/>
      <c r="IG104" s="150"/>
      <c r="IH104" s="150"/>
      <c r="II104" s="150"/>
      <c r="IJ104" s="150"/>
      <c r="IK104" s="150"/>
      <c r="IL104" s="150"/>
      <c r="IM104" s="150"/>
      <c r="IN104" s="150"/>
      <c r="IO104" s="150"/>
      <c r="IP104" s="150"/>
      <c r="IQ104" s="150"/>
      <c r="IR104" s="150"/>
      <c r="IS104" s="150"/>
      <c r="IT104" s="150"/>
      <c r="IU104" s="150"/>
      <c r="IV104" s="150"/>
      <c r="IW104" s="150"/>
      <c r="IX104" s="150"/>
      <c r="IY104" s="150"/>
      <c r="IZ104" s="150"/>
      <c r="JA104" s="150"/>
      <c r="JB104" s="150"/>
      <c r="JC104" s="150"/>
      <c r="JD104" s="150"/>
      <c r="JE104" s="150"/>
      <c r="JF104" s="150"/>
      <c r="JG104" s="150"/>
      <c r="JH104" s="150"/>
      <c r="JI104" s="150"/>
      <c r="JJ104" s="150"/>
      <c r="JK104" s="150"/>
      <c r="JL104" s="150"/>
      <c r="JM104" s="150"/>
      <c r="JN104" s="150"/>
      <c r="JO104" s="150"/>
      <c r="JP104" s="150"/>
      <c r="JQ104" s="150"/>
      <c r="JR104" s="150"/>
      <c r="JS104" s="150"/>
      <c r="JT104" s="150"/>
      <c r="JU104" s="150"/>
      <c r="JV104" s="150"/>
      <c r="JW104" s="150"/>
      <c r="JX104" s="150"/>
      <c r="JY104" s="150"/>
      <c r="JZ104" s="150"/>
      <c r="KA104" s="150"/>
      <c r="KB104" s="150"/>
      <c r="KC104" s="150"/>
      <c r="KD104" s="150"/>
      <c r="KE104" s="150"/>
      <c r="KF104" s="150"/>
      <c r="KG104" s="150"/>
      <c r="KH104" s="150"/>
      <c r="KI104" s="150"/>
      <c r="KJ104" s="150"/>
      <c r="KK104" s="150"/>
      <c r="KL104" s="150"/>
      <c r="KM104" s="150"/>
      <c r="KN104" s="150"/>
      <c r="KO104" s="150"/>
      <c r="KP104" s="150"/>
      <c r="KQ104" s="150"/>
      <c r="KR104" s="150"/>
      <c r="KS104" s="150"/>
      <c r="KT104" s="150"/>
      <c r="KU104" s="150"/>
      <c r="KV104" s="150"/>
      <c r="KW104" s="150"/>
      <c r="KX104" s="150"/>
      <c r="KY104" s="150"/>
      <c r="KZ104" s="150"/>
      <c r="LA104" s="150"/>
      <c r="LB104" s="150"/>
      <c r="LC104" s="150"/>
      <c r="LD104" s="150"/>
      <c r="LE104" s="150"/>
      <c r="LF104" s="150"/>
      <c r="LG104" s="150"/>
      <c r="LH104" s="150"/>
      <c r="LI104" s="150"/>
      <c r="LJ104" s="150"/>
      <c r="LK104" s="150"/>
      <c r="LL104" s="150"/>
      <c r="LM104" s="150"/>
      <c r="LN104" s="150"/>
      <c r="LO104" s="150"/>
      <c r="LP104" s="150"/>
      <c r="LQ104" s="150"/>
      <c r="LR104" s="150"/>
      <c r="LS104" s="150"/>
      <c r="LT104" s="150"/>
      <c r="LU104" s="150"/>
      <c r="LV104" s="150"/>
      <c r="LW104" s="150"/>
      <c r="LX104" s="150"/>
      <c r="LY104" s="150"/>
      <c r="LZ104" s="150"/>
      <c r="MA104" s="150"/>
      <c r="MB104" s="150"/>
      <c r="MC104" s="150"/>
      <c r="MD104" s="150"/>
      <c r="ME104" s="150"/>
      <c r="MF104" s="150"/>
      <c r="MG104" s="150"/>
      <c r="MH104" s="150"/>
      <c r="MI104" s="150"/>
      <c r="MJ104" s="150"/>
      <c r="MK104" s="150"/>
      <c r="ML104" s="150"/>
      <c r="MM104" s="150"/>
      <c r="MN104" s="150"/>
      <c r="MO104" s="150"/>
      <c r="MP104" s="150"/>
      <c r="MQ104" s="150"/>
      <c r="MR104" s="150"/>
      <c r="MS104" s="150"/>
      <c r="MT104" s="150"/>
      <c r="MU104" s="150"/>
      <c r="MV104" s="150"/>
      <c r="MW104" s="150"/>
      <c r="MX104" s="150"/>
      <c r="MY104" s="150"/>
      <c r="MZ104" s="150"/>
      <c r="NA104" s="150"/>
      <c r="NB104" s="150"/>
      <c r="NC104" s="150"/>
      <c r="ND104" s="150"/>
      <c r="NE104" s="150"/>
      <c r="NF104" s="150"/>
      <c r="NG104" s="150"/>
      <c r="NH104" s="150"/>
      <c r="NI104" s="150"/>
      <c r="NJ104" s="150"/>
      <c r="NK104" s="150"/>
      <c r="NL104" s="150"/>
      <c r="NM104" s="150"/>
      <c r="NN104" s="150"/>
      <c r="NO104" s="150"/>
      <c r="NP104" s="150"/>
      <c r="NQ104" s="150"/>
      <c r="NR104" s="150"/>
      <c r="NS104" s="150"/>
      <c r="NT104" s="150"/>
      <c r="NU104" s="150"/>
      <c r="NV104" s="150"/>
      <c r="NW104" s="150"/>
      <c r="NX104" s="150"/>
      <c r="NY104" s="150"/>
      <c r="NZ104" s="150"/>
      <c r="OA104" s="150"/>
      <c r="OB104" s="150"/>
      <c r="OC104" s="150"/>
      <c r="OD104" s="150"/>
      <c r="OE104" s="150"/>
    </row>
    <row r="105" spans="1:395">
      <c r="A105" s="19"/>
      <c r="B105" s="17"/>
      <c r="C105" s="188"/>
      <c r="D105" s="188"/>
      <c r="E105" s="188"/>
      <c r="F105" s="188"/>
      <c r="G105" s="188"/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50"/>
      <c r="AF105" s="150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0"/>
      <c r="BK105" s="150"/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0"/>
      <c r="CN105" s="150"/>
      <c r="CO105" s="150"/>
      <c r="CP105" s="150"/>
      <c r="CQ105" s="150"/>
      <c r="CR105" s="150"/>
      <c r="CS105" s="150"/>
      <c r="CT105" s="150"/>
      <c r="CU105" s="150"/>
      <c r="CV105" s="150"/>
      <c r="CW105" s="150"/>
      <c r="CX105" s="150"/>
      <c r="CY105" s="150"/>
      <c r="CZ105" s="150"/>
      <c r="DA105" s="150"/>
      <c r="DB105" s="150"/>
      <c r="DC105" s="150"/>
      <c r="DD105" s="150"/>
      <c r="DE105" s="150"/>
      <c r="DF105" s="150"/>
      <c r="DG105" s="150"/>
      <c r="DH105" s="150"/>
      <c r="DI105" s="150"/>
      <c r="DJ105" s="150"/>
      <c r="DK105" s="150"/>
      <c r="DL105" s="150"/>
      <c r="DM105" s="150"/>
      <c r="DN105" s="150"/>
      <c r="DO105" s="150"/>
      <c r="DP105" s="150"/>
      <c r="DQ105" s="150"/>
      <c r="DR105" s="150"/>
      <c r="DS105" s="150"/>
      <c r="DT105" s="150"/>
      <c r="DU105" s="150"/>
      <c r="DV105" s="150"/>
      <c r="DW105" s="150"/>
      <c r="DX105" s="150"/>
      <c r="DY105" s="150"/>
      <c r="DZ105" s="150"/>
      <c r="EA105" s="150"/>
      <c r="EB105" s="150"/>
      <c r="EC105" s="150"/>
      <c r="ED105" s="150"/>
      <c r="EE105" s="150"/>
      <c r="EF105" s="150"/>
      <c r="EG105" s="150"/>
      <c r="EH105" s="150"/>
      <c r="EI105" s="150"/>
      <c r="EJ105" s="150"/>
      <c r="EK105" s="150"/>
      <c r="EL105" s="150"/>
      <c r="EM105" s="150"/>
      <c r="EN105" s="150"/>
      <c r="EO105" s="150"/>
      <c r="EP105" s="150"/>
      <c r="EQ105" s="150"/>
      <c r="ER105" s="150"/>
      <c r="ES105" s="150"/>
      <c r="ET105" s="150"/>
      <c r="EU105" s="150"/>
      <c r="EV105" s="150"/>
      <c r="EW105" s="150"/>
      <c r="EX105" s="150"/>
      <c r="EY105" s="150"/>
      <c r="EZ105" s="150"/>
      <c r="FA105" s="150"/>
      <c r="FB105" s="150"/>
      <c r="FC105" s="150"/>
      <c r="FD105" s="150"/>
      <c r="FE105" s="150"/>
      <c r="FF105" s="150"/>
      <c r="FG105" s="150"/>
      <c r="FH105" s="150"/>
      <c r="FI105" s="150"/>
      <c r="FJ105" s="150"/>
      <c r="FK105" s="150"/>
      <c r="FL105" s="150"/>
      <c r="FM105" s="150"/>
      <c r="FN105" s="150"/>
      <c r="FO105" s="150"/>
      <c r="FP105" s="150"/>
      <c r="FQ105" s="150"/>
      <c r="FR105" s="150"/>
      <c r="FS105" s="150"/>
      <c r="FT105" s="150"/>
      <c r="FU105" s="150"/>
      <c r="FV105" s="150"/>
      <c r="FW105" s="150"/>
      <c r="FX105" s="150"/>
      <c r="FY105" s="150"/>
      <c r="FZ105" s="150"/>
      <c r="GA105" s="150"/>
      <c r="GB105" s="150"/>
      <c r="GC105" s="150"/>
      <c r="GD105" s="150"/>
      <c r="GE105" s="150"/>
      <c r="GF105" s="150"/>
      <c r="GG105" s="150"/>
      <c r="GH105" s="150"/>
      <c r="GI105" s="150"/>
      <c r="GJ105" s="150"/>
      <c r="GK105" s="150"/>
      <c r="GL105" s="150"/>
      <c r="GM105" s="150"/>
      <c r="GN105" s="150"/>
      <c r="GO105" s="150"/>
      <c r="GP105" s="150"/>
      <c r="GQ105" s="150"/>
      <c r="GR105" s="150"/>
      <c r="GS105" s="150"/>
      <c r="GT105" s="150"/>
      <c r="GU105" s="150"/>
      <c r="GV105" s="150"/>
      <c r="GW105" s="150"/>
      <c r="GX105" s="150"/>
      <c r="GY105" s="150"/>
      <c r="GZ105" s="150"/>
      <c r="HA105" s="150"/>
      <c r="HB105" s="150"/>
      <c r="HC105" s="150"/>
      <c r="HD105" s="150"/>
      <c r="HE105" s="150"/>
      <c r="HF105" s="150"/>
      <c r="HG105" s="150"/>
      <c r="HH105" s="150"/>
      <c r="HI105" s="150"/>
      <c r="HJ105" s="150"/>
      <c r="HK105" s="150"/>
      <c r="HL105" s="150"/>
      <c r="HM105" s="150"/>
      <c r="HN105" s="150"/>
      <c r="HO105" s="150"/>
      <c r="HP105" s="150"/>
      <c r="HQ105" s="150"/>
      <c r="HR105" s="150"/>
      <c r="HS105" s="150"/>
      <c r="HT105" s="150"/>
      <c r="HU105" s="150"/>
      <c r="HV105" s="150"/>
      <c r="HW105" s="150"/>
      <c r="HX105" s="150"/>
      <c r="HY105" s="150"/>
      <c r="HZ105" s="150"/>
      <c r="IA105" s="150"/>
      <c r="IB105" s="150"/>
      <c r="IC105" s="150"/>
      <c r="ID105" s="150"/>
      <c r="IE105" s="150"/>
      <c r="IF105" s="150"/>
      <c r="IG105" s="150"/>
      <c r="IH105" s="150"/>
      <c r="II105" s="150"/>
      <c r="IJ105" s="150"/>
      <c r="IK105" s="150"/>
      <c r="IL105" s="150"/>
      <c r="IM105" s="150"/>
      <c r="IN105" s="150"/>
      <c r="IO105" s="150"/>
      <c r="IP105" s="150"/>
      <c r="IQ105" s="150"/>
      <c r="IR105" s="150"/>
      <c r="IS105" s="150"/>
      <c r="IT105" s="150"/>
      <c r="IU105" s="150"/>
      <c r="IV105" s="150"/>
      <c r="IW105" s="150"/>
      <c r="IX105" s="150"/>
      <c r="IY105" s="150"/>
      <c r="IZ105" s="150"/>
      <c r="JA105" s="150"/>
      <c r="JB105" s="150"/>
      <c r="JC105" s="150"/>
      <c r="JD105" s="150"/>
      <c r="JE105" s="150"/>
      <c r="JF105" s="150"/>
      <c r="JG105" s="150"/>
      <c r="JH105" s="150"/>
      <c r="JI105" s="150"/>
      <c r="JJ105" s="150"/>
      <c r="JK105" s="150"/>
      <c r="JL105" s="150"/>
      <c r="JM105" s="150"/>
      <c r="JN105" s="150"/>
      <c r="JO105" s="150"/>
      <c r="JP105" s="150"/>
      <c r="JQ105" s="150"/>
      <c r="JR105" s="150"/>
      <c r="JS105" s="150"/>
      <c r="JT105" s="150"/>
      <c r="JU105" s="150"/>
      <c r="JV105" s="150"/>
      <c r="JW105" s="150"/>
      <c r="JX105" s="150"/>
      <c r="JY105" s="150"/>
      <c r="JZ105" s="150"/>
      <c r="KA105" s="150"/>
      <c r="KB105" s="150"/>
      <c r="KC105" s="150"/>
      <c r="KD105" s="150"/>
      <c r="KE105" s="150"/>
      <c r="KF105" s="150"/>
      <c r="KG105" s="150"/>
      <c r="KH105" s="150"/>
      <c r="KI105" s="150"/>
      <c r="KJ105" s="150"/>
      <c r="KK105" s="150"/>
      <c r="KL105" s="150"/>
      <c r="KM105" s="150"/>
      <c r="KN105" s="150"/>
      <c r="KO105" s="150"/>
      <c r="KP105" s="150"/>
      <c r="KQ105" s="150"/>
      <c r="KR105" s="150"/>
      <c r="KS105" s="150"/>
      <c r="KT105" s="150"/>
      <c r="KU105" s="150"/>
      <c r="KV105" s="150"/>
      <c r="KW105" s="150"/>
      <c r="KX105" s="150"/>
      <c r="KY105" s="150"/>
      <c r="KZ105" s="150"/>
      <c r="LA105" s="150"/>
      <c r="LB105" s="150"/>
      <c r="LC105" s="150"/>
      <c r="LD105" s="150"/>
      <c r="LE105" s="150"/>
      <c r="LF105" s="150"/>
      <c r="LG105" s="150"/>
      <c r="LH105" s="150"/>
      <c r="LI105" s="150"/>
      <c r="LJ105" s="150"/>
      <c r="LK105" s="150"/>
      <c r="LL105" s="150"/>
      <c r="LM105" s="150"/>
      <c r="LN105" s="150"/>
      <c r="LO105" s="150"/>
      <c r="LP105" s="150"/>
      <c r="LQ105" s="150"/>
      <c r="LR105" s="150"/>
      <c r="LS105" s="150"/>
      <c r="LT105" s="150"/>
      <c r="LU105" s="150"/>
      <c r="LV105" s="150"/>
      <c r="LW105" s="150"/>
      <c r="LX105" s="150"/>
      <c r="LY105" s="150"/>
      <c r="LZ105" s="150"/>
      <c r="MA105" s="150"/>
      <c r="MB105" s="150"/>
      <c r="MC105" s="150"/>
      <c r="MD105" s="150"/>
      <c r="ME105" s="150"/>
      <c r="MF105" s="150"/>
      <c r="MG105" s="150"/>
      <c r="MH105" s="150"/>
      <c r="MI105" s="150"/>
      <c r="MJ105" s="150"/>
      <c r="MK105" s="150"/>
      <c r="ML105" s="150"/>
      <c r="MM105" s="150"/>
      <c r="MN105" s="150"/>
      <c r="MO105" s="150"/>
      <c r="MP105" s="150"/>
      <c r="MQ105" s="150"/>
      <c r="MR105" s="150"/>
      <c r="MS105" s="150"/>
      <c r="MT105" s="150"/>
      <c r="MU105" s="150"/>
      <c r="MV105" s="150"/>
      <c r="MW105" s="150"/>
      <c r="MX105" s="150"/>
      <c r="MY105" s="150"/>
      <c r="MZ105" s="150"/>
      <c r="NA105" s="150"/>
      <c r="NB105" s="150"/>
      <c r="NC105" s="150"/>
      <c r="ND105" s="150"/>
      <c r="NE105" s="150"/>
      <c r="NF105" s="150"/>
      <c r="NG105" s="150"/>
      <c r="NH105" s="150"/>
      <c r="NI105" s="150"/>
      <c r="NJ105" s="150"/>
      <c r="NK105" s="150"/>
      <c r="NL105" s="150"/>
      <c r="NM105" s="150"/>
      <c r="NN105" s="150"/>
      <c r="NO105" s="150"/>
      <c r="NP105" s="150"/>
      <c r="NQ105" s="150"/>
      <c r="NR105" s="150"/>
      <c r="NS105" s="150"/>
      <c r="NT105" s="150"/>
      <c r="NU105" s="150"/>
      <c r="NV105" s="150"/>
      <c r="NW105" s="150"/>
      <c r="NX105" s="150"/>
      <c r="NY105" s="150"/>
      <c r="NZ105" s="150"/>
      <c r="OA105" s="150"/>
      <c r="OB105" s="150"/>
      <c r="OC105" s="150"/>
      <c r="OD105" s="150"/>
      <c r="OE105" s="150"/>
    </row>
    <row r="106" spans="1:395">
      <c r="A106" s="19"/>
      <c r="B106" s="17"/>
      <c r="C106" s="188"/>
      <c r="D106" s="188"/>
      <c r="E106" s="188"/>
      <c r="F106" s="188"/>
      <c r="G106" s="188"/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50"/>
      <c r="BS106" s="150"/>
      <c r="BT106" s="150"/>
      <c r="BU106" s="150"/>
      <c r="BV106" s="150"/>
      <c r="BW106" s="150"/>
      <c r="BX106" s="150"/>
      <c r="BY106" s="150"/>
      <c r="BZ106" s="150"/>
      <c r="CA106" s="150"/>
      <c r="CB106" s="150"/>
      <c r="CC106" s="150"/>
      <c r="CD106" s="150"/>
      <c r="CE106" s="150"/>
      <c r="CF106" s="150"/>
      <c r="CG106" s="150"/>
      <c r="CH106" s="150"/>
      <c r="CI106" s="150"/>
      <c r="CJ106" s="150"/>
      <c r="CK106" s="150"/>
      <c r="CL106" s="150"/>
      <c r="CM106" s="150"/>
      <c r="CN106" s="150"/>
      <c r="CO106" s="150"/>
      <c r="CP106" s="150"/>
      <c r="CQ106" s="150"/>
      <c r="CR106" s="150"/>
      <c r="CS106" s="150"/>
      <c r="CT106" s="150"/>
      <c r="CU106" s="150"/>
      <c r="CV106" s="150"/>
      <c r="CW106" s="150"/>
      <c r="CX106" s="150"/>
      <c r="CY106" s="150"/>
      <c r="CZ106" s="150"/>
      <c r="DA106" s="150"/>
      <c r="DB106" s="150"/>
      <c r="DC106" s="150"/>
      <c r="DD106" s="150"/>
      <c r="DE106" s="150"/>
      <c r="DF106" s="150"/>
      <c r="DG106" s="150"/>
      <c r="DH106" s="150"/>
      <c r="DI106" s="150"/>
      <c r="DJ106" s="150"/>
      <c r="DK106" s="150"/>
      <c r="DL106" s="150"/>
      <c r="DM106" s="150"/>
      <c r="DN106" s="150"/>
      <c r="DO106" s="150"/>
      <c r="DP106" s="150"/>
      <c r="DQ106" s="150"/>
      <c r="DR106" s="150"/>
      <c r="DS106" s="150"/>
      <c r="DT106" s="150"/>
      <c r="DU106" s="150"/>
      <c r="DV106" s="150"/>
      <c r="DW106" s="150"/>
      <c r="DX106" s="150"/>
      <c r="DY106" s="150"/>
      <c r="DZ106" s="150"/>
      <c r="EA106" s="150"/>
      <c r="EB106" s="150"/>
      <c r="EC106" s="150"/>
      <c r="ED106" s="150"/>
      <c r="EE106" s="150"/>
      <c r="EF106" s="150"/>
      <c r="EG106" s="150"/>
      <c r="EH106" s="150"/>
      <c r="EI106" s="150"/>
      <c r="EJ106" s="150"/>
      <c r="EK106" s="150"/>
      <c r="EL106" s="150"/>
      <c r="EM106" s="150"/>
      <c r="EN106" s="150"/>
      <c r="EO106" s="150"/>
      <c r="EP106" s="150"/>
      <c r="EQ106" s="150"/>
      <c r="ER106" s="150"/>
      <c r="ES106" s="150"/>
      <c r="ET106" s="150"/>
      <c r="EU106" s="150"/>
      <c r="EV106" s="150"/>
      <c r="EW106" s="150"/>
      <c r="EX106" s="150"/>
      <c r="EY106" s="150"/>
      <c r="EZ106" s="150"/>
      <c r="FA106" s="150"/>
      <c r="FB106" s="150"/>
      <c r="FC106" s="150"/>
      <c r="FD106" s="150"/>
      <c r="FE106" s="150"/>
      <c r="FF106" s="150"/>
      <c r="FG106" s="150"/>
      <c r="FH106" s="150"/>
      <c r="FI106" s="150"/>
      <c r="FJ106" s="150"/>
      <c r="FK106" s="150"/>
      <c r="FL106" s="150"/>
      <c r="FM106" s="150"/>
      <c r="FN106" s="150"/>
      <c r="FO106" s="150"/>
      <c r="FP106" s="150"/>
      <c r="FQ106" s="150"/>
      <c r="FR106" s="150"/>
      <c r="FS106" s="150"/>
      <c r="FT106" s="150"/>
      <c r="FU106" s="150"/>
      <c r="FV106" s="150"/>
      <c r="FW106" s="150"/>
      <c r="FX106" s="150"/>
      <c r="FY106" s="150"/>
      <c r="FZ106" s="150"/>
      <c r="GA106" s="150"/>
      <c r="GB106" s="150"/>
      <c r="GC106" s="150"/>
      <c r="GD106" s="150"/>
      <c r="GE106" s="150"/>
      <c r="GF106" s="150"/>
      <c r="GG106" s="150"/>
      <c r="GH106" s="150"/>
      <c r="GI106" s="150"/>
      <c r="GJ106" s="150"/>
      <c r="GK106" s="150"/>
      <c r="GL106" s="150"/>
      <c r="GM106" s="150"/>
      <c r="GN106" s="150"/>
      <c r="GO106" s="150"/>
      <c r="GP106" s="150"/>
      <c r="GQ106" s="150"/>
      <c r="GR106" s="150"/>
      <c r="GS106" s="150"/>
      <c r="GT106" s="150"/>
      <c r="GU106" s="150"/>
      <c r="GV106" s="150"/>
      <c r="GW106" s="150"/>
      <c r="GX106" s="150"/>
      <c r="GY106" s="150"/>
      <c r="GZ106" s="150"/>
      <c r="HA106" s="150"/>
      <c r="HB106" s="150"/>
      <c r="HC106" s="150"/>
      <c r="HD106" s="150"/>
      <c r="HE106" s="150"/>
      <c r="HF106" s="150"/>
      <c r="HG106" s="150"/>
      <c r="HH106" s="150"/>
      <c r="HI106" s="150"/>
      <c r="HJ106" s="150"/>
      <c r="HK106" s="150"/>
      <c r="HL106" s="150"/>
      <c r="HM106" s="150"/>
      <c r="HN106" s="150"/>
      <c r="HO106" s="150"/>
      <c r="HP106" s="150"/>
      <c r="HQ106" s="150"/>
      <c r="HR106" s="150"/>
      <c r="HS106" s="150"/>
      <c r="HT106" s="150"/>
      <c r="HU106" s="150"/>
      <c r="HV106" s="150"/>
      <c r="HW106" s="150"/>
      <c r="HX106" s="150"/>
      <c r="HY106" s="150"/>
      <c r="HZ106" s="150"/>
      <c r="IA106" s="150"/>
      <c r="IB106" s="150"/>
      <c r="IC106" s="150"/>
      <c r="ID106" s="150"/>
      <c r="IE106" s="150"/>
      <c r="IF106" s="150"/>
      <c r="IG106" s="150"/>
      <c r="IH106" s="150"/>
      <c r="II106" s="150"/>
      <c r="IJ106" s="150"/>
      <c r="IK106" s="150"/>
      <c r="IL106" s="150"/>
      <c r="IM106" s="150"/>
      <c r="IN106" s="150"/>
      <c r="IO106" s="150"/>
      <c r="IP106" s="150"/>
      <c r="IQ106" s="150"/>
      <c r="IR106" s="150"/>
      <c r="IS106" s="150"/>
      <c r="IT106" s="150"/>
      <c r="IU106" s="150"/>
      <c r="IV106" s="150"/>
      <c r="IW106" s="150"/>
      <c r="IX106" s="150"/>
      <c r="IY106" s="150"/>
      <c r="IZ106" s="150"/>
      <c r="JA106" s="150"/>
      <c r="JB106" s="150"/>
      <c r="JC106" s="150"/>
      <c r="JD106" s="150"/>
      <c r="JE106" s="150"/>
      <c r="JF106" s="150"/>
      <c r="JG106" s="150"/>
      <c r="JH106" s="150"/>
      <c r="JI106" s="150"/>
      <c r="JJ106" s="150"/>
      <c r="JK106" s="150"/>
      <c r="JL106" s="150"/>
      <c r="JM106" s="150"/>
      <c r="JN106" s="150"/>
      <c r="JO106" s="150"/>
      <c r="JP106" s="150"/>
      <c r="JQ106" s="150"/>
      <c r="JR106" s="150"/>
      <c r="JS106" s="150"/>
      <c r="JT106" s="150"/>
      <c r="JU106" s="150"/>
      <c r="JV106" s="150"/>
      <c r="JW106" s="150"/>
      <c r="JX106" s="150"/>
      <c r="JY106" s="150"/>
      <c r="JZ106" s="150"/>
      <c r="KA106" s="150"/>
      <c r="KB106" s="150"/>
      <c r="KC106" s="150"/>
      <c r="KD106" s="150"/>
      <c r="KE106" s="150"/>
      <c r="KF106" s="150"/>
      <c r="KG106" s="150"/>
      <c r="KH106" s="150"/>
      <c r="KI106" s="150"/>
      <c r="KJ106" s="150"/>
      <c r="KK106" s="150"/>
      <c r="KL106" s="150"/>
      <c r="KM106" s="150"/>
      <c r="KN106" s="150"/>
      <c r="KO106" s="150"/>
      <c r="KP106" s="150"/>
      <c r="KQ106" s="150"/>
      <c r="KR106" s="150"/>
      <c r="KS106" s="150"/>
      <c r="KT106" s="150"/>
      <c r="KU106" s="150"/>
      <c r="KV106" s="150"/>
      <c r="KW106" s="150"/>
      <c r="KX106" s="150"/>
      <c r="KY106" s="150"/>
      <c r="KZ106" s="150"/>
      <c r="LA106" s="150"/>
      <c r="LB106" s="150"/>
      <c r="LC106" s="150"/>
      <c r="LD106" s="150"/>
      <c r="LE106" s="150"/>
      <c r="LF106" s="150"/>
      <c r="LG106" s="150"/>
      <c r="LH106" s="150"/>
      <c r="LI106" s="150"/>
      <c r="LJ106" s="150"/>
      <c r="LK106" s="150"/>
      <c r="LL106" s="150"/>
      <c r="LM106" s="150"/>
      <c r="LN106" s="150"/>
      <c r="LO106" s="150"/>
      <c r="LP106" s="150"/>
      <c r="LQ106" s="150"/>
      <c r="LR106" s="150"/>
      <c r="LS106" s="150"/>
      <c r="LT106" s="150"/>
      <c r="LU106" s="150"/>
      <c r="LV106" s="150"/>
      <c r="LW106" s="150"/>
      <c r="LX106" s="150"/>
      <c r="LY106" s="150"/>
      <c r="LZ106" s="150"/>
      <c r="MA106" s="150"/>
      <c r="MB106" s="150"/>
      <c r="MC106" s="150"/>
      <c r="MD106" s="150"/>
      <c r="ME106" s="150"/>
      <c r="MF106" s="150"/>
      <c r="MG106" s="150"/>
      <c r="MH106" s="150"/>
      <c r="MI106" s="150"/>
      <c r="MJ106" s="150"/>
      <c r="MK106" s="150"/>
      <c r="ML106" s="150"/>
      <c r="MM106" s="150"/>
      <c r="MN106" s="150"/>
      <c r="MO106" s="150"/>
      <c r="MP106" s="150"/>
      <c r="MQ106" s="150"/>
      <c r="MR106" s="150"/>
      <c r="MS106" s="150"/>
      <c r="MT106" s="150"/>
      <c r="MU106" s="150"/>
      <c r="MV106" s="150"/>
      <c r="MW106" s="150"/>
      <c r="MX106" s="150"/>
      <c r="MY106" s="150"/>
      <c r="MZ106" s="150"/>
      <c r="NA106" s="150"/>
      <c r="NB106" s="150"/>
      <c r="NC106" s="150"/>
      <c r="ND106" s="150"/>
      <c r="NE106" s="150"/>
      <c r="NF106" s="150"/>
      <c r="NG106" s="150"/>
      <c r="NH106" s="150"/>
      <c r="NI106" s="150"/>
      <c r="NJ106" s="150"/>
      <c r="NK106" s="150"/>
      <c r="NL106" s="150"/>
      <c r="NM106" s="150"/>
      <c r="NN106" s="150"/>
      <c r="NO106" s="150"/>
      <c r="NP106" s="150"/>
      <c r="NQ106" s="150"/>
      <c r="NR106" s="150"/>
      <c r="NS106" s="150"/>
      <c r="NT106" s="150"/>
      <c r="NU106" s="150"/>
      <c r="NV106" s="150"/>
      <c r="NW106" s="150"/>
      <c r="NX106" s="150"/>
      <c r="NY106" s="150"/>
      <c r="NZ106" s="150"/>
      <c r="OA106" s="150"/>
      <c r="OB106" s="150"/>
      <c r="OC106" s="150"/>
      <c r="OD106" s="150"/>
      <c r="OE106" s="150"/>
    </row>
    <row r="107" spans="1:395">
      <c r="A107" s="19"/>
      <c r="B107" s="17"/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50"/>
      <c r="BS107" s="150"/>
      <c r="BT107" s="150"/>
      <c r="BU107" s="150"/>
      <c r="BV107" s="150"/>
      <c r="BW107" s="150"/>
      <c r="BX107" s="150"/>
      <c r="BY107" s="150"/>
      <c r="BZ107" s="150"/>
      <c r="CA107" s="150"/>
      <c r="CB107" s="150"/>
      <c r="CC107" s="150"/>
      <c r="CD107" s="150"/>
      <c r="CE107" s="150"/>
      <c r="CF107" s="150"/>
      <c r="CG107" s="150"/>
      <c r="CH107" s="150"/>
      <c r="CI107" s="150"/>
      <c r="CJ107" s="150"/>
      <c r="CK107" s="150"/>
      <c r="CL107" s="150"/>
      <c r="CM107" s="150"/>
      <c r="CN107" s="150"/>
      <c r="CO107" s="150"/>
      <c r="CP107" s="150"/>
      <c r="CQ107" s="150"/>
      <c r="CR107" s="150"/>
      <c r="CS107" s="150"/>
      <c r="CT107" s="150"/>
      <c r="CU107" s="150"/>
      <c r="CV107" s="150"/>
      <c r="CW107" s="150"/>
      <c r="CX107" s="150"/>
      <c r="CY107" s="150"/>
      <c r="CZ107" s="150"/>
      <c r="DA107" s="150"/>
      <c r="DB107" s="150"/>
      <c r="DC107" s="150"/>
      <c r="DD107" s="150"/>
      <c r="DE107" s="150"/>
      <c r="DF107" s="150"/>
      <c r="DG107" s="150"/>
      <c r="DH107" s="150"/>
      <c r="DI107" s="150"/>
      <c r="DJ107" s="150"/>
      <c r="DK107" s="150"/>
      <c r="DL107" s="150"/>
      <c r="DM107" s="150"/>
      <c r="DN107" s="150"/>
      <c r="DO107" s="150"/>
      <c r="DP107" s="150"/>
      <c r="DQ107" s="150"/>
      <c r="DR107" s="150"/>
      <c r="DS107" s="150"/>
      <c r="DT107" s="150"/>
      <c r="DU107" s="150"/>
      <c r="DV107" s="150"/>
      <c r="DW107" s="150"/>
      <c r="DX107" s="150"/>
      <c r="DY107" s="150"/>
      <c r="DZ107" s="150"/>
      <c r="EA107" s="150"/>
      <c r="EB107" s="150"/>
      <c r="EC107" s="150"/>
      <c r="ED107" s="150"/>
      <c r="EE107" s="150"/>
      <c r="EF107" s="150"/>
      <c r="EG107" s="150"/>
      <c r="EH107" s="150"/>
      <c r="EI107" s="150"/>
      <c r="EJ107" s="150"/>
      <c r="EK107" s="150"/>
      <c r="EL107" s="150"/>
      <c r="EM107" s="150"/>
      <c r="EN107" s="150"/>
      <c r="EO107" s="150"/>
      <c r="EP107" s="150"/>
      <c r="EQ107" s="150"/>
      <c r="ER107" s="150"/>
      <c r="ES107" s="150"/>
      <c r="ET107" s="150"/>
      <c r="EU107" s="150"/>
      <c r="EV107" s="150"/>
      <c r="EW107" s="150"/>
      <c r="EX107" s="150"/>
      <c r="EY107" s="150"/>
      <c r="EZ107" s="150"/>
      <c r="FA107" s="150"/>
      <c r="FB107" s="150"/>
      <c r="FC107" s="150"/>
      <c r="FD107" s="150"/>
      <c r="FE107" s="150"/>
      <c r="FF107" s="150"/>
      <c r="FG107" s="150"/>
      <c r="FH107" s="150"/>
      <c r="FI107" s="150"/>
      <c r="FJ107" s="150"/>
      <c r="FK107" s="150"/>
      <c r="FL107" s="150"/>
      <c r="FM107" s="150"/>
      <c r="FN107" s="150"/>
      <c r="FO107" s="150"/>
      <c r="FP107" s="150"/>
      <c r="FQ107" s="150"/>
      <c r="FR107" s="150"/>
      <c r="FS107" s="150"/>
      <c r="FT107" s="150"/>
      <c r="FU107" s="150"/>
      <c r="FV107" s="150"/>
      <c r="FW107" s="150"/>
      <c r="FX107" s="150"/>
      <c r="FY107" s="150"/>
      <c r="FZ107" s="150"/>
      <c r="GA107" s="150"/>
      <c r="GB107" s="150"/>
      <c r="GC107" s="150"/>
      <c r="GD107" s="150"/>
      <c r="GE107" s="150"/>
      <c r="GF107" s="150"/>
      <c r="GG107" s="150"/>
      <c r="GH107" s="150"/>
      <c r="GI107" s="150"/>
      <c r="GJ107" s="150"/>
      <c r="GK107" s="150"/>
      <c r="GL107" s="150"/>
      <c r="GM107" s="150"/>
      <c r="GN107" s="150"/>
      <c r="GO107" s="150"/>
      <c r="GP107" s="150"/>
      <c r="GQ107" s="150"/>
      <c r="GR107" s="150"/>
      <c r="GS107" s="150"/>
      <c r="GT107" s="150"/>
      <c r="GU107" s="150"/>
      <c r="GV107" s="150"/>
      <c r="GW107" s="150"/>
      <c r="GX107" s="150"/>
      <c r="GY107" s="150"/>
      <c r="GZ107" s="150"/>
      <c r="HA107" s="150"/>
      <c r="HB107" s="150"/>
      <c r="HC107" s="150"/>
      <c r="HD107" s="150"/>
      <c r="HE107" s="150"/>
      <c r="HF107" s="150"/>
      <c r="HG107" s="150"/>
      <c r="HH107" s="150"/>
      <c r="HI107" s="150"/>
      <c r="HJ107" s="150"/>
      <c r="HK107" s="150"/>
      <c r="HL107" s="150"/>
      <c r="HM107" s="150"/>
      <c r="HN107" s="150"/>
      <c r="HO107" s="150"/>
      <c r="HP107" s="150"/>
      <c r="HQ107" s="150"/>
      <c r="HR107" s="150"/>
      <c r="HS107" s="150"/>
      <c r="HT107" s="150"/>
      <c r="HU107" s="150"/>
      <c r="HV107" s="150"/>
      <c r="HW107" s="150"/>
      <c r="HX107" s="150"/>
      <c r="HY107" s="150"/>
      <c r="HZ107" s="150"/>
      <c r="IA107" s="150"/>
      <c r="IB107" s="150"/>
      <c r="IC107" s="150"/>
      <c r="ID107" s="150"/>
      <c r="IE107" s="150"/>
      <c r="IF107" s="150"/>
      <c r="IG107" s="150"/>
      <c r="IH107" s="150"/>
      <c r="II107" s="150"/>
      <c r="IJ107" s="150"/>
      <c r="IK107" s="150"/>
      <c r="IL107" s="150"/>
      <c r="IM107" s="150"/>
      <c r="IN107" s="150"/>
      <c r="IO107" s="150"/>
      <c r="IP107" s="150"/>
      <c r="IQ107" s="150"/>
      <c r="IR107" s="150"/>
      <c r="IS107" s="150"/>
      <c r="IT107" s="150"/>
      <c r="IU107" s="150"/>
      <c r="IV107" s="150"/>
      <c r="IW107" s="150"/>
      <c r="IX107" s="150"/>
      <c r="IY107" s="150"/>
      <c r="IZ107" s="150"/>
      <c r="JA107" s="150"/>
      <c r="JB107" s="150"/>
      <c r="JC107" s="150"/>
      <c r="JD107" s="150"/>
      <c r="JE107" s="150"/>
      <c r="JF107" s="150"/>
      <c r="JG107" s="150"/>
      <c r="JH107" s="150"/>
      <c r="JI107" s="150"/>
      <c r="JJ107" s="150"/>
      <c r="JK107" s="150"/>
      <c r="JL107" s="150"/>
      <c r="JM107" s="150"/>
      <c r="JN107" s="150"/>
      <c r="JO107" s="150"/>
      <c r="JP107" s="150"/>
      <c r="JQ107" s="150"/>
      <c r="JR107" s="150"/>
      <c r="JS107" s="150"/>
      <c r="JT107" s="150"/>
      <c r="JU107" s="150"/>
      <c r="JV107" s="150"/>
      <c r="JW107" s="150"/>
      <c r="JX107" s="150"/>
      <c r="JY107" s="150"/>
      <c r="JZ107" s="150"/>
      <c r="KA107" s="150"/>
      <c r="KB107" s="150"/>
      <c r="KC107" s="150"/>
      <c r="KD107" s="150"/>
      <c r="KE107" s="150"/>
      <c r="KF107" s="150"/>
      <c r="KG107" s="150"/>
      <c r="KH107" s="150"/>
      <c r="KI107" s="150"/>
      <c r="KJ107" s="150"/>
      <c r="KK107" s="150"/>
      <c r="KL107" s="150"/>
      <c r="KM107" s="150"/>
      <c r="KN107" s="150"/>
      <c r="KO107" s="150"/>
      <c r="KP107" s="150"/>
      <c r="KQ107" s="150"/>
      <c r="KR107" s="150"/>
      <c r="KS107" s="150"/>
      <c r="KT107" s="150"/>
      <c r="KU107" s="150"/>
      <c r="KV107" s="150"/>
      <c r="KW107" s="150"/>
      <c r="KX107" s="150"/>
      <c r="KY107" s="150"/>
      <c r="KZ107" s="150"/>
      <c r="LA107" s="150"/>
      <c r="LB107" s="150"/>
      <c r="LC107" s="150"/>
      <c r="LD107" s="150"/>
      <c r="LE107" s="150"/>
      <c r="LF107" s="150"/>
      <c r="LG107" s="150"/>
      <c r="LH107" s="150"/>
      <c r="LI107" s="150"/>
      <c r="LJ107" s="150"/>
      <c r="LK107" s="150"/>
      <c r="LL107" s="150"/>
      <c r="LM107" s="150"/>
      <c r="LN107" s="150"/>
      <c r="LO107" s="150"/>
      <c r="LP107" s="150"/>
      <c r="LQ107" s="150"/>
      <c r="LR107" s="150"/>
      <c r="LS107" s="150"/>
      <c r="LT107" s="150"/>
      <c r="LU107" s="150"/>
      <c r="LV107" s="150"/>
      <c r="LW107" s="150"/>
      <c r="LX107" s="150"/>
      <c r="LY107" s="150"/>
      <c r="LZ107" s="150"/>
      <c r="MA107" s="150"/>
      <c r="MB107" s="150"/>
      <c r="MC107" s="150"/>
      <c r="MD107" s="150"/>
      <c r="ME107" s="150"/>
      <c r="MF107" s="150"/>
      <c r="MG107" s="150"/>
      <c r="MH107" s="150"/>
      <c r="MI107" s="150"/>
      <c r="MJ107" s="150"/>
      <c r="MK107" s="150"/>
      <c r="ML107" s="150"/>
      <c r="MM107" s="150"/>
      <c r="MN107" s="150"/>
      <c r="MO107" s="150"/>
      <c r="MP107" s="150"/>
      <c r="MQ107" s="150"/>
      <c r="MR107" s="150"/>
      <c r="MS107" s="150"/>
      <c r="MT107" s="150"/>
      <c r="MU107" s="150"/>
      <c r="MV107" s="150"/>
      <c r="MW107" s="150"/>
      <c r="MX107" s="150"/>
      <c r="MY107" s="150"/>
      <c r="MZ107" s="150"/>
      <c r="NA107" s="150"/>
      <c r="NB107" s="150"/>
      <c r="NC107" s="150"/>
      <c r="ND107" s="150"/>
      <c r="NE107" s="150"/>
      <c r="NF107" s="150"/>
      <c r="NG107" s="150"/>
      <c r="NH107" s="150"/>
      <c r="NI107" s="150"/>
      <c r="NJ107" s="150"/>
      <c r="NK107" s="150"/>
      <c r="NL107" s="150"/>
      <c r="NM107" s="150"/>
      <c r="NN107" s="150"/>
      <c r="NO107" s="150"/>
      <c r="NP107" s="150"/>
      <c r="NQ107" s="150"/>
      <c r="NR107" s="150"/>
      <c r="NS107" s="150"/>
      <c r="NT107" s="150"/>
      <c r="NU107" s="150"/>
      <c r="NV107" s="150"/>
      <c r="NW107" s="150"/>
      <c r="NX107" s="150"/>
      <c r="NY107" s="150"/>
      <c r="NZ107" s="150"/>
      <c r="OA107" s="150"/>
      <c r="OB107" s="150"/>
      <c r="OC107" s="150"/>
      <c r="OD107" s="150"/>
      <c r="OE107" s="150"/>
    </row>
    <row r="108" spans="1:395">
      <c r="A108" s="19"/>
      <c r="B108" s="17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50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  <c r="BI108" s="150"/>
      <c r="BJ108" s="150"/>
      <c r="BK108" s="150"/>
      <c r="BL108" s="150"/>
      <c r="BM108" s="150"/>
      <c r="BN108" s="150"/>
      <c r="BO108" s="150"/>
      <c r="BP108" s="150"/>
      <c r="BQ108" s="150"/>
      <c r="BR108" s="150"/>
      <c r="BS108" s="150"/>
      <c r="BT108" s="150"/>
      <c r="BU108" s="150"/>
      <c r="BV108" s="150"/>
      <c r="BW108" s="150"/>
      <c r="BX108" s="150"/>
      <c r="BY108" s="150"/>
      <c r="BZ108" s="150"/>
      <c r="CA108" s="150"/>
      <c r="CB108" s="150"/>
      <c r="CC108" s="150"/>
      <c r="CD108" s="150"/>
      <c r="CE108" s="150"/>
      <c r="CF108" s="150"/>
      <c r="CG108" s="150"/>
      <c r="CH108" s="150"/>
      <c r="CI108" s="150"/>
      <c r="CJ108" s="150"/>
      <c r="CK108" s="150"/>
      <c r="CL108" s="150"/>
      <c r="CM108" s="150"/>
      <c r="CN108" s="150"/>
      <c r="CO108" s="150"/>
      <c r="CP108" s="150"/>
      <c r="CQ108" s="150"/>
      <c r="CR108" s="150"/>
      <c r="CS108" s="150"/>
      <c r="CT108" s="150"/>
      <c r="CU108" s="150"/>
      <c r="CV108" s="150"/>
      <c r="CW108" s="150"/>
      <c r="CX108" s="150"/>
      <c r="CY108" s="150"/>
      <c r="CZ108" s="150"/>
      <c r="DA108" s="150"/>
      <c r="DB108" s="150"/>
      <c r="DC108" s="150"/>
      <c r="DD108" s="150"/>
      <c r="DE108" s="150"/>
      <c r="DF108" s="150"/>
      <c r="DG108" s="150"/>
      <c r="DH108" s="150"/>
      <c r="DI108" s="150"/>
      <c r="DJ108" s="150"/>
      <c r="DK108" s="150"/>
      <c r="DL108" s="150"/>
      <c r="DM108" s="150"/>
      <c r="DN108" s="150"/>
      <c r="DO108" s="150"/>
      <c r="DP108" s="150"/>
      <c r="DQ108" s="150"/>
      <c r="DR108" s="150"/>
      <c r="DS108" s="150"/>
      <c r="DT108" s="150"/>
      <c r="DU108" s="150"/>
      <c r="DV108" s="150"/>
      <c r="DW108" s="150"/>
      <c r="DX108" s="150"/>
      <c r="DY108" s="150"/>
      <c r="DZ108" s="150"/>
      <c r="EA108" s="150"/>
      <c r="EB108" s="150"/>
      <c r="EC108" s="150"/>
      <c r="ED108" s="150"/>
      <c r="EE108" s="150"/>
      <c r="EF108" s="150"/>
      <c r="EG108" s="150"/>
      <c r="EH108" s="150"/>
      <c r="EI108" s="150"/>
      <c r="EJ108" s="150"/>
      <c r="EK108" s="150"/>
      <c r="EL108" s="150"/>
      <c r="EM108" s="150"/>
      <c r="EN108" s="150"/>
      <c r="EO108" s="150"/>
      <c r="EP108" s="150"/>
      <c r="EQ108" s="150"/>
      <c r="ER108" s="150"/>
      <c r="ES108" s="150"/>
      <c r="ET108" s="150"/>
      <c r="EU108" s="150"/>
      <c r="EV108" s="150"/>
      <c r="EW108" s="150"/>
      <c r="EX108" s="150"/>
      <c r="EY108" s="150"/>
      <c r="EZ108" s="150"/>
      <c r="FA108" s="150"/>
      <c r="FB108" s="150"/>
      <c r="FC108" s="150"/>
      <c r="FD108" s="150"/>
      <c r="FE108" s="150"/>
      <c r="FF108" s="150"/>
      <c r="FG108" s="150"/>
      <c r="FH108" s="150"/>
      <c r="FI108" s="150"/>
      <c r="FJ108" s="150"/>
      <c r="FK108" s="150"/>
      <c r="FL108" s="150"/>
      <c r="FM108" s="150"/>
      <c r="FN108" s="150"/>
      <c r="FO108" s="150"/>
      <c r="FP108" s="150"/>
      <c r="FQ108" s="150"/>
      <c r="FR108" s="150"/>
      <c r="FS108" s="150"/>
      <c r="FT108" s="150"/>
      <c r="FU108" s="150"/>
      <c r="FV108" s="150"/>
      <c r="FW108" s="150"/>
      <c r="FX108" s="150"/>
      <c r="FY108" s="150"/>
      <c r="FZ108" s="150"/>
      <c r="GA108" s="150"/>
      <c r="GB108" s="150"/>
      <c r="GC108" s="150"/>
      <c r="GD108" s="150"/>
      <c r="GE108" s="150"/>
      <c r="GF108" s="150"/>
      <c r="GG108" s="150"/>
      <c r="GH108" s="150"/>
      <c r="GI108" s="150"/>
      <c r="GJ108" s="150"/>
      <c r="GK108" s="150"/>
      <c r="GL108" s="150"/>
      <c r="GM108" s="150"/>
      <c r="GN108" s="150"/>
      <c r="GO108" s="150"/>
      <c r="GP108" s="150"/>
      <c r="GQ108" s="150"/>
      <c r="GR108" s="150"/>
      <c r="GS108" s="150"/>
      <c r="GT108" s="150"/>
      <c r="GU108" s="150"/>
      <c r="GV108" s="150"/>
      <c r="GW108" s="150"/>
      <c r="GX108" s="150"/>
      <c r="GY108" s="150"/>
      <c r="GZ108" s="150"/>
      <c r="HA108" s="150"/>
      <c r="HB108" s="150"/>
      <c r="HC108" s="150"/>
      <c r="HD108" s="150"/>
      <c r="HE108" s="150"/>
      <c r="HF108" s="150"/>
      <c r="HG108" s="150"/>
      <c r="HH108" s="150"/>
      <c r="HI108" s="150"/>
      <c r="HJ108" s="150"/>
      <c r="HK108" s="150"/>
      <c r="HL108" s="150"/>
      <c r="HM108" s="150"/>
      <c r="HN108" s="150"/>
      <c r="HO108" s="150"/>
      <c r="HP108" s="150"/>
      <c r="HQ108" s="150"/>
      <c r="HR108" s="150"/>
      <c r="HS108" s="150"/>
      <c r="HT108" s="150"/>
      <c r="HU108" s="150"/>
      <c r="HV108" s="150"/>
      <c r="HW108" s="150"/>
      <c r="HX108" s="150"/>
      <c r="HY108" s="150"/>
      <c r="HZ108" s="150"/>
      <c r="IA108" s="150"/>
      <c r="IB108" s="150"/>
      <c r="IC108" s="150"/>
      <c r="ID108" s="150"/>
      <c r="IE108" s="150"/>
      <c r="IF108" s="150"/>
      <c r="IG108" s="150"/>
      <c r="IH108" s="150"/>
      <c r="II108" s="150"/>
      <c r="IJ108" s="150"/>
      <c r="IK108" s="150"/>
      <c r="IL108" s="150"/>
      <c r="IM108" s="150"/>
      <c r="IN108" s="150"/>
      <c r="IO108" s="150"/>
      <c r="IP108" s="150"/>
      <c r="IQ108" s="150"/>
      <c r="IR108" s="150"/>
      <c r="IS108" s="150"/>
      <c r="IT108" s="150"/>
      <c r="IU108" s="150"/>
      <c r="IV108" s="150"/>
      <c r="IW108" s="150"/>
      <c r="IX108" s="150"/>
      <c r="IY108" s="150"/>
      <c r="IZ108" s="150"/>
      <c r="JA108" s="150"/>
      <c r="JB108" s="150"/>
      <c r="JC108" s="150"/>
      <c r="JD108" s="150"/>
      <c r="JE108" s="150"/>
      <c r="JF108" s="150"/>
      <c r="JG108" s="150"/>
      <c r="JH108" s="150"/>
      <c r="JI108" s="150"/>
      <c r="JJ108" s="150"/>
      <c r="JK108" s="150"/>
      <c r="JL108" s="150"/>
      <c r="JM108" s="150"/>
      <c r="JN108" s="150"/>
      <c r="JO108" s="150"/>
      <c r="JP108" s="150"/>
      <c r="JQ108" s="150"/>
      <c r="JR108" s="150"/>
      <c r="JS108" s="150"/>
      <c r="JT108" s="150"/>
      <c r="JU108" s="150"/>
      <c r="JV108" s="150"/>
      <c r="JW108" s="150"/>
      <c r="JX108" s="150"/>
      <c r="JY108" s="150"/>
      <c r="JZ108" s="150"/>
      <c r="KA108" s="150"/>
      <c r="KB108" s="150"/>
      <c r="KC108" s="150"/>
      <c r="KD108" s="150"/>
      <c r="KE108" s="150"/>
      <c r="KF108" s="150"/>
      <c r="KG108" s="150"/>
      <c r="KH108" s="150"/>
      <c r="KI108" s="150"/>
      <c r="KJ108" s="150"/>
      <c r="KK108" s="150"/>
      <c r="KL108" s="150"/>
      <c r="KM108" s="150"/>
      <c r="KN108" s="150"/>
      <c r="KO108" s="150"/>
      <c r="KP108" s="150"/>
      <c r="KQ108" s="150"/>
      <c r="KR108" s="150"/>
      <c r="KS108" s="150"/>
      <c r="KT108" s="150"/>
      <c r="KU108" s="150"/>
      <c r="KV108" s="150"/>
      <c r="KW108" s="150"/>
      <c r="KX108" s="150"/>
      <c r="KY108" s="150"/>
      <c r="KZ108" s="150"/>
      <c r="LA108" s="150"/>
      <c r="LB108" s="150"/>
      <c r="LC108" s="150"/>
      <c r="LD108" s="150"/>
      <c r="LE108" s="150"/>
      <c r="LF108" s="150"/>
      <c r="LG108" s="150"/>
      <c r="LH108" s="150"/>
      <c r="LI108" s="150"/>
      <c r="LJ108" s="150"/>
      <c r="LK108" s="150"/>
      <c r="LL108" s="150"/>
      <c r="LM108" s="150"/>
      <c r="LN108" s="150"/>
      <c r="LO108" s="150"/>
      <c r="LP108" s="150"/>
      <c r="LQ108" s="150"/>
      <c r="LR108" s="150"/>
      <c r="LS108" s="150"/>
      <c r="LT108" s="150"/>
      <c r="LU108" s="150"/>
      <c r="LV108" s="150"/>
      <c r="LW108" s="150"/>
      <c r="LX108" s="150"/>
      <c r="LY108" s="150"/>
      <c r="LZ108" s="150"/>
      <c r="MA108" s="150"/>
      <c r="MB108" s="150"/>
      <c r="MC108" s="150"/>
      <c r="MD108" s="150"/>
      <c r="ME108" s="150"/>
      <c r="MF108" s="150"/>
      <c r="MG108" s="150"/>
      <c r="MH108" s="150"/>
      <c r="MI108" s="150"/>
      <c r="MJ108" s="150"/>
      <c r="MK108" s="150"/>
      <c r="ML108" s="150"/>
      <c r="MM108" s="150"/>
      <c r="MN108" s="150"/>
      <c r="MO108" s="150"/>
      <c r="MP108" s="150"/>
      <c r="MQ108" s="150"/>
      <c r="MR108" s="150"/>
      <c r="MS108" s="150"/>
      <c r="MT108" s="150"/>
      <c r="MU108" s="150"/>
      <c r="MV108" s="150"/>
      <c r="MW108" s="150"/>
      <c r="MX108" s="150"/>
      <c r="MY108" s="150"/>
      <c r="MZ108" s="150"/>
      <c r="NA108" s="150"/>
      <c r="NB108" s="150"/>
      <c r="NC108" s="150"/>
      <c r="ND108" s="150"/>
      <c r="NE108" s="150"/>
      <c r="NF108" s="150"/>
      <c r="NG108" s="150"/>
      <c r="NH108" s="150"/>
      <c r="NI108" s="150"/>
      <c r="NJ108" s="150"/>
      <c r="NK108" s="150"/>
      <c r="NL108" s="150"/>
      <c r="NM108" s="150"/>
      <c r="NN108" s="150"/>
      <c r="NO108" s="150"/>
      <c r="NP108" s="150"/>
      <c r="NQ108" s="150"/>
      <c r="NR108" s="150"/>
      <c r="NS108" s="150"/>
      <c r="NT108" s="150"/>
      <c r="NU108" s="150"/>
      <c r="NV108" s="150"/>
      <c r="NW108" s="150"/>
      <c r="NX108" s="150"/>
      <c r="NY108" s="150"/>
      <c r="NZ108" s="150"/>
      <c r="OA108" s="150"/>
      <c r="OB108" s="150"/>
      <c r="OC108" s="150"/>
      <c r="OD108" s="150"/>
      <c r="OE108" s="150"/>
    </row>
    <row r="109" spans="1:395" ht="14.25" customHeight="1">
      <c r="A109" s="19"/>
      <c r="B109" s="17"/>
      <c r="C109" s="187"/>
      <c r="D109" s="216" t="s">
        <v>395</v>
      </c>
      <c r="E109" s="216"/>
      <c r="F109" s="216"/>
      <c r="G109" s="216" t="s">
        <v>12</v>
      </c>
      <c r="H109" s="216"/>
      <c r="I109" s="216"/>
      <c r="J109" s="216" t="s">
        <v>13</v>
      </c>
      <c r="K109" s="216"/>
      <c r="L109" s="216"/>
      <c r="M109" s="216" t="s">
        <v>396</v>
      </c>
      <c r="N109" s="216"/>
      <c r="O109" s="216"/>
      <c r="P109" s="216" t="s">
        <v>35</v>
      </c>
      <c r="Q109" s="216"/>
      <c r="R109" s="216"/>
      <c r="S109" s="216" t="s">
        <v>397</v>
      </c>
      <c r="T109" s="216"/>
      <c r="U109" s="216"/>
      <c r="V109" s="216" t="s">
        <v>17</v>
      </c>
      <c r="W109" s="216"/>
      <c r="X109" s="216"/>
      <c r="Y109" s="216" t="s">
        <v>18</v>
      </c>
      <c r="Z109" s="216"/>
      <c r="AA109" s="216"/>
      <c r="AB109" s="216" t="s">
        <v>398</v>
      </c>
      <c r="AC109" s="216"/>
      <c r="AD109" s="216"/>
      <c r="AE109" s="216" t="s">
        <v>399</v>
      </c>
      <c r="AF109" s="216"/>
      <c r="AG109" s="216"/>
      <c r="AH109" s="216" t="s">
        <v>400</v>
      </c>
      <c r="AI109" s="216"/>
      <c r="AJ109" s="216"/>
      <c r="AK109" s="216" t="s">
        <v>23</v>
      </c>
      <c r="AL109" s="216"/>
      <c r="AM109" s="216"/>
      <c r="AN109" s="216" t="s">
        <v>401</v>
      </c>
      <c r="AO109" s="216"/>
      <c r="AP109" s="216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  <c r="BI109" s="150"/>
      <c r="BJ109" s="150"/>
      <c r="BK109" s="150"/>
      <c r="BL109" s="150"/>
      <c r="BM109" s="150"/>
      <c r="BN109" s="150"/>
      <c r="BO109" s="150"/>
      <c r="BP109" s="150"/>
      <c r="BQ109" s="150"/>
      <c r="BR109" s="150"/>
      <c r="BS109" s="150"/>
      <c r="BT109" s="150"/>
      <c r="BU109" s="150"/>
      <c r="BV109" s="150"/>
      <c r="BW109" s="150"/>
      <c r="BX109" s="150"/>
      <c r="BY109" s="150"/>
      <c r="BZ109" s="150"/>
      <c r="CA109" s="150"/>
      <c r="CB109" s="150"/>
      <c r="CC109" s="150"/>
      <c r="CD109" s="150"/>
      <c r="CE109" s="150"/>
      <c r="CF109" s="150"/>
      <c r="CG109" s="150"/>
      <c r="CH109" s="150"/>
      <c r="CI109" s="150"/>
      <c r="CJ109" s="150"/>
      <c r="CK109" s="150"/>
      <c r="CL109" s="150"/>
      <c r="CM109" s="150"/>
      <c r="CN109" s="150"/>
      <c r="CO109" s="150"/>
      <c r="CP109" s="150"/>
      <c r="CQ109" s="150"/>
      <c r="CR109" s="150"/>
      <c r="CS109" s="150"/>
      <c r="CT109" s="150"/>
      <c r="CU109" s="150"/>
      <c r="CV109" s="150"/>
      <c r="CW109" s="150"/>
      <c r="CX109" s="150"/>
      <c r="CY109" s="150"/>
      <c r="CZ109" s="150"/>
      <c r="DA109" s="150"/>
      <c r="DB109" s="150"/>
      <c r="DC109" s="150"/>
      <c r="DD109" s="150"/>
      <c r="DE109" s="150"/>
      <c r="DF109" s="150"/>
      <c r="DG109" s="150"/>
      <c r="DH109" s="150"/>
      <c r="DI109" s="150"/>
      <c r="DJ109" s="150"/>
      <c r="DK109" s="150"/>
      <c r="DL109" s="150"/>
      <c r="DM109" s="150"/>
      <c r="DN109" s="150"/>
      <c r="DO109" s="150"/>
      <c r="DP109" s="150"/>
      <c r="DQ109" s="150"/>
      <c r="DR109" s="150"/>
      <c r="DS109" s="150"/>
      <c r="DT109" s="150"/>
      <c r="DU109" s="150"/>
      <c r="DV109" s="150"/>
      <c r="DW109" s="150"/>
      <c r="DX109" s="150"/>
      <c r="DY109" s="150"/>
      <c r="DZ109" s="150"/>
      <c r="EA109" s="150"/>
      <c r="EB109" s="150"/>
      <c r="EC109" s="150"/>
      <c r="ED109" s="150"/>
      <c r="EE109" s="150"/>
      <c r="EF109" s="150"/>
      <c r="EG109" s="150"/>
      <c r="EH109" s="150"/>
      <c r="EI109" s="150"/>
      <c r="EJ109" s="150"/>
      <c r="EK109" s="150"/>
      <c r="EL109" s="150"/>
      <c r="EM109" s="150"/>
      <c r="EN109" s="150"/>
      <c r="EO109" s="150"/>
      <c r="EP109" s="150"/>
      <c r="EQ109" s="150"/>
      <c r="ER109" s="150"/>
      <c r="ES109" s="150"/>
      <c r="ET109" s="150"/>
      <c r="EU109" s="150"/>
      <c r="EV109" s="150"/>
      <c r="EW109" s="150"/>
      <c r="EX109" s="150"/>
      <c r="EY109" s="150"/>
      <c r="EZ109" s="150"/>
      <c r="FA109" s="150"/>
      <c r="FB109" s="150"/>
      <c r="FC109" s="150"/>
      <c r="FD109" s="150"/>
      <c r="FE109" s="150"/>
      <c r="FF109" s="150"/>
      <c r="FG109" s="150"/>
      <c r="FH109" s="150"/>
      <c r="FI109" s="150"/>
      <c r="FJ109" s="150"/>
      <c r="FK109" s="150"/>
      <c r="FL109" s="150"/>
      <c r="FM109" s="150"/>
      <c r="FN109" s="150"/>
      <c r="FO109" s="150"/>
      <c r="FP109" s="150"/>
      <c r="FQ109" s="150"/>
      <c r="FR109" s="150"/>
      <c r="FS109" s="150"/>
      <c r="FT109" s="150"/>
      <c r="FU109" s="150"/>
      <c r="FV109" s="150"/>
      <c r="FW109" s="150"/>
      <c r="FX109" s="150"/>
      <c r="FY109" s="150"/>
      <c r="FZ109" s="150"/>
      <c r="GA109" s="150"/>
      <c r="GB109" s="150"/>
      <c r="GC109" s="150"/>
      <c r="GD109" s="150"/>
      <c r="GE109" s="150"/>
      <c r="GF109" s="150"/>
      <c r="GG109" s="150"/>
      <c r="GH109" s="150"/>
      <c r="GI109" s="150"/>
      <c r="GJ109" s="150"/>
      <c r="GK109" s="150"/>
      <c r="GL109" s="150"/>
      <c r="GM109" s="150"/>
      <c r="GN109" s="150"/>
      <c r="GO109" s="150"/>
      <c r="GP109" s="150"/>
      <c r="GQ109" s="150"/>
      <c r="GR109" s="150"/>
      <c r="GS109" s="150"/>
      <c r="GT109" s="150"/>
      <c r="GU109" s="150"/>
      <c r="GV109" s="150"/>
      <c r="GW109" s="150"/>
      <c r="GX109" s="150"/>
      <c r="GY109" s="150"/>
      <c r="GZ109" s="150"/>
      <c r="HA109" s="150"/>
      <c r="HB109" s="150"/>
      <c r="HC109" s="150"/>
      <c r="HD109" s="150"/>
      <c r="HE109" s="150"/>
      <c r="HF109" s="150"/>
      <c r="HG109" s="150"/>
      <c r="HH109" s="150"/>
      <c r="HI109" s="150"/>
      <c r="HJ109" s="150"/>
      <c r="HK109" s="150"/>
      <c r="HL109" s="150"/>
      <c r="HM109" s="150"/>
      <c r="HN109" s="150"/>
      <c r="HO109" s="150"/>
      <c r="HP109" s="150"/>
      <c r="HQ109" s="150"/>
      <c r="HR109" s="150"/>
      <c r="HS109" s="150"/>
      <c r="HT109" s="150"/>
      <c r="HU109" s="150"/>
      <c r="HV109" s="150"/>
      <c r="HW109" s="150"/>
      <c r="HX109" s="150"/>
      <c r="HY109" s="150"/>
      <c r="HZ109" s="150"/>
      <c r="IA109" s="150"/>
      <c r="IB109" s="150"/>
      <c r="IC109" s="150"/>
      <c r="ID109" s="150"/>
      <c r="IE109" s="150"/>
      <c r="IF109" s="150"/>
      <c r="IG109" s="150"/>
      <c r="IH109" s="150"/>
      <c r="II109" s="150"/>
      <c r="IJ109" s="150"/>
      <c r="IK109" s="150"/>
      <c r="IL109" s="150"/>
      <c r="IM109" s="150"/>
      <c r="IN109" s="150"/>
      <c r="IO109" s="150"/>
      <c r="IP109" s="150"/>
      <c r="IQ109" s="150"/>
      <c r="IR109" s="150"/>
      <c r="IS109" s="150"/>
      <c r="IT109" s="150"/>
      <c r="IU109" s="150"/>
      <c r="IV109" s="150"/>
      <c r="IW109" s="150"/>
      <c r="IX109" s="150"/>
      <c r="IY109" s="150"/>
      <c r="IZ109" s="150"/>
      <c r="JA109" s="150"/>
      <c r="JB109" s="150"/>
      <c r="JC109" s="150"/>
      <c r="JD109" s="150"/>
      <c r="JE109" s="150"/>
      <c r="JF109" s="150"/>
      <c r="JG109" s="150"/>
      <c r="JH109" s="150"/>
      <c r="JI109" s="150"/>
      <c r="JJ109" s="150"/>
      <c r="JK109" s="150"/>
      <c r="JL109" s="150"/>
      <c r="JM109" s="150"/>
      <c r="JN109" s="150"/>
      <c r="JO109" s="150"/>
      <c r="JP109" s="150"/>
      <c r="JQ109" s="150"/>
      <c r="JR109" s="150"/>
      <c r="JS109" s="150"/>
      <c r="JT109" s="150"/>
      <c r="JU109" s="150"/>
      <c r="JV109" s="150"/>
      <c r="JW109" s="150"/>
      <c r="JX109" s="150"/>
      <c r="JY109" s="150"/>
      <c r="JZ109" s="150"/>
      <c r="KA109" s="150"/>
      <c r="KB109" s="150"/>
      <c r="KC109" s="150"/>
      <c r="KD109" s="150"/>
      <c r="KE109" s="150"/>
      <c r="KF109" s="150"/>
      <c r="KG109" s="150"/>
      <c r="KH109" s="150"/>
      <c r="KI109" s="150"/>
      <c r="KJ109" s="150"/>
      <c r="KK109" s="150"/>
      <c r="KL109" s="150"/>
      <c r="KM109" s="150"/>
      <c r="KN109" s="150"/>
      <c r="KO109" s="150"/>
      <c r="KP109" s="150"/>
      <c r="KQ109" s="150"/>
      <c r="KR109" s="150"/>
      <c r="KS109" s="150"/>
      <c r="KT109" s="150"/>
      <c r="KU109" s="150"/>
      <c r="KV109" s="150"/>
      <c r="KW109" s="150"/>
      <c r="KX109" s="150"/>
      <c r="KY109" s="150"/>
      <c r="KZ109" s="150"/>
      <c r="LA109" s="150"/>
      <c r="LB109" s="150"/>
      <c r="LC109" s="150"/>
      <c r="LD109" s="150"/>
      <c r="LE109" s="150"/>
      <c r="LF109" s="150"/>
      <c r="LG109" s="150"/>
      <c r="LH109" s="150"/>
      <c r="LI109" s="150"/>
      <c r="LJ109" s="150"/>
      <c r="LK109" s="150"/>
      <c r="LL109" s="150"/>
      <c r="LM109" s="150"/>
      <c r="LN109" s="150"/>
      <c r="LO109" s="150"/>
      <c r="LP109" s="150"/>
      <c r="LQ109" s="150"/>
      <c r="LR109" s="150"/>
      <c r="LS109" s="150"/>
      <c r="LT109" s="150"/>
      <c r="LU109" s="150"/>
      <c r="LV109" s="150"/>
      <c r="LW109" s="150"/>
      <c r="LX109" s="150"/>
      <c r="LY109" s="150"/>
      <c r="LZ109" s="150"/>
      <c r="MA109" s="150"/>
      <c r="MB109" s="150"/>
      <c r="MC109" s="150"/>
      <c r="MD109" s="150"/>
      <c r="ME109" s="150"/>
      <c r="MF109" s="150"/>
      <c r="MG109" s="150"/>
      <c r="MH109" s="150"/>
      <c r="MI109" s="150"/>
      <c r="MJ109" s="150"/>
      <c r="MK109" s="150"/>
      <c r="ML109" s="150"/>
      <c r="MM109" s="150"/>
      <c r="MN109" s="150"/>
      <c r="MO109" s="150"/>
      <c r="MP109" s="150"/>
      <c r="MQ109" s="150"/>
      <c r="MR109" s="150"/>
      <c r="MS109" s="150"/>
      <c r="MT109" s="150"/>
      <c r="MU109" s="150"/>
      <c r="MV109" s="150"/>
      <c r="MW109" s="150"/>
      <c r="MX109" s="150"/>
      <c r="MY109" s="150"/>
      <c r="MZ109" s="150"/>
      <c r="NA109" s="150"/>
      <c r="NB109" s="150"/>
      <c r="NC109" s="150"/>
      <c r="ND109" s="150"/>
      <c r="NE109" s="150"/>
      <c r="NF109" s="150"/>
      <c r="NG109" s="150"/>
      <c r="NH109" s="150"/>
      <c r="NI109" s="150"/>
      <c r="NJ109" s="150"/>
      <c r="NK109" s="150"/>
      <c r="NL109" s="150"/>
      <c r="NM109" s="150"/>
      <c r="NN109" s="150"/>
      <c r="NO109" s="150"/>
      <c r="NP109" s="150"/>
      <c r="NQ109" s="150"/>
      <c r="NR109" s="150"/>
      <c r="NS109" s="150"/>
      <c r="NT109" s="150"/>
      <c r="NU109" s="150"/>
      <c r="NV109" s="150"/>
      <c r="NW109" s="150"/>
      <c r="NX109" s="150"/>
      <c r="NY109" s="150"/>
      <c r="NZ109" s="150"/>
      <c r="OA109" s="150"/>
      <c r="OB109" s="150"/>
      <c r="OC109" s="150"/>
      <c r="OD109" s="150"/>
      <c r="OE109" s="150"/>
    </row>
    <row r="110" spans="1:395" ht="15">
      <c r="A110" s="19"/>
      <c r="B110" s="17"/>
      <c r="C110" s="187"/>
      <c r="D110" s="187" t="s">
        <v>402</v>
      </c>
      <c r="E110" s="187" t="s">
        <v>403</v>
      </c>
      <c r="F110" s="187" t="s">
        <v>404</v>
      </c>
      <c r="G110" s="187" t="s">
        <v>402</v>
      </c>
      <c r="H110" s="187" t="s">
        <v>403</v>
      </c>
      <c r="I110" s="187" t="s">
        <v>404</v>
      </c>
      <c r="J110" s="187" t="s">
        <v>402</v>
      </c>
      <c r="K110" s="187" t="s">
        <v>403</v>
      </c>
      <c r="L110" s="187" t="s">
        <v>404</v>
      </c>
      <c r="M110" s="187" t="s">
        <v>402</v>
      </c>
      <c r="N110" s="187" t="s">
        <v>403</v>
      </c>
      <c r="O110" s="187" t="s">
        <v>404</v>
      </c>
      <c r="P110" s="187" t="s">
        <v>402</v>
      </c>
      <c r="Q110" s="187" t="s">
        <v>403</v>
      </c>
      <c r="R110" s="187" t="s">
        <v>404</v>
      </c>
      <c r="S110" s="187" t="s">
        <v>402</v>
      </c>
      <c r="T110" s="187" t="s">
        <v>403</v>
      </c>
      <c r="U110" s="187" t="s">
        <v>404</v>
      </c>
      <c r="V110" s="187" t="s">
        <v>402</v>
      </c>
      <c r="W110" s="187" t="s">
        <v>403</v>
      </c>
      <c r="X110" s="187" t="s">
        <v>404</v>
      </c>
      <c r="Y110" s="187" t="s">
        <v>402</v>
      </c>
      <c r="Z110" s="187" t="s">
        <v>403</v>
      </c>
      <c r="AA110" s="187" t="s">
        <v>404</v>
      </c>
      <c r="AB110" s="187" t="s">
        <v>402</v>
      </c>
      <c r="AC110" s="187" t="s">
        <v>403</v>
      </c>
      <c r="AD110" s="187" t="s">
        <v>404</v>
      </c>
      <c r="AE110" s="187" t="s">
        <v>402</v>
      </c>
      <c r="AF110" s="187" t="s">
        <v>403</v>
      </c>
      <c r="AG110" s="187" t="s">
        <v>404</v>
      </c>
      <c r="AH110" s="187" t="s">
        <v>402</v>
      </c>
      <c r="AI110" s="187" t="s">
        <v>403</v>
      </c>
      <c r="AJ110" s="187" t="s">
        <v>404</v>
      </c>
      <c r="AK110" s="187" t="s">
        <v>402</v>
      </c>
      <c r="AL110" s="187" t="s">
        <v>403</v>
      </c>
      <c r="AM110" s="187" t="s">
        <v>404</v>
      </c>
      <c r="AN110" s="187" t="s">
        <v>402</v>
      </c>
      <c r="AO110" s="187" t="s">
        <v>403</v>
      </c>
      <c r="AP110" s="187" t="s">
        <v>404</v>
      </c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  <c r="BI110" s="150"/>
      <c r="BJ110" s="150"/>
      <c r="BK110" s="150"/>
      <c r="BL110" s="150"/>
      <c r="BM110" s="150"/>
      <c r="BN110" s="150"/>
      <c r="BO110" s="150"/>
      <c r="BP110" s="150"/>
      <c r="BQ110" s="150"/>
      <c r="BR110" s="150"/>
      <c r="BS110" s="150"/>
      <c r="BT110" s="150"/>
      <c r="BU110" s="150"/>
      <c r="BV110" s="150"/>
      <c r="BW110" s="150"/>
      <c r="BX110" s="150"/>
      <c r="BY110" s="150"/>
      <c r="BZ110" s="150"/>
      <c r="CA110" s="150"/>
      <c r="CB110" s="150"/>
      <c r="CC110" s="150"/>
      <c r="CD110" s="150"/>
      <c r="CE110" s="150"/>
      <c r="CF110" s="150"/>
      <c r="CG110" s="150"/>
      <c r="CH110" s="150"/>
      <c r="CI110" s="150"/>
      <c r="CJ110" s="150"/>
      <c r="CK110" s="150"/>
      <c r="CL110" s="150"/>
      <c r="CM110" s="150"/>
      <c r="CN110" s="150"/>
      <c r="CO110" s="150"/>
      <c r="CP110" s="150"/>
      <c r="CQ110" s="150"/>
      <c r="CR110" s="150"/>
      <c r="CS110" s="150"/>
      <c r="CT110" s="150"/>
      <c r="CU110" s="150"/>
      <c r="CV110" s="150"/>
      <c r="CW110" s="150"/>
      <c r="CX110" s="150"/>
      <c r="CY110" s="150"/>
      <c r="CZ110" s="150"/>
      <c r="DA110" s="150"/>
      <c r="DB110" s="150"/>
      <c r="DC110" s="150"/>
      <c r="DD110" s="150"/>
      <c r="DE110" s="150"/>
      <c r="DF110" s="150"/>
      <c r="DG110" s="150"/>
      <c r="DH110" s="150"/>
      <c r="DI110" s="150"/>
      <c r="DJ110" s="150"/>
      <c r="DK110" s="150"/>
      <c r="DL110" s="150"/>
      <c r="DM110" s="150"/>
      <c r="DN110" s="150"/>
      <c r="DO110" s="150"/>
      <c r="DP110" s="150"/>
      <c r="DQ110" s="150"/>
      <c r="DR110" s="150"/>
      <c r="DS110" s="150"/>
      <c r="DT110" s="150"/>
      <c r="DU110" s="150"/>
      <c r="DV110" s="150"/>
      <c r="DW110" s="150"/>
      <c r="DX110" s="150"/>
      <c r="DY110" s="150"/>
      <c r="DZ110" s="150"/>
      <c r="EA110" s="150"/>
      <c r="EB110" s="150"/>
      <c r="EC110" s="150"/>
      <c r="ED110" s="150"/>
      <c r="EE110" s="150"/>
      <c r="EF110" s="150"/>
      <c r="EG110" s="150"/>
      <c r="EH110" s="150"/>
      <c r="EI110" s="150"/>
      <c r="EJ110" s="150"/>
      <c r="EK110" s="150"/>
      <c r="EL110" s="150"/>
      <c r="EM110" s="150"/>
      <c r="EN110" s="150"/>
      <c r="EO110" s="150"/>
      <c r="EP110" s="150"/>
      <c r="EQ110" s="150"/>
      <c r="ER110" s="150"/>
      <c r="ES110" s="150"/>
      <c r="ET110" s="150"/>
      <c r="EU110" s="150"/>
      <c r="EV110" s="150"/>
      <c r="EW110" s="150"/>
      <c r="EX110" s="150"/>
      <c r="EY110" s="150"/>
      <c r="EZ110" s="150"/>
      <c r="FA110" s="150"/>
      <c r="FB110" s="150"/>
      <c r="FC110" s="150"/>
      <c r="FD110" s="150"/>
      <c r="FE110" s="150"/>
      <c r="FF110" s="150"/>
      <c r="FG110" s="150"/>
      <c r="FH110" s="150"/>
      <c r="FI110" s="150"/>
      <c r="FJ110" s="150"/>
      <c r="FK110" s="150"/>
      <c r="FL110" s="150"/>
      <c r="FM110" s="150"/>
      <c r="FN110" s="150"/>
      <c r="FO110" s="150"/>
      <c r="FP110" s="150"/>
      <c r="FQ110" s="150"/>
      <c r="FR110" s="150"/>
      <c r="FS110" s="150"/>
      <c r="FT110" s="150"/>
      <c r="FU110" s="150"/>
      <c r="FV110" s="150"/>
      <c r="FW110" s="150"/>
      <c r="FX110" s="150"/>
      <c r="FY110" s="150"/>
      <c r="FZ110" s="150"/>
      <c r="GA110" s="150"/>
      <c r="GB110" s="150"/>
      <c r="GC110" s="150"/>
      <c r="GD110" s="150"/>
      <c r="GE110" s="150"/>
      <c r="GF110" s="150"/>
      <c r="GG110" s="150"/>
      <c r="GH110" s="150"/>
      <c r="GI110" s="150"/>
      <c r="GJ110" s="150"/>
      <c r="GK110" s="150"/>
      <c r="GL110" s="150"/>
      <c r="GM110" s="150"/>
      <c r="GN110" s="150"/>
      <c r="GO110" s="150"/>
      <c r="GP110" s="150"/>
      <c r="GQ110" s="150"/>
      <c r="GR110" s="150"/>
      <c r="GS110" s="150"/>
      <c r="GT110" s="150"/>
      <c r="GU110" s="150"/>
      <c r="GV110" s="150"/>
      <c r="GW110" s="150"/>
      <c r="GX110" s="150"/>
      <c r="GY110" s="150"/>
      <c r="GZ110" s="150"/>
      <c r="HA110" s="150"/>
      <c r="HB110" s="150"/>
      <c r="HC110" s="150"/>
      <c r="HD110" s="150"/>
      <c r="HE110" s="150"/>
      <c r="HF110" s="150"/>
      <c r="HG110" s="150"/>
      <c r="HH110" s="150"/>
      <c r="HI110" s="150"/>
      <c r="HJ110" s="150"/>
      <c r="HK110" s="150"/>
      <c r="HL110" s="150"/>
      <c r="HM110" s="150"/>
      <c r="HN110" s="150"/>
      <c r="HO110" s="150"/>
      <c r="HP110" s="150"/>
      <c r="HQ110" s="150"/>
      <c r="HR110" s="150"/>
      <c r="HS110" s="150"/>
      <c r="HT110" s="150"/>
      <c r="HU110" s="150"/>
      <c r="HV110" s="150"/>
      <c r="HW110" s="150"/>
      <c r="HX110" s="150"/>
      <c r="HY110" s="150"/>
      <c r="HZ110" s="150"/>
      <c r="IA110" s="150"/>
      <c r="IB110" s="150"/>
      <c r="IC110" s="150"/>
      <c r="ID110" s="150"/>
      <c r="IE110" s="150"/>
      <c r="IF110" s="150"/>
      <c r="IG110" s="150"/>
      <c r="IH110" s="150"/>
      <c r="II110" s="150"/>
      <c r="IJ110" s="150"/>
      <c r="IK110" s="150"/>
      <c r="IL110" s="150"/>
      <c r="IM110" s="150"/>
      <c r="IN110" s="150"/>
      <c r="IO110" s="150"/>
      <c r="IP110" s="150"/>
      <c r="IQ110" s="150"/>
      <c r="IR110" s="150"/>
      <c r="IS110" s="150"/>
      <c r="IT110" s="150"/>
      <c r="IU110" s="150"/>
      <c r="IV110" s="150"/>
      <c r="IW110" s="150"/>
      <c r="IX110" s="150"/>
      <c r="IY110" s="150"/>
      <c r="IZ110" s="150"/>
      <c r="JA110" s="150"/>
      <c r="JB110" s="150"/>
      <c r="JC110" s="150"/>
      <c r="JD110" s="150"/>
      <c r="JE110" s="150"/>
      <c r="JF110" s="150"/>
      <c r="JG110" s="150"/>
      <c r="JH110" s="150"/>
      <c r="JI110" s="150"/>
      <c r="JJ110" s="150"/>
      <c r="JK110" s="150"/>
      <c r="JL110" s="150"/>
      <c r="JM110" s="150"/>
      <c r="JN110" s="150"/>
      <c r="JO110" s="150"/>
      <c r="JP110" s="150"/>
      <c r="JQ110" s="150"/>
      <c r="JR110" s="150"/>
      <c r="JS110" s="150"/>
      <c r="JT110" s="150"/>
      <c r="JU110" s="150"/>
      <c r="JV110" s="150"/>
      <c r="JW110" s="150"/>
      <c r="JX110" s="150"/>
      <c r="JY110" s="150"/>
      <c r="JZ110" s="150"/>
      <c r="KA110" s="150"/>
      <c r="KB110" s="150"/>
      <c r="KC110" s="150"/>
      <c r="KD110" s="150"/>
      <c r="KE110" s="150"/>
      <c r="KF110" s="150"/>
      <c r="KG110" s="150"/>
      <c r="KH110" s="150"/>
      <c r="KI110" s="150"/>
      <c r="KJ110" s="150"/>
      <c r="KK110" s="150"/>
      <c r="KL110" s="150"/>
      <c r="KM110" s="150"/>
      <c r="KN110" s="150"/>
      <c r="KO110" s="150"/>
      <c r="KP110" s="150"/>
      <c r="KQ110" s="150"/>
      <c r="KR110" s="150"/>
      <c r="KS110" s="150"/>
      <c r="KT110" s="150"/>
      <c r="KU110" s="150"/>
      <c r="KV110" s="150"/>
      <c r="KW110" s="150"/>
      <c r="KX110" s="150"/>
      <c r="KY110" s="150"/>
      <c r="KZ110" s="150"/>
      <c r="LA110" s="150"/>
      <c r="LB110" s="150"/>
      <c r="LC110" s="150"/>
      <c r="LD110" s="150"/>
      <c r="LE110" s="150"/>
      <c r="LF110" s="150"/>
      <c r="LG110" s="150"/>
      <c r="LH110" s="150"/>
      <c r="LI110" s="150"/>
      <c r="LJ110" s="150"/>
      <c r="LK110" s="150"/>
      <c r="LL110" s="150"/>
      <c r="LM110" s="150"/>
      <c r="LN110" s="150"/>
      <c r="LO110" s="150"/>
      <c r="LP110" s="150"/>
      <c r="LQ110" s="150"/>
      <c r="LR110" s="150"/>
      <c r="LS110" s="150"/>
      <c r="LT110" s="150"/>
      <c r="LU110" s="150"/>
      <c r="LV110" s="150"/>
      <c r="LW110" s="150"/>
      <c r="LX110" s="150"/>
      <c r="LY110" s="150"/>
      <c r="LZ110" s="150"/>
      <c r="MA110" s="150"/>
      <c r="MB110" s="150"/>
      <c r="MC110" s="150"/>
      <c r="MD110" s="150"/>
      <c r="ME110" s="150"/>
      <c r="MF110" s="150"/>
      <c r="MG110" s="150"/>
      <c r="MH110" s="150"/>
      <c r="MI110" s="150"/>
      <c r="MJ110" s="150"/>
      <c r="MK110" s="150"/>
      <c r="ML110" s="150"/>
      <c r="MM110" s="150"/>
      <c r="MN110" s="150"/>
      <c r="MO110" s="150"/>
      <c r="MP110" s="150"/>
      <c r="MQ110" s="150"/>
      <c r="MR110" s="150"/>
      <c r="MS110" s="150"/>
      <c r="MT110" s="150"/>
      <c r="MU110" s="150"/>
      <c r="MV110" s="150"/>
      <c r="MW110" s="150"/>
      <c r="MX110" s="150"/>
      <c r="MY110" s="150"/>
      <c r="MZ110" s="150"/>
      <c r="NA110" s="150"/>
      <c r="NB110" s="150"/>
      <c r="NC110" s="150"/>
      <c r="ND110" s="150"/>
      <c r="NE110" s="150"/>
      <c r="NF110" s="150"/>
      <c r="NG110" s="150"/>
      <c r="NH110" s="150"/>
      <c r="NI110" s="150"/>
      <c r="NJ110" s="150"/>
      <c r="NK110" s="150"/>
      <c r="NL110" s="150"/>
      <c r="NM110" s="150"/>
      <c r="NN110" s="150"/>
      <c r="NO110" s="150"/>
      <c r="NP110" s="150"/>
      <c r="NQ110" s="150"/>
      <c r="NR110" s="150"/>
      <c r="NS110" s="150"/>
      <c r="NT110" s="150"/>
      <c r="NU110" s="150"/>
      <c r="NV110" s="150"/>
      <c r="NW110" s="150"/>
      <c r="NX110" s="150"/>
      <c r="NY110" s="150"/>
      <c r="NZ110" s="150"/>
      <c r="OA110" s="150"/>
      <c r="OB110" s="150"/>
      <c r="OC110" s="150"/>
      <c r="OD110" s="150"/>
      <c r="OE110" s="150"/>
    </row>
    <row r="111" spans="1:395" ht="15">
      <c r="A111" s="19"/>
      <c r="B111" s="17"/>
      <c r="C111" s="187">
        <v>2020</v>
      </c>
      <c r="D111" s="187">
        <v>155</v>
      </c>
      <c r="E111" s="187">
        <v>253</v>
      </c>
      <c r="F111" s="187">
        <v>371</v>
      </c>
      <c r="G111" s="187">
        <v>360</v>
      </c>
      <c r="H111" s="187">
        <v>253</v>
      </c>
      <c r="I111" s="187">
        <v>558</v>
      </c>
      <c r="J111" s="187">
        <v>232</v>
      </c>
      <c r="K111" s="187">
        <v>221</v>
      </c>
      <c r="L111" s="187">
        <v>412</v>
      </c>
      <c r="M111" s="187">
        <v>228</v>
      </c>
      <c r="N111" s="187">
        <v>221</v>
      </c>
      <c r="O111" s="187">
        <v>408</v>
      </c>
      <c r="P111" s="187">
        <v>247</v>
      </c>
      <c r="Q111" s="187">
        <v>253</v>
      </c>
      <c r="R111" s="187">
        <v>455</v>
      </c>
      <c r="S111" s="187">
        <v>248</v>
      </c>
      <c r="T111" s="187">
        <v>253</v>
      </c>
      <c r="U111" s="187">
        <v>455</v>
      </c>
      <c r="V111" s="187">
        <v>292</v>
      </c>
      <c r="W111" s="187">
        <v>759</v>
      </c>
      <c r="X111" s="187">
        <v>955</v>
      </c>
      <c r="Y111" s="187">
        <v>252</v>
      </c>
      <c r="Z111" s="187">
        <v>538</v>
      </c>
      <c r="AA111" s="187">
        <v>718</v>
      </c>
      <c r="AB111" s="187">
        <v>265</v>
      </c>
      <c r="AC111" s="187">
        <v>380</v>
      </c>
      <c r="AD111" s="187">
        <v>586</v>
      </c>
      <c r="AE111" s="187">
        <v>280</v>
      </c>
      <c r="AF111" s="187">
        <v>158</v>
      </c>
      <c r="AG111" s="187">
        <v>398</v>
      </c>
      <c r="AH111" s="187">
        <v>240</v>
      </c>
      <c r="AI111" s="187">
        <v>632</v>
      </c>
      <c r="AJ111" s="187">
        <v>794</v>
      </c>
      <c r="AK111" s="187">
        <v>237</v>
      </c>
      <c r="AL111" s="187">
        <v>253</v>
      </c>
      <c r="AM111" s="187">
        <v>445</v>
      </c>
      <c r="AN111" s="187">
        <v>260</v>
      </c>
      <c r="AO111" s="187">
        <v>190</v>
      </c>
      <c r="AP111" s="187">
        <v>409</v>
      </c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  <c r="BI111" s="150"/>
      <c r="BJ111" s="150"/>
      <c r="BK111" s="150"/>
      <c r="BL111" s="150"/>
      <c r="BM111" s="150"/>
      <c r="BN111" s="150"/>
      <c r="BO111" s="150"/>
      <c r="BP111" s="150"/>
      <c r="BQ111" s="150"/>
      <c r="BR111" s="150"/>
      <c r="BS111" s="150"/>
      <c r="BT111" s="150"/>
      <c r="BU111" s="150"/>
      <c r="BV111" s="150"/>
      <c r="BW111" s="150"/>
      <c r="BX111" s="150"/>
      <c r="BY111" s="150"/>
      <c r="BZ111" s="150"/>
      <c r="CA111" s="150"/>
      <c r="CB111" s="150"/>
      <c r="CC111" s="150"/>
      <c r="CD111" s="150"/>
      <c r="CE111" s="150"/>
      <c r="CF111" s="150"/>
      <c r="CG111" s="150"/>
      <c r="CH111" s="150"/>
      <c r="CI111" s="150"/>
      <c r="CJ111" s="150"/>
      <c r="CK111" s="150"/>
      <c r="CL111" s="150"/>
      <c r="CM111" s="150"/>
      <c r="CN111" s="150"/>
      <c r="CO111" s="150"/>
      <c r="CP111" s="150"/>
      <c r="CQ111" s="150"/>
      <c r="CR111" s="150"/>
      <c r="CS111" s="150"/>
      <c r="CT111" s="150"/>
      <c r="CU111" s="150"/>
      <c r="CV111" s="150"/>
      <c r="CW111" s="150"/>
      <c r="CX111" s="150"/>
      <c r="CY111" s="150"/>
      <c r="CZ111" s="150"/>
      <c r="DA111" s="150"/>
      <c r="DB111" s="150"/>
      <c r="DC111" s="150"/>
      <c r="DD111" s="150"/>
      <c r="DE111" s="150"/>
      <c r="DF111" s="150"/>
      <c r="DG111" s="150"/>
      <c r="DH111" s="150"/>
      <c r="DI111" s="150"/>
      <c r="DJ111" s="150"/>
      <c r="DK111" s="150"/>
      <c r="DL111" s="150"/>
      <c r="DM111" s="150"/>
      <c r="DN111" s="150"/>
      <c r="DO111" s="150"/>
      <c r="DP111" s="150"/>
      <c r="DQ111" s="150"/>
      <c r="DR111" s="150"/>
      <c r="DS111" s="150"/>
      <c r="DT111" s="150"/>
      <c r="DU111" s="150"/>
      <c r="DV111" s="150"/>
      <c r="DW111" s="150"/>
      <c r="DX111" s="150"/>
      <c r="DY111" s="150"/>
      <c r="DZ111" s="150"/>
      <c r="EA111" s="150"/>
      <c r="EB111" s="150"/>
      <c r="EC111" s="150"/>
      <c r="ED111" s="150"/>
      <c r="EE111" s="150"/>
      <c r="EF111" s="150"/>
      <c r="EG111" s="150"/>
      <c r="EH111" s="150"/>
      <c r="EI111" s="150"/>
      <c r="EJ111" s="150"/>
      <c r="EK111" s="150"/>
      <c r="EL111" s="150"/>
      <c r="EM111" s="150"/>
      <c r="EN111" s="150"/>
      <c r="EO111" s="150"/>
      <c r="EP111" s="150"/>
      <c r="EQ111" s="150"/>
      <c r="ER111" s="150"/>
      <c r="ES111" s="150"/>
      <c r="ET111" s="150"/>
      <c r="EU111" s="150"/>
      <c r="EV111" s="150"/>
      <c r="EW111" s="150"/>
      <c r="EX111" s="150"/>
      <c r="EY111" s="150"/>
      <c r="EZ111" s="150"/>
      <c r="FA111" s="150"/>
      <c r="FB111" s="150"/>
      <c r="FC111" s="150"/>
      <c r="FD111" s="150"/>
      <c r="FE111" s="150"/>
      <c r="FF111" s="150"/>
      <c r="FG111" s="150"/>
      <c r="FH111" s="150"/>
      <c r="FI111" s="150"/>
      <c r="FJ111" s="150"/>
      <c r="FK111" s="150"/>
      <c r="FL111" s="150"/>
      <c r="FM111" s="150"/>
      <c r="FN111" s="150"/>
      <c r="FO111" s="150"/>
      <c r="FP111" s="150"/>
      <c r="FQ111" s="150"/>
      <c r="FR111" s="150"/>
      <c r="FS111" s="150"/>
      <c r="FT111" s="150"/>
      <c r="FU111" s="150"/>
      <c r="FV111" s="150"/>
      <c r="FW111" s="150"/>
      <c r="FX111" s="150"/>
      <c r="FY111" s="150"/>
      <c r="FZ111" s="150"/>
      <c r="GA111" s="150"/>
      <c r="GB111" s="150"/>
      <c r="GC111" s="150"/>
      <c r="GD111" s="150"/>
      <c r="GE111" s="150"/>
      <c r="GF111" s="150"/>
      <c r="GG111" s="150"/>
      <c r="GH111" s="150"/>
      <c r="GI111" s="150"/>
      <c r="GJ111" s="150"/>
      <c r="GK111" s="150"/>
      <c r="GL111" s="150"/>
      <c r="GM111" s="150"/>
      <c r="GN111" s="150"/>
      <c r="GO111" s="150"/>
      <c r="GP111" s="150"/>
      <c r="GQ111" s="150"/>
      <c r="GR111" s="150"/>
      <c r="GS111" s="150"/>
      <c r="GT111" s="150"/>
      <c r="GU111" s="150"/>
      <c r="GV111" s="150"/>
      <c r="GW111" s="150"/>
      <c r="GX111" s="150"/>
      <c r="GY111" s="150"/>
      <c r="GZ111" s="150"/>
      <c r="HA111" s="150"/>
      <c r="HB111" s="150"/>
      <c r="HC111" s="150"/>
      <c r="HD111" s="150"/>
      <c r="HE111" s="150"/>
      <c r="HF111" s="150"/>
      <c r="HG111" s="150"/>
      <c r="HH111" s="150"/>
      <c r="HI111" s="150"/>
      <c r="HJ111" s="150"/>
      <c r="HK111" s="150"/>
      <c r="HL111" s="150"/>
      <c r="HM111" s="150"/>
      <c r="HN111" s="150"/>
      <c r="HO111" s="150"/>
      <c r="HP111" s="150"/>
      <c r="HQ111" s="150"/>
      <c r="HR111" s="150"/>
      <c r="HS111" s="150"/>
      <c r="HT111" s="150"/>
      <c r="HU111" s="150"/>
      <c r="HV111" s="150"/>
      <c r="HW111" s="150"/>
      <c r="HX111" s="150"/>
      <c r="HY111" s="150"/>
      <c r="HZ111" s="150"/>
      <c r="IA111" s="150"/>
      <c r="IB111" s="150"/>
      <c r="IC111" s="150"/>
      <c r="ID111" s="150"/>
      <c r="IE111" s="150"/>
      <c r="IF111" s="150"/>
      <c r="IG111" s="150"/>
      <c r="IH111" s="150"/>
      <c r="II111" s="150"/>
      <c r="IJ111" s="150"/>
      <c r="IK111" s="150"/>
      <c r="IL111" s="150"/>
      <c r="IM111" s="150"/>
      <c r="IN111" s="150"/>
      <c r="IO111" s="150"/>
      <c r="IP111" s="150"/>
      <c r="IQ111" s="150"/>
      <c r="IR111" s="150"/>
      <c r="IS111" s="150"/>
      <c r="IT111" s="150"/>
      <c r="IU111" s="150"/>
      <c r="IV111" s="150"/>
      <c r="IW111" s="150"/>
      <c r="IX111" s="150"/>
      <c r="IY111" s="150"/>
      <c r="IZ111" s="150"/>
      <c r="JA111" s="150"/>
      <c r="JB111" s="150"/>
      <c r="JC111" s="150"/>
      <c r="JD111" s="150"/>
      <c r="JE111" s="150"/>
      <c r="JF111" s="150"/>
      <c r="JG111" s="150"/>
      <c r="JH111" s="150"/>
      <c r="JI111" s="150"/>
      <c r="JJ111" s="150"/>
      <c r="JK111" s="150"/>
      <c r="JL111" s="150"/>
      <c r="JM111" s="150"/>
      <c r="JN111" s="150"/>
      <c r="JO111" s="150"/>
      <c r="JP111" s="150"/>
      <c r="JQ111" s="150"/>
      <c r="JR111" s="150"/>
      <c r="JS111" s="150"/>
      <c r="JT111" s="150"/>
      <c r="JU111" s="150"/>
      <c r="JV111" s="150"/>
      <c r="JW111" s="150"/>
      <c r="JX111" s="150"/>
      <c r="JY111" s="150"/>
      <c r="JZ111" s="150"/>
      <c r="KA111" s="150"/>
      <c r="KB111" s="150"/>
      <c r="KC111" s="150"/>
      <c r="KD111" s="150"/>
      <c r="KE111" s="150"/>
      <c r="KF111" s="150"/>
      <c r="KG111" s="150"/>
      <c r="KH111" s="150"/>
      <c r="KI111" s="150"/>
      <c r="KJ111" s="150"/>
      <c r="KK111" s="150"/>
      <c r="KL111" s="150"/>
      <c r="KM111" s="150"/>
      <c r="KN111" s="150"/>
      <c r="KO111" s="150"/>
      <c r="KP111" s="150"/>
      <c r="KQ111" s="150"/>
      <c r="KR111" s="150"/>
      <c r="KS111" s="150"/>
      <c r="KT111" s="150"/>
      <c r="KU111" s="150"/>
      <c r="KV111" s="150"/>
      <c r="KW111" s="150"/>
      <c r="KX111" s="150"/>
      <c r="KY111" s="150"/>
      <c r="KZ111" s="150"/>
      <c r="LA111" s="150"/>
      <c r="LB111" s="150"/>
      <c r="LC111" s="150"/>
      <c r="LD111" s="150"/>
      <c r="LE111" s="150"/>
      <c r="LF111" s="150"/>
      <c r="LG111" s="150"/>
      <c r="LH111" s="150"/>
      <c r="LI111" s="150"/>
      <c r="LJ111" s="150"/>
      <c r="LK111" s="150"/>
      <c r="LL111" s="150"/>
      <c r="LM111" s="150"/>
      <c r="LN111" s="150"/>
      <c r="LO111" s="150"/>
      <c r="LP111" s="150"/>
      <c r="LQ111" s="150"/>
      <c r="LR111" s="150"/>
      <c r="LS111" s="150"/>
      <c r="LT111" s="150"/>
      <c r="LU111" s="150"/>
      <c r="LV111" s="150"/>
      <c r="LW111" s="150"/>
      <c r="LX111" s="150"/>
      <c r="LY111" s="150"/>
      <c r="LZ111" s="150"/>
      <c r="MA111" s="150"/>
      <c r="MB111" s="150"/>
      <c r="MC111" s="150"/>
      <c r="MD111" s="150"/>
      <c r="ME111" s="150"/>
      <c r="MF111" s="150"/>
      <c r="MG111" s="150"/>
      <c r="MH111" s="150"/>
      <c r="MI111" s="150"/>
      <c r="MJ111" s="150"/>
      <c r="MK111" s="150"/>
      <c r="ML111" s="150"/>
      <c r="MM111" s="150"/>
      <c r="MN111" s="150"/>
      <c r="MO111" s="150"/>
      <c r="MP111" s="150"/>
      <c r="MQ111" s="150"/>
      <c r="MR111" s="150"/>
      <c r="MS111" s="150"/>
      <c r="MT111" s="150"/>
      <c r="MU111" s="150"/>
      <c r="MV111" s="150"/>
      <c r="MW111" s="150"/>
      <c r="MX111" s="150"/>
      <c r="MY111" s="150"/>
      <c r="MZ111" s="150"/>
      <c r="NA111" s="150"/>
      <c r="NB111" s="150"/>
      <c r="NC111" s="150"/>
      <c r="ND111" s="150"/>
      <c r="NE111" s="150"/>
      <c r="NF111" s="150"/>
      <c r="NG111" s="150"/>
      <c r="NH111" s="150"/>
      <c r="NI111" s="150"/>
      <c r="NJ111" s="150"/>
      <c r="NK111" s="150"/>
      <c r="NL111" s="150"/>
      <c r="NM111" s="150"/>
      <c r="NN111" s="150"/>
      <c r="NO111" s="150"/>
      <c r="NP111" s="150"/>
      <c r="NQ111" s="150"/>
      <c r="NR111" s="150"/>
      <c r="NS111" s="150"/>
      <c r="NT111" s="150"/>
      <c r="NU111" s="150"/>
      <c r="NV111" s="150"/>
      <c r="NW111" s="150"/>
      <c r="NX111" s="150"/>
      <c r="NY111" s="150"/>
      <c r="NZ111" s="150"/>
      <c r="OA111" s="150"/>
      <c r="OB111" s="150"/>
      <c r="OC111" s="150"/>
      <c r="OD111" s="150"/>
      <c r="OE111" s="150"/>
    </row>
    <row r="112" spans="1:395" ht="15">
      <c r="A112" s="19"/>
      <c r="B112" s="17"/>
      <c r="C112" s="187">
        <v>2021</v>
      </c>
      <c r="D112" s="187">
        <v>148</v>
      </c>
      <c r="E112" s="187">
        <v>240</v>
      </c>
      <c r="F112" s="187">
        <v>353</v>
      </c>
      <c r="G112" s="187">
        <v>342</v>
      </c>
      <c r="H112" s="187">
        <v>240</v>
      </c>
      <c r="I112" s="187">
        <v>530</v>
      </c>
      <c r="J112" s="187">
        <v>220</v>
      </c>
      <c r="K112" s="187">
        <v>210</v>
      </c>
      <c r="L112" s="187">
        <v>391</v>
      </c>
      <c r="M112" s="187">
        <v>216</v>
      </c>
      <c r="N112" s="187">
        <v>210</v>
      </c>
      <c r="O112" s="187">
        <v>388</v>
      </c>
      <c r="P112" s="187">
        <v>235</v>
      </c>
      <c r="Q112" s="187">
        <v>240</v>
      </c>
      <c r="R112" s="187">
        <v>432</v>
      </c>
      <c r="S112" s="187">
        <v>236</v>
      </c>
      <c r="T112" s="187">
        <v>240</v>
      </c>
      <c r="U112" s="187">
        <v>433</v>
      </c>
      <c r="V112" s="187">
        <v>277</v>
      </c>
      <c r="W112" s="187">
        <v>721</v>
      </c>
      <c r="X112" s="187">
        <v>907</v>
      </c>
      <c r="Y112" s="187">
        <v>239</v>
      </c>
      <c r="Z112" s="187">
        <v>511</v>
      </c>
      <c r="AA112" s="187">
        <v>682</v>
      </c>
      <c r="AB112" s="187">
        <v>252</v>
      </c>
      <c r="AC112" s="187">
        <v>360</v>
      </c>
      <c r="AD112" s="187">
        <v>556</v>
      </c>
      <c r="AE112" s="187">
        <v>266</v>
      </c>
      <c r="AF112" s="187">
        <v>150</v>
      </c>
      <c r="AG112" s="187">
        <v>378</v>
      </c>
      <c r="AH112" s="187">
        <v>228</v>
      </c>
      <c r="AI112" s="187">
        <v>601</v>
      </c>
      <c r="AJ112" s="187">
        <v>754</v>
      </c>
      <c r="AK112" s="187">
        <v>225</v>
      </c>
      <c r="AL112" s="187">
        <v>240</v>
      </c>
      <c r="AM112" s="187">
        <v>423</v>
      </c>
      <c r="AN112" s="187">
        <v>247</v>
      </c>
      <c r="AO112" s="187">
        <v>180</v>
      </c>
      <c r="AP112" s="187">
        <v>389</v>
      </c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  <c r="BI112" s="150"/>
      <c r="BJ112" s="150"/>
      <c r="BK112" s="150"/>
      <c r="BL112" s="150"/>
      <c r="BM112" s="150"/>
      <c r="BN112" s="150"/>
      <c r="BO112" s="150"/>
      <c r="BP112" s="150"/>
      <c r="BQ112" s="150"/>
      <c r="BR112" s="150"/>
      <c r="BS112" s="150"/>
      <c r="BT112" s="150"/>
      <c r="BU112" s="150"/>
      <c r="BV112" s="150"/>
      <c r="BW112" s="150"/>
      <c r="BX112" s="150"/>
      <c r="BY112" s="150"/>
      <c r="BZ112" s="150"/>
      <c r="CA112" s="150"/>
      <c r="CB112" s="150"/>
      <c r="CC112" s="150"/>
      <c r="CD112" s="150"/>
      <c r="CE112" s="150"/>
      <c r="CF112" s="150"/>
      <c r="CG112" s="150"/>
      <c r="CH112" s="150"/>
      <c r="CI112" s="150"/>
      <c r="CJ112" s="150"/>
      <c r="CK112" s="150"/>
      <c r="CL112" s="150"/>
      <c r="CM112" s="150"/>
      <c r="CN112" s="150"/>
      <c r="CO112" s="150"/>
      <c r="CP112" s="150"/>
      <c r="CQ112" s="150"/>
      <c r="CR112" s="150"/>
      <c r="CS112" s="150"/>
      <c r="CT112" s="150"/>
      <c r="CU112" s="150"/>
      <c r="CV112" s="150"/>
      <c r="CW112" s="150"/>
      <c r="CX112" s="150"/>
      <c r="CY112" s="150"/>
      <c r="CZ112" s="150"/>
      <c r="DA112" s="150"/>
      <c r="DB112" s="150"/>
      <c r="DC112" s="150"/>
      <c r="DD112" s="150"/>
      <c r="DE112" s="150"/>
      <c r="DF112" s="150"/>
      <c r="DG112" s="150"/>
      <c r="DH112" s="150"/>
      <c r="DI112" s="150"/>
      <c r="DJ112" s="150"/>
      <c r="DK112" s="150"/>
      <c r="DL112" s="150"/>
      <c r="DM112" s="150"/>
      <c r="DN112" s="150"/>
      <c r="DO112" s="150"/>
      <c r="DP112" s="150"/>
      <c r="DQ112" s="150"/>
      <c r="DR112" s="150"/>
      <c r="DS112" s="150"/>
      <c r="DT112" s="150"/>
      <c r="DU112" s="150"/>
      <c r="DV112" s="150"/>
      <c r="DW112" s="150"/>
      <c r="DX112" s="150"/>
      <c r="DY112" s="150"/>
      <c r="DZ112" s="150"/>
      <c r="EA112" s="150"/>
      <c r="EB112" s="150"/>
      <c r="EC112" s="150"/>
      <c r="ED112" s="150"/>
      <c r="EE112" s="150"/>
      <c r="EF112" s="150"/>
      <c r="EG112" s="150"/>
      <c r="EH112" s="150"/>
      <c r="EI112" s="150"/>
      <c r="EJ112" s="150"/>
      <c r="EK112" s="150"/>
      <c r="EL112" s="150"/>
      <c r="EM112" s="150"/>
      <c r="EN112" s="150"/>
      <c r="EO112" s="150"/>
      <c r="EP112" s="150"/>
      <c r="EQ112" s="150"/>
      <c r="ER112" s="150"/>
      <c r="ES112" s="150"/>
      <c r="ET112" s="150"/>
      <c r="EU112" s="150"/>
      <c r="EV112" s="150"/>
      <c r="EW112" s="150"/>
      <c r="EX112" s="150"/>
      <c r="EY112" s="150"/>
      <c r="EZ112" s="150"/>
      <c r="FA112" s="150"/>
      <c r="FB112" s="150"/>
      <c r="FC112" s="150"/>
      <c r="FD112" s="150"/>
      <c r="FE112" s="150"/>
      <c r="FF112" s="150"/>
      <c r="FG112" s="150"/>
      <c r="FH112" s="150"/>
      <c r="FI112" s="150"/>
      <c r="FJ112" s="150"/>
      <c r="FK112" s="150"/>
      <c r="FL112" s="150"/>
      <c r="FM112" s="150"/>
      <c r="FN112" s="150"/>
      <c r="FO112" s="150"/>
      <c r="FP112" s="150"/>
      <c r="FQ112" s="150"/>
      <c r="FR112" s="150"/>
      <c r="FS112" s="150"/>
      <c r="FT112" s="150"/>
      <c r="FU112" s="150"/>
      <c r="FV112" s="150"/>
      <c r="FW112" s="150"/>
      <c r="FX112" s="150"/>
      <c r="FY112" s="150"/>
      <c r="FZ112" s="150"/>
      <c r="GA112" s="150"/>
      <c r="GB112" s="150"/>
      <c r="GC112" s="150"/>
      <c r="GD112" s="150"/>
      <c r="GE112" s="150"/>
      <c r="GF112" s="150"/>
      <c r="GG112" s="150"/>
      <c r="GH112" s="150"/>
      <c r="GI112" s="150"/>
      <c r="GJ112" s="150"/>
      <c r="GK112" s="150"/>
      <c r="GL112" s="150"/>
      <c r="GM112" s="150"/>
      <c r="GN112" s="150"/>
      <c r="GO112" s="150"/>
      <c r="GP112" s="150"/>
      <c r="GQ112" s="150"/>
      <c r="GR112" s="150"/>
      <c r="GS112" s="150"/>
      <c r="GT112" s="150"/>
      <c r="GU112" s="150"/>
      <c r="GV112" s="150"/>
      <c r="GW112" s="150"/>
      <c r="GX112" s="150"/>
      <c r="GY112" s="150"/>
      <c r="GZ112" s="150"/>
      <c r="HA112" s="150"/>
      <c r="HB112" s="150"/>
      <c r="HC112" s="150"/>
      <c r="HD112" s="150"/>
      <c r="HE112" s="150"/>
      <c r="HF112" s="150"/>
      <c r="HG112" s="150"/>
      <c r="HH112" s="150"/>
      <c r="HI112" s="150"/>
      <c r="HJ112" s="150"/>
      <c r="HK112" s="150"/>
      <c r="HL112" s="150"/>
      <c r="HM112" s="150"/>
      <c r="HN112" s="150"/>
      <c r="HO112" s="150"/>
      <c r="HP112" s="150"/>
      <c r="HQ112" s="150"/>
      <c r="HR112" s="150"/>
      <c r="HS112" s="150"/>
      <c r="HT112" s="150"/>
      <c r="HU112" s="150"/>
      <c r="HV112" s="150"/>
      <c r="HW112" s="150"/>
      <c r="HX112" s="150"/>
      <c r="HY112" s="150"/>
      <c r="HZ112" s="150"/>
      <c r="IA112" s="150"/>
      <c r="IB112" s="150"/>
      <c r="IC112" s="150"/>
      <c r="ID112" s="150"/>
      <c r="IE112" s="150"/>
      <c r="IF112" s="150"/>
      <c r="IG112" s="150"/>
      <c r="IH112" s="150"/>
      <c r="II112" s="150"/>
      <c r="IJ112" s="150"/>
      <c r="IK112" s="150"/>
      <c r="IL112" s="150"/>
      <c r="IM112" s="150"/>
      <c r="IN112" s="150"/>
      <c r="IO112" s="150"/>
      <c r="IP112" s="150"/>
      <c r="IQ112" s="150"/>
      <c r="IR112" s="150"/>
      <c r="IS112" s="150"/>
      <c r="IT112" s="150"/>
      <c r="IU112" s="150"/>
      <c r="IV112" s="150"/>
      <c r="IW112" s="150"/>
      <c r="IX112" s="150"/>
      <c r="IY112" s="150"/>
      <c r="IZ112" s="150"/>
      <c r="JA112" s="150"/>
      <c r="JB112" s="150"/>
      <c r="JC112" s="150"/>
      <c r="JD112" s="150"/>
      <c r="JE112" s="150"/>
      <c r="JF112" s="150"/>
      <c r="JG112" s="150"/>
      <c r="JH112" s="150"/>
      <c r="JI112" s="150"/>
      <c r="JJ112" s="150"/>
      <c r="JK112" s="150"/>
      <c r="JL112" s="150"/>
      <c r="JM112" s="150"/>
      <c r="JN112" s="150"/>
      <c r="JO112" s="150"/>
      <c r="JP112" s="150"/>
      <c r="JQ112" s="150"/>
      <c r="JR112" s="150"/>
      <c r="JS112" s="150"/>
      <c r="JT112" s="150"/>
      <c r="JU112" s="150"/>
      <c r="JV112" s="150"/>
      <c r="JW112" s="150"/>
      <c r="JX112" s="150"/>
      <c r="JY112" s="150"/>
      <c r="JZ112" s="150"/>
      <c r="KA112" s="150"/>
      <c r="KB112" s="150"/>
      <c r="KC112" s="150"/>
      <c r="KD112" s="150"/>
      <c r="KE112" s="150"/>
      <c r="KF112" s="150"/>
      <c r="KG112" s="150"/>
      <c r="KH112" s="150"/>
      <c r="KI112" s="150"/>
      <c r="KJ112" s="150"/>
      <c r="KK112" s="150"/>
      <c r="KL112" s="150"/>
      <c r="KM112" s="150"/>
      <c r="KN112" s="150"/>
      <c r="KO112" s="150"/>
      <c r="KP112" s="150"/>
      <c r="KQ112" s="150"/>
      <c r="KR112" s="150"/>
      <c r="KS112" s="150"/>
      <c r="KT112" s="150"/>
      <c r="KU112" s="150"/>
      <c r="KV112" s="150"/>
      <c r="KW112" s="150"/>
      <c r="KX112" s="150"/>
      <c r="KY112" s="150"/>
      <c r="KZ112" s="150"/>
      <c r="LA112" s="150"/>
      <c r="LB112" s="150"/>
      <c r="LC112" s="150"/>
      <c r="LD112" s="150"/>
      <c r="LE112" s="150"/>
      <c r="LF112" s="150"/>
      <c r="LG112" s="150"/>
      <c r="LH112" s="150"/>
      <c r="LI112" s="150"/>
      <c r="LJ112" s="150"/>
      <c r="LK112" s="150"/>
      <c r="LL112" s="150"/>
      <c r="LM112" s="150"/>
      <c r="LN112" s="150"/>
      <c r="LO112" s="150"/>
      <c r="LP112" s="150"/>
      <c r="LQ112" s="150"/>
      <c r="LR112" s="150"/>
      <c r="LS112" s="150"/>
      <c r="LT112" s="150"/>
      <c r="LU112" s="150"/>
      <c r="LV112" s="150"/>
      <c r="LW112" s="150"/>
      <c r="LX112" s="150"/>
      <c r="LY112" s="150"/>
      <c r="LZ112" s="150"/>
      <c r="MA112" s="150"/>
      <c r="MB112" s="150"/>
      <c r="MC112" s="150"/>
      <c r="MD112" s="150"/>
      <c r="ME112" s="150"/>
      <c r="MF112" s="150"/>
      <c r="MG112" s="150"/>
      <c r="MH112" s="150"/>
      <c r="MI112" s="150"/>
      <c r="MJ112" s="150"/>
      <c r="MK112" s="150"/>
      <c r="ML112" s="150"/>
      <c r="MM112" s="150"/>
      <c r="MN112" s="150"/>
      <c r="MO112" s="150"/>
      <c r="MP112" s="150"/>
      <c r="MQ112" s="150"/>
      <c r="MR112" s="150"/>
      <c r="MS112" s="150"/>
      <c r="MT112" s="150"/>
      <c r="MU112" s="150"/>
      <c r="MV112" s="150"/>
      <c r="MW112" s="150"/>
      <c r="MX112" s="150"/>
      <c r="MY112" s="150"/>
      <c r="MZ112" s="150"/>
      <c r="NA112" s="150"/>
      <c r="NB112" s="150"/>
      <c r="NC112" s="150"/>
      <c r="ND112" s="150"/>
      <c r="NE112" s="150"/>
      <c r="NF112" s="150"/>
      <c r="NG112" s="150"/>
      <c r="NH112" s="150"/>
      <c r="NI112" s="150"/>
      <c r="NJ112" s="150"/>
      <c r="NK112" s="150"/>
      <c r="NL112" s="150"/>
      <c r="NM112" s="150"/>
      <c r="NN112" s="150"/>
      <c r="NO112" s="150"/>
      <c r="NP112" s="150"/>
      <c r="NQ112" s="150"/>
      <c r="NR112" s="150"/>
      <c r="NS112" s="150"/>
      <c r="NT112" s="150"/>
      <c r="NU112" s="150"/>
      <c r="NV112" s="150"/>
      <c r="NW112" s="150"/>
      <c r="NX112" s="150"/>
      <c r="NY112" s="150"/>
      <c r="NZ112" s="150"/>
      <c r="OA112" s="150"/>
      <c r="OB112" s="150"/>
      <c r="OC112" s="150"/>
      <c r="OD112" s="150"/>
      <c r="OE112" s="150"/>
    </row>
    <row r="113" spans="1:395" ht="15">
      <c r="A113" s="19"/>
      <c r="B113" s="17"/>
      <c r="C113" s="187">
        <v>2022</v>
      </c>
      <c r="D113" s="187">
        <v>140</v>
      </c>
      <c r="E113" s="187">
        <v>228</v>
      </c>
      <c r="F113" s="187">
        <v>334</v>
      </c>
      <c r="G113" s="187">
        <v>324</v>
      </c>
      <c r="H113" s="187">
        <v>228</v>
      </c>
      <c r="I113" s="187">
        <v>502</v>
      </c>
      <c r="J113" s="187">
        <v>209</v>
      </c>
      <c r="K113" s="187">
        <v>199</v>
      </c>
      <c r="L113" s="187">
        <v>371</v>
      </c>
      <c r="M113" s="187">
        <v>205</v>
      </c>
      <c r="N113" s="187">
        <v>199</v>
      </c>
      <c r="O113" s="187">
        <v>368</v>
      </c>
      <c r="P113" s="187">
        <v>223</v>
      </c>
      <c r="Q113" s="187">
        <v>228</v>
      </c>
      <c r="R113" s="187">
        <v>409</v>
      </c>
      <c r="S113" s="187">
        <v>223</v>
      </c>
      <c r="T113" s="187">
        <v>228</v>
      </c>
      <c r="U113" s="187">
        <v>410</v>
      </c>
      <c r="V113" s="187">
        <v>262</v>
      </c>
      <c r="W113" s="187">
        <v>683</v>
      </c>
      <c r="X113" s="187">
        <v>860</v>
      </c>
      <c r="Y113" s="187">
        <v>227</v>
      </c>
      <c r="Z113" s="187">
        <v>484</v>
      </c>
      <c r="AA113" s="187">
        <v>646</v>
      </c>
      <c r="AB113" s="187">
        <v>238</v>
      </c>
      <c r="AC113" s="187">
        <v>342</v>
      </c>
      <c r="AD113" s="187">
        <v>527</v>
      </c>
      <c r="AE113" s="187">
        <v>252</v>
      </c>
      <c r="AF113" s="187">
        <v>142</v>
      </c>
      <c r="AG113" s="187">
        <v>358</v>
      </c>
      <c r="AH113" s="187">
        <v>216</v>
      </c>
      <c r="AI113" s="187">
        <v>569</v>
      </c>
      <c r="AJ113" s="187">
        <v>714</v>
      </c>
      <c r="AK113" s="187">
        <v>213</v>
      </c>
      <c r="AL113" s="187">
        <v>228</v>
      </c>
      <c r="AM113" s="187">
        <v>401</v>
      </c>
      <c r="AN113" s="187">
        <v>234</v>
      </c>
      <c r="AO113" s="187">
        <v>171</v>
      </c>
      <c r="AP113" s="187">
        <v>368</v>
      </c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  <c r="BI113" s="150"/>
      <c r="BJ113" s="150"/>
      <c r="BK113" s="150"/>
      <c r="BL113" s="150"/>
      <c r="BM113" s="150"/>
      <c r="BN113" s="150"/>
      <c r="BO113" s="150"/>
      <c r="BP113" s="150"/>
      <c r="BQ113" s="150"/>
      <c r="BR113" s="150"/>
      <c r="BS113" s="150"/>
      <c r="BT113" s="150"/>
      <c r="BU113" s="150"/>
      <c r="BV113" s="150"/>
      <c r="BW113" s="150"/>
      <c r="BX113" s="150"/>
      <c r="BY113" s="150"/>
      <c r="BZ113" s="150"/>
      <c r="CA113" s="150"/>
      <c r="CB113" s="150"/>
      <c r="CC113" s="150"/>
      <c r="CD113" s="150"/>
      <c r="CE113" s="150"/>
      <c r="CF113" s="150"/>
      <c r="CG113" s="150"/>
      <c r="CH113" s="150"/>
      <c r="CI113" s="150"/>
      <c r="CJ113" s="150"/>
      <c r="CK113" s="150"/>
      <c r="CL113" s="150"/>
      <c r="CM113" s="150"/>
      <c r="CN113" s="150"/>
      <c r="CO113" s="150"/>
      <c r="CP113" s="150"/>
      <c r="CQ113" s="150"/>
      <c r="CR113" s="150"/>
      <c r="CS113" s="150"/>
      <c r="CT113" s="150"/>
      <c r="CU113" s="150"/>
      <c r="CV113" s="150"/>
      <c r="CW113" s="150"/>
      <c r="CX113" s="150"/>
      <c r="CY113" s="150"/>
      <c r="CZ113" s="150"/>
      <c r="DA113" s="150"/>
      <c r="DB113" s="150"/>
      <c r="DC113" s="150"/>
      <c r="DD113" s="150"/>
      <c r="DE113" s="150"/>
      <c r="DF113" s="150"/>
      <c r="DG113" s="150"/>
      <c r="DH113" s="150"/>
      <c r="DI113" s="150"/>
      <c r="DJ113" s="150"/>
      <c r="DK113" s="150"/>
      <c r="DL113" s="150"/>
      <c r="DM113" s="150"/>
      <c r="DN113" s="150"/>
      <c r="DO113" s="150"/>
      <c r="DP113" s="150"/>
      <c r="DQ113" s="150"/>
      <c r="DR113" s="150"/>
      <c r="DS113" s="150"/>
      <c r="DT113" s="150"/>
      <c r="DU113" s="150"/>
      <c r="DV113" s="150"/>
      <c r="DW113" s="150"/>
      <c r="DX113" s="150"/>
      <c r="DY113" s="150"/>
      <c r="DZ113" s="150"/>
      <c r="EA113" s="150"/>
      <c r="EB113" s="150"/>
      <c r="EC113" s="150"/>
      <c r="ED113" s="150"/>
      <c r="EE113" s="150"/>
      <c r="EF113" s="150"/>
      <c r="EG113" s="150"/>
      <c r="EH113" s="150"/>
      <c r="EI113" s="150"/>
      <c r="EJ113" s="150"/>
      <c r="EK113" s="150"/>
      <c r="EL113" s="150"/>
      <c r="EM113" s="150"/>
      <c r="EN113" s="150"/>
      <c r="EO113" s="150"/>
      <c r="EP113" s="150"/>
      <c r="EQ113" s="150"/>
      <c r="ER113" s="150"/>
      <c r="ES113" s="150"/>
      <c r="ET113" s="150"/>
      <c r="EU113" s="150"/>
      <c r="EV113" s="150"/>
      <c r="EW113" s="150"/>
      <c r="EX113" s="150"/>
      <c r="EY113" s="150"/>
      <c r="EZ113" s="150"/>
      <c r="FA113" s="150"/>
      <c r="FB113" s="150"/>
      <c r="FC113" s="150"/>
      <c r="FD113" s="150"/>
      <c r="FE113" s="150"/>
      <c r="FF113" s="150"/>
      <c r="FG113" s="150"/>
      <c r="FH113" s="150"/>
      <c r="FI113" s="150"/>
      <c r="FJ113" s="150"/>
      <c r="FK113" s="150"/>
      <c r="FL113" s="150"/>
      <c r="FM113" s="150"/>
      <c r="FN113" s="150"/>
      <c r="FO113" s="150"/>
      <c r="FP113" s="150"/>
      <c r="FQ113" s="150"/>
      <c r="FR113" s="150"/>
      <c r="FS113" s="150"/>
      <c r="FT113" s="150"/>
      <c r="FU113" s="150"/>
      <c r="FV113" s="150"/>
      <c r="FW113" s="150"/>
      <c r="FX113" s="150"/>
      <c r="FY113" s="150"/>
      <c r="FZ113" s="150"/>
      <c r="GA113" s="150"/>
      <c r="GB113" s="150"/>
      <c r="GC113" s="150"/>
      <c r="GD113" s="150"/>
      <c r="GE113" s="150"/>
      <c r="GF113" s="150"/>
      <c r="GG113" s="150"/>
      <c r="GH113" s="150"/>
      <c r="GI113" s="150"/>
      <c r="GJ113" s="150"/>
      <c r="GK113" s="150"/>
      <c r="GL113" s="150"/>
      <c r="GM113" s="150"/>
      <c r="GN113" s="150"/>
      <c r="GO113" s="150"/>
      <c r="GP113" s="150"/>
      <c r="GQ113" s="150"/>
      <c r="GR113" s="150"/>
      <c r="GS113" s="150"/>
      <c r="GT113" s="150"/>
      <c r="GU113" s="150"/>
      <c r="GV113" s="150"/>
      <c r="GW113" s="150"/>
      <c r="GX113" s="150"/>
      <c r="GY113" s="150"/>
      <c r="GZ113" s="150"/>
      <c r="HA113" s="150"/>
      <c r="HB113" s="150"/>
      <c r="HC113" s="150"/>
      <c r="HD113" s="150"/>
      <c r="HE113" s="150"/>
      <c r="HF113" s="150"/>
      <c r="HG113" s="150"/>
      <c r="HH113" s="150"/>
      <c r="HI113" s="150"/>
      <c r="HJ113" s="150"/>
      <c r="HK113" s="150"/>
      <c r="HL113" s="150"/>
      <c r="HM113" s="150"/>
      <c r="HN113" s="150"/>
      <c r="HO113" s="150"/>
      <c r="HP113" s="150"/>
      <c r="HQ113" s="150"/>
      <c r="HR113" s="150"/>
      <c r="HS113" s="150"/>
      <c r="HT113" s="150"/>
      <c r="HU113" s="150"/>
      <c r="HV113" s="150"/>
      <c r="HW113" s="150"/>
      <c r="HX113" s="150"/>
      <c r="HY113" s="150"/>
      <c r="HZ113" s="150"/>
      <c r="IA113" s="150"/>
      <c r="IB113" s="150"/>
      <c r="IC113" s="150"/>
      <c r="ID113" s="150"/>
      <c r="IE113" s="150"/>
      <c r="IF113" s="150"/>
      <c r="IG113" s="150"/>
      <c r="IH113" s="150"/>
      <c r="II113" s="150"/>
      <c r="IJ113" s="150"/>
      <c r="IK113" s="150"/>
      <c r="IL113" s="150"/>
      <c r="IM113" s="150"/>
      <c r="IN113" s="150"/>
      <c r="IO113" s="150"/>
      <c r="IP113" s="150"/>
      <c r="IQ113" s="150"/>
      <c r="IR113" s="150"/>
      <c r="IS113" s="150"/>
      <c r="IT113" s="150"/>
      <c r="IU113" s="150"/>
      <c r="IV113" s="150"/>
      <c r="IW113" s="150"/>
      <c r="IX113" s="150"/>
      <c r="IY113" s="150"/>
      <c r="IZ113" s="150"/>
      <c r="JA113" s="150"/>
      <c r="JB113" s="150"/>
      <c r="JC113" s="150"/>
      <c r="JD113" s="150"/>
      <c r="JE113" s="150"/>
      <c r="JF113" s="150"/>
      <c r="JG113" s="150"/>
      <c r="JH113" s="150"/>
      <c r="JI113" s="150"/>
      <c r="JJ113" s="150"/>
      <c r="JK113" s="150"/>
      <c r="JL113" s="150"/>
      <c r="JM113" s="150"/>
      <c r="JN113" s="150"/>
      <c r="JO113" s="150"/>
      <c r="JP113" s="150"/>
      <c r="JQ113" s="150"/>
      <c r="JR113" s="150"/>
      <c r="JS113" s="150"/>
      <c r="JT113" s="150"/>
      <c r="JU113" s="150"/>
      <c r="JV113" s="150"/>
      <c r="JW113" s="150"/>
      <c r="JX113" s="150"/>
      <c r="JY113" s="150"/>
      <c r="JZ113" s="150"/>
      <c r="KA113" s="150"/>
      <c r="KB113" s="150"/>
      <c r="KC113" s="150"/>
      <c r="KD113" s="150"/>
      <c r="KE113" s="150"/>
      <c r="KF113" s="150"/>
      <c r="KG113" s="150"/>
      <c r="KH113" s="150"/>
      <c r="KI113" s="150"/>
      <c r="KJ113" s="150"/>
      <c r="KK113" s="150"/>
      <c r="KL113" s="150"/>
      <c r="KM113" s="150"/>
      <c r="KN113" s="150"/>
      <c r="KO113" s="150"/>
      <c r="KP113" s="150"/>
      <c r="KQ113" s="150"/>
      <c r="KR113" s="150"/>
      <c r="KS113" s="150"/>
      <c r="KT113" s="150"/>
      <c r="KU113" s="150"/>
      <c r="KV113" s="150"/>
      <c r="KW113" s="150"/>
      <c r="KX113" s="150"/>
      <c r="KY113" s="150"/>
      <c r="KZ113" s="150"/>
      <c r="LA113" s="150"/>
      <c r="LB113" s="150"/>
      <c r="LC113" s="150"/>
      <c r="LD113" s="150"/>
      <c r="LE113" s="150"/>
      <c r="LF113" s="150"/>
      <c r="LG113" s="150"/>
      <c r="LH113" s="150"/>
      <c r="LI113" s="150"/>
      <c r="LJ113" s="150"/>
      <c r="LK113" s="150"/>
      <c r="LL113" s="150"/>
      <c r="LM113" s="150"/>
      <c r="LN113" s="150"/>
      <c r="LO113" s="150"/>
      <c r="LP113" s="150"/>
      <c r="LQ113" s="150"/>
      <c r="LR113" s="150"/>
      <c r="LS113" s="150"/>
      <c r="LT113" s="150"/>
      <c r="LU113" s="150"/>
      <c r="LV113" s="150"/>
      <c r="LW113" s="150"/>
      <c r="LX113" s="150"/>
      <c r="LY113" s="150"/>
      <c r="LZ113" s="150"/>
      <c r="MA113" s="150"/>
      <c r="MB113" s="150"/>
      <c r="MC113" s="150"/>
      <c r="MD113" s="150"/>
      <c r="ME113" s="150"/>
      <c r="MF113" s="150"/>
      <c r="MG113" s="150"/>
      <c r="MH113" s="150"/>
      <c r="MI113" s="150"/>
      <c r="MJ113" s="150"/>
      <c r="MK113" s="150"/>
      <c r="ML113" s="150"/>
      <c r="MM113" s="150"/>
      <c r="MN113" s="150"/>
      <c r="MO113" s="150"/>
      <c r="MP113" s="150"/>
      <c r="MQ113" s="150"/>
      <c r="MR113" s="150"/>
      <c r="MS113" s="150"/>
      <c r="MT113" s="150"/>
      <c r="MU113" s="150"/>
      <c r="MV113" s="150"/>
      <c r="MW113" s="150"/>
      <c r="MX113" s="150"/>
      <c r="MY113" s="150"/>
      <c r="MZ113" s="150"/>
      <c r="NA113" s="150"/>
      <c r="NB113" s="150"/>
      <c r="NC113" s="150"/>
      <c r="ND113" s="150"/>
      <c r="NE113" s="150"/>
      <c r="NF113" s="150"/>
      <c r="NG113" s="150"/>
      <c r="NH113" s="150"/>
      <c r="NI113" s="150"/>
      <c r="NJ113" s="150"/>
      <c r="NK113" s="150"/>
      <c r="NL113" s="150"/>
      <c r="NM113" s="150"/>
      <c r="NN113" s="150"/>
      <c r="NO113" s="150"/>
      <c r="NP113" s="150"/>
      <c r="NQ113" s="150"/>
      <c r="NR113" s="150"/>
      <c r="NS113" s="150"/>
      <c r="NT113" s="150"/>
      <c r="NU113" s="150"/>
      <c r="NV113" s="150"/>
      <c r="NW113" s="150"/>
      <c r="NX113" s="150"/>
      <c r="NY113" s="150"/>
      <c r="NZ113" s="150"/>
      <c r="OA113" s="150"/>
      <c r="OB113" s="150"/>
      <c r="OC113" s="150"/>
      <c r="OD113" s="150"/>
      <c r="OE113" s="150"/>
    </row>
    <row r="114" spans="1:395" ht="15">
      <c r="A114" s="19"/>
      <c r="B114" s="17"/>
      <c r="C114" s="187">
        <v>2023</v>
      </c>
      <c r="D114" s="187">
        <v>132</v>
      </c>
      <c r="E114" s="187">
        <v>215</v>
      </c>
      <c r="F114" s="187">
        <v>316</v>
      </c>
      <c r="G114" s="187">
        <v>306</v>
      </c>
      <c r="H114" s="187">
        <v>215</v>
      </c>
      <c r="I114" s="187">
        <v>474</v>
      </c>
      <c r="J114" s="187">
        <v>197</v>
      </c>
      <c r="K114" s="187">
        <v>188</v>
      </c>
      <c r="L114" s="187">
        <v>350</v>
      </c>
      <c r="M114" s="187">
        <v>194</v>
      </c>
      <c r="N114" s="187">
        <v>188</v>
      </c>
      <c r="O114" s="187">
        <v>347</v>
      </c>
      <c r="P114" s="187">
        <v>210</v>
      </c>
      <c r="Q114" s="187">
        <v>215</v>
      </c>
      <c r="R114" s="187">
        <v>387</v>
      </c>
      <c r="S114" s="187">
        <v>211</v>
      </c>
      <c r="T114" s="187">
        <v>215</v>
      </c>
      <c r="U114" s="187">
        <v>387</v>
      </c>
      <c r="V114" s="187">
        <v>248</v>
      </c>
      <c r="W114" s="187">
        <v>645</v>
      </c>
      <c r="X114" s="187">
        <v>812</v>
      </c>
      <c r="Y114" s="187">
        <v>214</v>
      </c>
      <c r="Z114" s="187">
        <v>457</v>
      </c>
      <c r="AA114" s="187">
        <v>610</v>
      </c>
      <c r="AB114" s="187">
        <v>225</v>
      </c>
      <c r="AC114" s="187">
        <v>323</v>
      </c>
      <c r="AD114" s="187">
        <v>498</v>
      </c>
      <c r="AE114" s="187">
        <v>238</v>
      </c>
      <c r="AF114" s="187">
        <v>134</v>
      </c>
      <c r="AG114" s="187">
        <v>338</v>
      </c>
      <c r="AH114" s="187">
        <v>204</v>
      </c>
      <c r="AI114" s="187">
        <v>538</v>
      </c>
      <c r="AJ114" s="187">
        <v>674</v>
      </c>
      <c r="AK114" s="187">
        <v>201</v>
      </c>
      <c r="AL114" s="187">
        <v>215</v>
      </c>
      <c r="AM114" s="187">
        <v>378</v>
      </c>
      <c r="AN114" s="187">
        <v>221</v>
      </c>
      <c r="AO114" s="187">
        <v>161</v>
      </c>
      <c r="AP114" s="187">
        <v>348</v>
      </c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  <c r="BI114" s="150"/>
      <c r="BJ114" s="150"/>
      <c r="BK114" s="150"/>
      <c r="BL114" s="150"/>
      <c r="BM114" s="150"/>
      <c r="BN114" s="150"/>
      <c r="BO114" s="150"/>
      <c r="BP114" s="150"/>
      <c r="BQ114" s="150"/>
      <c r="BR114" s="150"/>
      <c r="BS114" s="150"/>
      <c r="BT114" s="150"/>
      <c r="BU114" s="150"/>
      <c r="BV114" s="150"/>
      <c r="BW114" s="150"/>
      <c r="BX114" s="150"/>
      <c r="BY114" s="150"/>
      <c r="BZ114" s="150"/>
      <c r="CA114" s="150"/>
      <c r="CB114" s="150"/>
      <c r="CC114" s="150"/>
      <c r="CD114" s="150"/>
      <c r="CE114" s="150"/>
      <c r="CF114" s="150"/>
      <c r="CG114" s="150"/>
      <c r="CH114" s="150"/>
      <c r="CI114" s="150"/>
      <c r="CJ114" s="150"/>
      <c r="CK114" s="150"/>
      <c r="CL114" s="150"/>
      <c r="CM114" s="150"/>
      <c r="CN114" s="150"/>
      <c r="CO114" s="150"/>
      <c r="CP114" s="150"/>
      <c r="CQ114" s="150"/>
      <c r="CR114" s="150"/>
      <c r="CS114" s="150"/>
      <c r="CT114" s="150"/>
      <c r="CU114" s="150"/>
      <c r="CV114" s="150"/>
      <c r="CW114" s="150"/>
      <c r="CX114" s="150"/>
      <c r="CY114" s="150"/>
      <c r="CZ114" s="150"/>
      <c r="DA114" s="150"/>
      <c r="DB114" s="150"/>
      <c r="DC114" s="150"/>
      <c r="DD114" s="150"/>
      <c r="DE114" s="150"/>
      <c r="DF114" s="150"/>
      <c r="DG114" s="150"/>
      <c r="DH114" s="150"/>
      <c r="DI114" s="150"/>
      <c r="DJ114" s="150"/>
      <c r="DK114" s="150"/>
      <c r="DL114" s="150"/>
      <c r="DM114" s="150"/>
      <c r="DN114" s="150"/>
      <c r="DO114" s="150"/>
      <c r="DP114" s="150"/>
      <c r="DQ114" s="150"/>
      <c r="DR114" s="150"/>
      <c r="DS114" s="150"/>
      <c r="DT114" s="150"/>
      <c r="DU114" s="150"/>
      <c r="DV114" s="150"/>
      <c r="DW114" s="150"/>
      <c r="DX114" s="150"/>
      <c r="DY114" s="150"/>
      <c r="DZ114" s="150"/>
      <c r="EA114" s="150"/>
      <c r="EB114" s="150"/>
      <c r="EC114" s="150"/>
      <c r="ED114" s="150"/>
      <c r="EE114" s="150"/>
      <c r="EF114" s="150"/>
      <c r="EG114" s="150"/>
      <c r="EH114" s="150"/>
      <c r="EI114" s="150"/>
      <c r="EJ114" s="150"/>
      <c r="EK114" s="150"/>
      <c r="EL114" s="150"/>
      <c r="EM114" s="150"/>
      <c r="EN114" s="150"/>
      <c r="EO114" s="150"/>
      <c r="EP114" s="150"/>
      <c r="EQ114" s="150"/>
      <c r="ER114" s="150"/>
      <c r="ES114" s="150"/>
      <c r="ET114" s="150"/>
      <c r="EU114" s="150"/>
      <c r="EV114" s="150"/>
      <c r="EW114" s="150"/>
      <c r="EX114" s="150"/>
      <c r="EY114" s="150"/>
      <c r="EZ114" s="150"/>
      <c r="FA114" s="150"/>
      <c r="FB114" s="150"/>
      <c r="FC114" s="150"/>
      <c r="FD114" s="150"/>
      <c r="FE114" s="150"/>
      <c r="FF114" s="150"/>
      <c r="FG114" s="150"/>
      <c r="FH114" s="150"/>
      <c r="FI114" s="150"/>
      <c r="FJ114" s="150"/>
      <c r="FK114" s="150"/>
      <c r="FL114" s="150"/>
      <c r="FM114" s="150"/>
      <c r="FN114" s="150"/>
      <c r="FO114" s="150"/>
      <c r="FP114" s="150"/>
      <c r="FQ114" s="150"/>
      <c r="FR114" s="150"/>
      <c r="FS114" s="150"/>
      <c r="FT114" s="150"/>
      <c r="FU114" s="150"/>
      <c r="FV114" s="150"/>
      <c r="FW114" s="150"/>
      <c r="FX114" s="150"/>
      <c r="FY114" s="150"/>
      <c r="FZ114" s="150"/>
      <c r="GA114" s="150"/>
      <c r="GB114" s="150"/>
      <c r="GC114" s="150"/>
      <c r="GD114" s="150"/>
      <c r="GE114" s="150"/>
      <c r="GF114" s="150"/>
      <c r="GG114" s="150"/>
      <c r="GH114" s="150"/>
      <c r="GI114" s="150"/>
      <c r="GJ114" s="150"/>
      <c r="GK114" s="150"/>
      <c r="GL114" s="150"/>
      <c r="GM114" s="150"/>
      <c r="GN114" s="150"/>
      <c r="GO114" s="150"/>
      <c r="GP114" s="150"/>
      <c r="GQ114" s="150"/>
      <c r="GR114" s="150"/>
      <c r="GS114" s="150"/>
      <c r="GT114" s="150"/>
      <c r="GU114" s="150"/>
      <c r="GV114" s="150"/>
      <c r="GW114" s="150"/>
      <c r="GX114" s="150"/>
      <c r="GY114" s="150"/>
      <c r="GZ114" s="150"/>
      <c r="HA114" s="150"/>
      <c r="HB114" s="150"/>
      <c r="HC114" s="150"/>
      <c r="HD114" s="150"/>
      <c r="HE114" s="150"/>
      <c r="HF114" s="150"/>
      <c r="HG114" s="150"/>
      <c r="HH114" s="150"/>
      <c r="HI114" s="150"/>
      <c r="HJ114" s="150"/>
      <c r="HK114" s="150"/>
      <c r="HL114" s="150"/>
      <c r="HM114" s="150"/>
      <c r="HN114" s="150"/>
      <c r="HO114" s="150"/>
      <c r="HP114" s="150"/>
      <c r="HQ114" s="150"/>
      <c r="HR114" s="150"/>
      <c r="HS114" s="150"/>
      <c r="HT114" s="150"/>
      <c r="HU114" s="150"/>
      <c r="HV114" s="150"/>
      <c r="HW114" s="150"/>
      <c r="HX114" s="150"/>
      <c r="HY114" s="150"/>
      <c r="HZ114" s="150"/>
      <c r="IA114" s="150"/>
      <c r="IB114" s="150"/>
      <c r="IC114" s="150"/>
      <c r="ID114" s="150"/>
      <c r="IE114" s="150"/>
      <c r="IF114" s="150"/>
      <c r="IG114" s="150"/>
      <c r="IH114" s="150"/>
      <c r="II114" s="150"/>
      <c r="IJ114" s="150"/>
      <c r="IK114" s="150"/>
      <c r="IL114" s="150"/>
      <c r="IM114" s="150"/>
      <c r="IN114" s="150"/>
      <c r="IO114" s="150"/>
      <c r="IP114" s="150"/>
      <c r="IQ114" s="150"/>
      <c r="IR114" s="150"/>
      <c r="IS114" s="150"/>
      <c r="IT114" s="150"/>
      <c r="IU114" s="150"/>
      <c r="IV114" s="150"/>
      <c r="IW114" s="150"/>
      <c r="IX114" s="150"/>
      <c r="IY114" s="150"/>
      <c r="IZ114" s="150"/>
      <c r="JA114" s="150"/>
      <c r="JB114" s="150"/>
      <c r="JC114" s="150"/>
      <c r="JD114" s="150"/>
      <c r="JE114" s="150"/>
      <c r="JF114" s="150"/>
      <c r="JG114" s="150"/>
      <c r="JH114" s="150"/>
      <c r="JI114" s="150"/>
      <c r="JJ114" s="150"/>
      <c r="JK114" s="150"/>
      <c r="JL114" s="150"/>
      <c r="JM114" s="150"/>
      <c r="JN114" s="150"/>
      <c r="JO114" s="150"/>
      <c r="JP114" s="150"/>
      <c r="JQ114" s="150"/>
      <c r="JR114" s="150"/>
      <c r="JS114" s="150"/>
      <c r="JT114" s="150"/>
      <c r="JU114" s="150"/>
      <c r="JV114" s="150"/>
      <c r="JW114" s="150"/>
      <c r="JX114" s="150"/>
      <c r="JY114" s="150"/>
      <c r="JZ114" s="150"/>
      <c r="KA114" s="150"/>
      <c r="KB114" s="150"/>
      <c r="KC114" s="150"/>
      <c r="KD114" s="150"/>
      <c r="KE114" s="150"/>
      <c r="KF114" s="150"/>
      <c r="KG114" s="150"/>
      <c r="KH114" s="150"/>
      <c r="KI114" s="150"/>
      <c r="KJ114" s="150"/>
      <c r="KK114" s="150"/>
      <c r="KL114" s="150"/>
      <c r="KM114" s="150"/>
      <c r="KN114" s="150"/>
      <c r="KO114" s="150"/>
      <c r="KP114" s="150"/>
      <c r="KQ114" s="150"/>
      <c r="KR114" s="150"/>
      <c r="KS114" s="150"/>
      <c r="KT114" s="150"/>
      <c r="KU114" s="150"/>
      <c r="KV114" s="150"/>
      <c r="KW114" s="150"/>
      <c r="KX114" s="150"/>
      <c r="KY114" s="150"/>
      <c r="KZ114" s="150"/>
      <c r="LA114" s="150"/>
      <c r="LB114" s="150"/>
      <c r="LC114" s="150"/>
      <c r="LD114" s="150"/>
      <c r="LE114" s="150"/>
      <c r="LF114" s="150"/>
      <c r="LG114" s="150"/>
      <c r="LH114" s="150"/>
      <c r="LI114" s="150"/>
      <c r="LJ114" s="150"/>
      <c r="LK114" s="150"/>
      <c r="LL114" s="150"/>
      <c r="LM114" s="150"/>
      <c r="LN114" s="150"/>
      <c r="LO114" s="150"/>
      <c r="LP114" s="150"/>
      <c r="LQ114" s="150"/>
      <c r="LR114" s="150"/>
      <c r="LS114" s="150"/>
      <c r="LT114" s="150"/>
      <c r="LU114" s="150"/>
      <c r="LV114" s="150"/>
      <c r="LW114" s="150"/>
      <c r="LX114" s="150"/>
      <c r="LY114" s="150"/>
      <c r="LZ114" s="150"/>
      <c r="MA114" s="150"/>
      <c r="MB114" s="150"/>
      <c r="MC114" s="150"/>
      <c r="MD114" s="150"/>
      <c r="ME114" s="150"/>
      <c r="MF114" s="150"/>
      <c r="MG114" s="150"/>
      <c r="MH114" s="150"/>
      <c r="MI114" s="150"/>
      <c r="MJ114" s="150"/>
      <c r="MK114" s="150"/>
      <c r="ML114" s="150"/>
      <c r="MM114" s="150"/>
      <c r="MN114" s="150"/>
      <c r="MO114" s="150"/>
      <c r="MP114" s="150"/>
      <c r="MQ114" s="150"/>
      <c r="MR114" s="150"/>
      <c r="MS114" s="150"/>
      <c r="MT114" s="150"/>
      <c r="MU114" s="150"/>
      <c r="MV114" s="150"/>
      <c r="MW114" s="150"/>
      <c r="MX114" s="150"/>
      <c r="MY114" s="150"/>
      <c r="MZ114" s="150"/>
      <c r="NA114" s="150"/>
      <c r="NB114" s="150"/>
      <c r="NC114" s="150"/>
      <c r="ND114" s="150"/>
      <c r="NE114" s="150"/>
      <c r="NF114" s="150"/>
      <c r="NG114" s="150"/>
      <c r="NH114" s="150"/>
      <c r="NI114" s="150"/>
      <c r="NJ114" s="150"/>
      <c r="NK114" s="150"/>
      <c r="NL114" s="150"/>
      <c r="NM114" s="150"/>
      <c r="NN114" s="150"/>
      <c r="NO114" s="150"/>
      <c r="NP114" s="150"/>
      <c r="NQ114" s="150"/>
      <c r="NR114" s="150"/>
      <c r="NS114" s="150"/>
      <c r="NT114" s="150"/>
      <c r="NU114" s="150"/>
      <c r="NV114" s="150"/>
      <c r="NW114" s="150"/>
      <c r="NX114" s="150"/>
      <c r="NY114" s="150"/>
      <c r="NZ114" s="150"/>
      <c r="OA114" s="150"/>
      <c r="OB114" s="150"/>
      <c r="OC114" s="150"/>
      <c r="OD114" s="150"/>
      <c r="OE114" s="150"/>
    </row>
    <row r="115" spans="1:395" ht="15">
      <c r="A115" s="19"/>
      <c r="B115" s="17"/>
      <c r="C115" s="187">
        <v>2024</v>
      </c>
      <c r="D115" s="187">
        <v>124</v>
      </c>
      <c r="E115" s="187">
        <v>202</v>
      </c>
      <c r="F115" s="187">
        <v>297</v>
      </c>
      <c r="G115" s="187">
        <v>288</v>
      </c>
      <c r="H115" s="187">
        <v>202</v>
      </c>
      <c r="I115" s="187">
        <v>446</v>
      </c>
      <c r="J115" s="187">
        <v>185</v>
      </c>
      <c r="K115" s="187">
        <v>177</v>
      </c>
      <c r="L115" s="187">
        <v>330</v>
      </c>
      <c r="M115" s="187">
        <v>182</v>
      </c>
      <c r="N115" s="187">
        <v>177</v>
      </c>
      <c r="O115" s="187">
        <v>327</v>
      </c>
      <c r="P115" s="187">
        <v>198</v>
      </c>
      <c r="Q115" s="187">
        <v>202</v>
      </c>
      <c r="R115" s="187">
        <v>364</v>
      </c>
      <c r="S115" s="187">
        <v>198</v>
      </c>
      <c r="T115" s="187">
        <v>202</v>
      </c>
      <c r="U115" s="187">
        <v>364</v>
      </c>
      <c r="V115" s="187">
        <v>233</v>
      </c>
      <c r="W115" s="187">
        <v>607</v>
      </c>
      <c r="X115" s="187">
        <v>764</v>
      </c>
      <c r="Y115" s="187">
        <v>202</v>
      </c>
      <c r="Z115" s="187">
        <v>430</v>
      </c>
      <c r="AA115" s="187">
        <v>574</v>
      </c>
      <c r="AB115" s="187">
        <v>212</v>
      </c>
      <c r="AC115" s="187">
        <v>304</v>
      </c>
      <c r="AD115" s="187">
        <v>469</v>
      </c>
      <c r="AE115" s="187">
        <v>224</v>
      </c>
      <c r="AF115" s="187">
        <v>126</v>
      </c>
      <c r="AG115" s="187">
        <v>318</v>
      </c>
      <c r="AH115" s="187">
        <v>192</v>
      </c>
      <c r="AI115" s="187">
        <v>506</v>
      </c>
      <c r="AJ115" s="187">
        <v>635</v>
      </c>
      <c r="AK115" s="187">
        <v>190</v>
      </c>
      <c r="AL115" s="187">
        <v>202</v>
      </c>
      <c r="AM115" s="187">
        <v>356</v>
      </c>
      <c r="AN115" s="187">
        <v>208</v>
      </c>
      <c r="AO115" s="187">
        <v>152</v>
      </c>
      <c r="AP115" s="187">
        <v>327</v>
      </c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  <c r="BI115" s="150"/>
      <c r="BJ115" s="150"/>
      <c r="BK115" s="150"/>
      <c r="BL115" s="150"/>
      <c r="BM115" s="150"/>
      <c r="BN115" s="150"/>
      <c r="BO115" s="150"/>
      <c r="BP115" s="150"/>
      <c r="BQ115" s="150"/>
      <c r="BR115" s="150"/>
      <c r="BS115" s="150"/>
      <c r="BT115" s="150"/>
      <c r="BU115" s="150"/>
      <c r="BV115" s="150"/>
      <c r="BW115" s="150"/>
      <c r="BX115" s="150"/>
      <c r="BY115" s="150"/>
      <c r="BZ115" s="150"/>
      <c r="CA115" s="150"/>
      <c r="CB115" s="150"/>
      <c r="CC115" s="150"/>
      <c r="CD115" s="150"/>
      <c r="CE115" s="150"/>
      <c r="CF115" s="150"/>
      <c r="CG115" s="150"/>
      <c r="CH115" s="150"/>
      <c r="CI115" s="150"/>
      <c r="CJ115" s="150"/>
      <c r="CK115" s="150"/>
      <c r="CL115" s="150"/>
      <c r="CM115" s="150"/>
      <c r="CN115" s="150"/>
      <c r="CO115" s="150"/>
      <c r="CP115" s="150"/>
      <c r="CQ115" s="150"/>
      <c r="CR115" s="150"/>
      <c r="CS115" s="150"/>
      <c r="CT115" s="150"/>
      <c r="CU115" s="150"/>
      <c r="CV115" s="150"/>
      <c r="CW115" s="150"/>
      <c r="CX115" s="150"/>
      <c r="CY115" s="150"/>
      <c r="CZ115" s="150"/>
      <c r="DA115" s="150"/>
      <c r="DB115" s="150"/>
      <c r="DC115" s="150"/>
      <c r="DD115" s="150"/>
      <c r="DE115" s="150"/>
      <c r="DF115" s="150"/>
      <c r="DG115" s="150"/>
      <c r="DH115" s="150"/>
      <c r="DI115" s="150"/>
      <c r="DJ115" s="150"/>
      <c r="DK115" s="150"/>
      <c r="DL115" s="150"/>
      <c r="DM115" s="150"/>
      <c r="DN115" s="150"/>
      <c r="DO115" s="150"/>
      <c r="DP115" s="150"/>
      <c r="DQ115" s="150"/>
      <c r="DR115" s="150"/>
      <c r="DS115" s="150"/>
      <c r="DT115" s="150"/>
      <c r="DU115" s="150"/>
      <c r="DV115" s="150"/>
      <c r="DW115" s="150"/>
      <c r="DX115" s="150"/>
      <c r="DY115" s="150"/>
      <c r="DZ115" s="150"/>
      <c r="EA115" s="150"/>
      <c r="EB115" s="150"/>
      <c r="EC115" s="150"/>
      <c r="ED115" s="150"/>
      <c r="EE115" s="150"/>
      <c r="EF115" s="150"/>
      <c r="EG115" s="150"/>
      <c r="EH115" s="150"/>
      <c r="EI115" s="150"/>
      <c r="EJ115" s="150"/>
      <c r="EK115" s="150"/>
      <c r="EL115" s="150"/>
      <c r="EM115" s="150"/>
      <c r="EN115" s="150"/>
      <c r="EO115" s="150"/>
      <c r="EP115" s="150"/>
      <c r="EQ115" s="150"/>
      <c r="ER115" s="150"/>
      <c r="ES115" s="150"/>
      <c r="ET115" s="150"/>
      <c r="EU115" s="150"/>
      <c r="EV115" s="150"/>
      <c r="EW115" s="150"/>
      <c r="EX115" s="150"/>
      <c r="EY115" s="150"/>
      <c r="EZ115" s="150"/>
      <c r="FA115" s="150"/>
      <c r="FB115" s="150"/>
      <c r="FC115" s="150"/>
      <c r="FD115" s="150"/>
      <c r="FE115" s="150"/>
      <c r="FF115" s="150"/>
      <c r="FG115" s="150"/>
      <c r="FH115" s="150"/>
      <c r="FI115" s="150"/>
      <c r="FJ115" s="150"/>
      <c r="FK115" s="150"/>
      <c r="FL115" s="150"/>
      <c r="FM115" s="150"/>
      <c r="FN115" s="150"/>
      <c r="FO115" s="150"/>
      <c r="FP115" s="150"/>
      <c r="FQ115" s="150"/>
      <c r="FR115" s="150"/>
      <c r="FS115" s="150"/>
      <c r="FT115" s="150"/>
      <c r="FU115" s="150"/>
      <c r="FV115" s="150"/>
      <c r="FW115" s="150"/>
      <c r="FX115" s="150"/>
      <c r="FY115" s="150"/>
      <c r="FZ115" s="150"/>
      <c r="GA115" s="150"/>
      <c r="GB115" s="150"/>
      <c r="GC115" s="150"/>
      <c r="GD115" s="150"/>
      <c r="GE115" s="150"/>
      <c r="GF115" s="150"/>
      <c r="GG115" s="150"/>
      <c r="GH115" s="150"/>
      <c r="GI115" s="150"/>
      <c r="GJ115" s="150"/>
      <c r="GK115" s="150"/>
      <c r="GL115" s="150"/>
      <c r="GM115" s="150"/>
      <c r="GN115" s="150"/>
      <c r="GO115" s="150"/>
      <c r="GP115" s="150"/>
      <c r="GQ115" s="150"/>
      <c r="GR115" s="150"/>
      <c r="GS115" s="150"/>
      <c r="GT115" s="150"/>
      <c r="GU115" s="150"/>
      <c r="GV115" s="150"/>
      <c r="GW115" s="150"/>
      <c r="GX115" s="150"/>
      <c r="GY115" s="150"/>
      <c r="GZ115" s="150"/>
      <c r="HA115" s="150"/>
      <c r="HB115" s="150"/>
      <c r="HC115" s="150"/>
      <c r="HD115" s="150"/>
      <c r="HE115" s="150"/>
      <c r="HF115" s="150"/>
      <c r="HG115" s="150"/>
      <c r="HH115" s="150"/>
      <c r="HI115" s="150"/>
      <c r="HJ115" s="150"/>
      <c r="HK115" s="150"/>
      <c r="HL115" s="150"/>
      <c r="HM115" s="150"/>
      <c r="HN115" s="150"/>
      <c r="HO115" s="150"/>
      <c r="HP115" s="150"/>
      <c r="HQ115" s="150"/>
      <c r="HR115" s="150"/>
      <c r="HS115" s="150"/>
      <c r="HT115" s="150"/>
      <c r="HU115" s="150"/>
      <c r="HV115" s="150"/>
      <c r="HW115" s="150"/>
      <c r="HX115" s="150"/>
      <c r="HY115" s="150"/>
      <c r="HZ115" s="150"/>
      <c r="IA115" s="150"/>
      <c r="IB115" s="150"/>
      <c r="IC115" s="150"/>
      <c r="ID115" s="150"/>
      <c r="IE115" s="150"/>
      <c r="IF115" s="150"/>
      <c r="IG115" s="150"/>
      <c r="IH115" s="150"/>
      <c r="II115" s="150"/>
      <c r="IJ115" s="150"/>
      <c r="IK115" s="150"/>
      <c r="IL115" s="150"/>
      <c r="IM115" s="150"/>
      <c r="IN115" s="150"/>
      <c r="IO115" s="150"/>
      <c r="IP115" s="150"/>
      <c r="IQ115" s="150"/>
      <c r="IR115" s="150"/>
      <c r="IS115" s="150"/>
      <c r="IT115" s="150"/>
      <c r="IU115" s="150"/>
      <c r="IV115" s="150"/>
      <c r="IW115" s="150"/>
      <c r="IX115" s="150"/>
      <c r="IY115" s="150"/>
      <c r="IZ115" s="150"/>
      <c r="JA115" s="150"/>
      <c r="JB115" s="150"/>
      <c r="JC115" s="150"/>
      <c r="JD115" s="150"/>
      <c r="JE115" s="150"/>
      <c r="JF115" s="150"/>
      <c r="JG115" s="150"/>
      <c r="JH115" s="150"/>
      <c r="JI115" s="150"/>
      <c r="JJ115" s="150"/>
      <c r="JK115" s="150"/>
      <c r="JL115" s="150"/>
      <c r="JM115" s="150"/>
      <c r="JN115" s="150"/>
      <c r="JO115" s="150"/>
      <c r="JP115" s="150"/>
      <c r="JQ115" s="150"/>
      <c r="JR115" s="150"/>
      <c r="JS115" s="150"/>
      <c r="JT115" s="150"/>
      <c r="JU115" s="150"/>
      <c r="JV115" s="150"/>
      <c r="JW115" s="150"/>
      <c r="JX115" s="150"/>
      <c r="JY115" s="150"/>
      <c r="JZ115" s="150"/>
      <c r="KA115" s="150"/>
      <c r="KB115" s="150"/>
      <c r="KC115" s="150"/>
      <c r="KD115" s="150"/>
      <c r="KE115" s="150"/>
      <c r="KF115" s="150"/>
      <c r="KG115" s="150"/>
      <c r="KH115" s="150"/>
      <c r="KI115" s="150"/>
      <c r="KJ115" s="150"/>
      <c r="KK115" s="150"/>
      <c r="KL115" s="150"/>
      <c r="KM115" s="150"/>
      <c r="KN115" s="150"/>
      <c r="KO115" s="150"/>
      <c r="KP115" s="150"/>
      <c r="KQ115" s="150"/>
      <c r="KR115" s="150"/>
      <c r="KS115" s="150"/>
      <c r="KT115" s="150"/>
      <c r="KU115" s="150"/>
      <c r="KV115" s="150"/>
      <c r="KW115" s="150"/>
      <c r="KX115" s="150"/>
      <c r="KY115" s="150"/>
      <c r="KZ115" s="150"/>
      <c r="LA115" s="150"/>
      <c r="LB115" s="150"/>
      <c r="LC115" s="150"/>
      <c r="LD115" s="150"/>
      <c r="LE115" s="150"/>
      <c r="LF115" s="150"/>
      <c r="LG115" s="150"/>
      <c r="LH115" s="150"/>
      <c r="LI115" s="150"/>
      <c r="LJ115" s="150"/>
      <c r="LK115" s="150"/>
      <c r="LL115" s="150"/>
      <c r="LM115" s="150"/>
      <c r="LN115" s="150"/>
      <c r="LO115" s="150"/>
      <c r="LP115" s="150"/>
      <c r="LQ115" s="150"/>
      <c r="LR115" s="150"/>
      <c r="LS115" s="150"/>
      <c r="LT115" s="150"/>
      <c r="LU115" s="150"/>
      <c r="LV115" s="150"/>
      <c r="LW115" s="150"/>
      <c r="LX115" s="150"/>
      <c r="LY115" s="150"/>
      <c r="LZ115" s="150"/>
      <c r="MA115" s="150"/>
      <c r="MB115" s="150"/>
      <c r="MC115" s="150"/>
      <c r="MD115" s="150"/>
      <c r="ME115" s="150"/>
      <c r="MF115" s="150"/>
      <c r="MG115" s="150"/>
      <c r="MH115" s="150"/>
      <c r="MI115" s="150"/>
      <c r="MJ115" s="150"/>
      <c r="MK115" s="150"/>
      <c r="ML115" s="150"/>
      <c r="MM115" s="150"/>
      <c r="MN115" s="150"/>
      <c r="MO115" s="150"/>
      <c r="MP115" s="150"/>
      <c r="MQ115" s="150"/>
      <c r="MR115" s="150"/>
      <c r="MS115" s="150"/>
      <c r="MT115" s="150"/>
      <c r="MU115" s="150"/>
      <c r="MV115" s="150"/>
      <c r="MW115" s="150"/>
      <c r="MX115" s="150"/>
      <c r="MY115" s="150"/>
      <c r="MZ115" s="150"/>
      <c r="NA115" s="150"/>
      <c r="NB115" s="150"/>
      <c r="NC115" s="150"/>
      <c r="ND115" s="150"/>
      <c r="NE115" s="150"/>
      <c r="NF115" s="150"/>
      <c r="NG115" s="150"/>
      <c r="NH115" s="150"/>
      <c r="NI115" s="150"/>
      <c r="NJ115" s="150"/>
      <c r="NK115" s="150"/>
      <c r="NL115" s="150"/>
      <c r="NM115" s="150"/>
      <c r="NN115" s="150"/>
      <c r="NO115" s="150"/>
      <c r="NP115" s="150"/>
      <c r="NQ115" s="150"/>
      <c r="NR115" s="150"/>
      <c r="NS115" s="150"/>
      <c r="NT115" s="150"/>
      <c r="NU115" s="150"/>
      <c r="NV115" s="150"/>
      <c r="NW115" s="150"/>
      <c r="NX115" s="150"/>
      <c r="NY115" s="150"/>
      <c r="NZ115" s="150"/>
      <c r="OA115" s="150"/>
      <c r="OB115" s="150"/>
      <c r="OC115" s="150"/>
      <c r="OD115" s="150"/>
      <c r="OE115" s="150"/>
    </row>
    <row r="116" spans="1:395" ht="15">
      <c r="A116" s="19"/>
      <c r="B116" s="17"/>
      <c r="C116" s="187">
        <v>2025</v>
      </c>
      <c r="D116" s="187">
        <v>116</v>
      </c>
      <c r="E116" s="187">
        <v>190</v>
      </c>
      <c r="F116" s="187">
        <v>278</v>
      </c>
      <c r="G116" s="187">
        <v>270</v>
      </c>
      <c r="H116" s="187">
        <v>190</v>
      </c>
      <c r="I116" s="187">
        <v>418</v>
      </c>
      <c r="J116" s="187">
        <v>174</v>
      </c>
      <c r="K116" s="187">
        <v>166</v>
      </c>
      <c r="L116" s="187">
        <v>309</v>
      </c>
      <c r="M116" s="187">
        <v>171</v>
      </c>
      <c r="N116" s="187">
        <v>166</v>
      </c>
      <c r="O116" s="187">
        <v>306</v>
      </c>
      <c r="P116" s="187">
        <v>186</v>
      </c>
      <c r="Q116" s="187">
        <v>190</v>
      </c>
      <c r="R116" s="187">
        <v>341</v>
      </c>
      <c r="S116" s="187">
        <v>186</v>
      </c>
      <c r="T116" s="187">
        <v>190</v>
      </c>
      <c r="U116" s="187">
        <v>342</v>
      </c>
      <c r="V116" s="187">
        <v>219</v>
      </c>
      <c r="W116" s="187">
        <v>569</v>
      </c>
      <c r="X116" s="187">
        <v>716</v>
      </c>
      <c r="Y116" s="187">
        <v>189</v>
      </c>
      <c r="Z116" s="187">
        <v>403</v>
      </c>
      <c r="AA116" s="187">
        <v>538</v>
      </c>
      <c r="AB116" s="187">
        <v>199</v>
      </c>
      <c r="AC116" s="187">
        <v>285</v>
      </c>
      <c r="AD116" s="187">
        <v>439</v>
      </c>
      <c r="AE116" s="187">
        <v>210</v>
      </c>
      <c r="AF116" s="187">
        <v>119</v>
      </c>
      <c r="AG116" s="187">
        <v>298</v>
      </c>
      <c r="AH116" s="187">
        <v>180</v>
      </c>
      <c r="AI116" s="187">
        <v>474</v>
      </c>
      <c r="AJ116" s="187">
        <v>595</v>
      </c>
      <c r="AK116" s="187">
        <v>178</v>
      </c>
      <c r="AL116" s="187">
        <v>190</v>
      </c>
      <c r="AM116" s="187">
        <v>334</v>
      </c>
      <c r="AN116" s="187">
        <v>195</v>
      </c>
      <c r="AO116" s="187">
        <v>142</v>
      </c>
      <c r="AP116" s="187">
        <v>307</v>
      </c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  <c r="BI116" s="150"/>
      <c r="BJ116" s="150"/>
      <c r="BK116" s="150"/>
      <c r="BL116" s="150"/>
      <c r="BM116" s="150"/>
      <c r="BN116" s="150"/>
      <c r="BO116" s="150"/>
      <c r="BP116" s="150"/>
      <c r="BQ116" s="150"/>
      <c r="BR116" s="150"/>
      <c r="BS116" s="150"/>
      <c r="BT116" s="150"/>
      <c r="BU116" s="150"/>
      <c r="BV116" s="150"/>
      <c r="BW116" s="150"/>
      <c r="BX116" s="150"/>
      <c r="BY116" s="150"/>
      <c r="BZ116" s="150"/>
      <c r="CA116" s="150"/>
      <c r="CB116" s="150"/>
      <c r="CC116" s="150"/>
      <c r="CD116" s="150"/>
      <c r="CE116" s="150"/>
      <c r="CF116" s="150"/>
      <c r="CG116" s="150"/>
      <c r="CH116" s="150"/>
      <c r="CI116" s="150"/>
      <c r="CJ116" s="150"/>
      <c r="CK116" s="150"/>
      <c r="CL116" s="150"/>
      <c r="CM116" s="150"/>
      <c r="CN116" s="150"/>
      <c r="CO116" s="150"/>
      <c r="CP116" s="150"/>
      <c r="CQ116" s="150"/>
      <c r="CR116" s="150"/>
      <c r="CS116" s="150"/>
      <c r="CT116" s="150"/>
      <c r="CU116" s="150"/>
      <c r="CV116" s="150"/>
      <c r="CW116" s="150"/>
      <c r="CX116" s="150"/>
      <c r="CY116" s="150"/>
      <c r="CZ116" s="150"/>
      <c r="DA116" s="150"/>
      <c r="DB116" s="150"/>
      <c r="DC116" s="150"/>
      <c r="DD116" s="150"/>
      <c r="DE116" s="150"/>
      <c r="DF116" s="150"/>
      <c r="DG116" s="150"/>
      <c r="DH116" s="150"/>
      <c r="DI116" s="150"/>
      <c r="DJ116" s="150"/>
      <c r="DK116" s="150"/>
      <c r="DL116" s="150"/>
      <c r="DM116" s="150"/>
      <c r="DN116" s="150"/>
      <c r="DO116" s="150"/>
      <c r="DP116" s="150"/>
      <c r="DQ116" s="150"/>
      <c r="DR116" s="150"/>
      <c r="DS116" s="150"/>
      <c r="DT116" s="150"/>
      <c r="DU116" s="150"/>
      <c r="DV116" s="150"/>
      <c r="DW116" s="150"/>
      <c r="DX116" s="150"/>
      <c r="DY116" s="150"/>
      <c r="DZ116" s="150"/>
      <c r="EA116" s="150"/>
      <c r="EB116" s="150"/>
      <c r="EC116" s="150"/>
      <c r="ED116" s="150"/>
      <c r="EE116" s="150"/>
      <c r="EF116" s="150"/>
      <c r="EG116" s="150"/>
      <c r="EH116" s="150"/>
      <c r="EI116" s="150"/>
      <c r="EJ116" s="150"/>
      <c r="EK116" s="150"/>
      <c r="EL116" s="150"/>
      <c r="EM116" s="150"/>
      <c r="EN116" s="150"/>
      <c r="EO116" s="150"/>
      <c r="EP116" s="150"/>
      <c r="EQ116" s="150"/>
      <c r="ER116" s="150"/>
      <c r="ES116" s="150"/>
      <c r="ET116" s="150"/>
      <c r="EU116" s="150"/>
      <c r="EV116" s="150"/>
      <c r="EW116" s="150"/>
      <c r="EX116" s="150"/>
      <c r="EY116" s="150"/>
      <c r="EZ116" s="150"/>
      <c r="FA116" s="150"/>
      <c r="FB116" s="150"/>
      <c r="FC116" s="150"/>
      <c r="FD116" s="150"/>
      <c r="FE116" s="150"/>
      <c r="FF116" s="150"/>
      <c r="FG116" s="150"/>
      <c r="FH116" s="150"/>
      <c r="FI116" s="150"/>
      <c r="FJ116" s="150"/>
      <c r="FK116" s="150"/>
      <c r="FL116" s="150"/>
      <c r="FM116" s="150"/>
      <c r="FN116" s="150"/>
      <c r="FO116" s="150"/>
      <c r="FP116" s="150"/>
      <c r="FQ116" s="150"/>
      <c r="FR116" s="150"/>
      <c r="FS116" s="150"/>
      <c r="FT116" s="150"/>
      <c r="FU116" s="150"/>
      <c r="FV116" s="150"/>
      <c r="FW116" s="150"/>
      <c r="FX116" s="150"/>
      <c r="FY116" s="150"/>
      <c r="FZ116" s="150"/>
      <c r="GA116" s="150"/>
      <c r="GB116" s="150"/>
      <c r="GC116" s="150"/>
      <c r="GD116" s="150"/>
      <c r="GE116" s="150"/>
      <c r="GF116" s="150"/>
      <c r="GG116" s="150"/>
      <c r="GH116" s="150"/>
      <c r="GI116" s="150"/>
      <c r="GJ116" s="150"/>
      <c r="GK116" s="150"/>
      <c r="GL116" s="150"/>
      <c r="GM116" s="150"/>
      <c r="GN116" s="150"/>
      <c r="GO116" s="150"/>
      <c r="GP116" s="150"/>
      <c r="GQ116" s="150"/>
      <c r="GR116" s="150"/>
      <c r="GS116" s="150"/>
      <c r="GT116" s="150"/>
      <c r="GU116" s="150"/>
      <c r="GV116" s="150"/>
      <c r="GW116" s="150"/>
      <c r="GX116" s="150"/>
      <c r="GY116" s="150"/>
      <c r="GZ116" s="150"/>
      <c r="HA116" s="150"/>
      <c r="HB116" s="150"/>
      <c r="HC116" s="150"/>
      <c r="HD116" s="150"/>
      <c r="HE116" s="150"/>
      <c r="HF116" s="150"/>
      <c r="HG116" s="150"/>
      <c r="HH116" s="150"/>
      <c r="HI116" s="150"/>
      <c r="HJ116" s="150"/>
      <c r="HK116" s="150"/>
      <c r="HL116" s="150"/>
      <c r="HM116" s="150"/>
      <c r="HN116" s="150"/>
      <c r="HO116" s="150"/>
      <c r="HP116" s="150"/>
      <c r="HQ116" s="150"/>
      <c r="HR116" s="150"/>
      <c r="HS116" s="150"/>
      <c r="HT116" s="150"/>
      <c r="HU116" s="150"/>
      <c r="HV116" s="150"/>
      <c r="HW116" s="150"/>
      <c r="HX116" s="150"/>
      <c r="HY116" s="150"/>
      <c r="HZ116" s="150"/>
      <c r="IA116" s="150"/>
      <c r="IB116" s="150"/>
      <c r="IC116" s="150"/>
      <c r="ID116" s="150"/>
      <c r="IE116" s="150"/>
      <c r="IF116" s="150"/>
      <c r="IG116" s="150"/>
      <c r="IH116" s="150"/>
      <c r="II116" s="150"/>
      <c r="IJ116" s="150"/>
      <c r="IK116" s="150"/>
      <c r="IL116" s="150"/>
      <c r="IM116" s="150"/>
      <c r="IN116" s="150"/>
      <c r="IO116" s="150"/>
      <c r="IP116" s="150"/>
      <c r="IQ116" s="150"/>
      <c r="IR116" s="150"/>
      <c r="IS116" s="150"/>
      <c r="IT116" s="150"/>
      <c r="IU116" s="150"/>
      <c r="IV116" s="150"/>
      <c r="IW116" s="150"/>
      <c r="IX116" s="150"/>
      <c r="IY116" s="150"/>
      <c r="IZ116" s="150"/>
      <c r="JA116" s="150"/>
      <c r="JB116" s="150"/>
      <c r="JC116" s="150"/>
      <c r="JD116" s="150"/>
      <c r="JE116" s="150"/>
      <c r="JF116" s="150"/>
      <c r="JG116" s="150"/>
      <c r="JH116" s="150"/>
      <c r="JI116" s="150"/>
      <c r="JJ116" s="150"/>
      <c r="JK116" s="150"/>
      <c r="JL116" s="150"/>
      <c r="JM116" s="150"/>
      <c r="JN116" s="150"/>
      <c r="JO116" s="150"/>
      <c r="JP116" s="150"/>
      <c r="JQ116" s="150"/>
      <c r="JR116" s="150"/>
      <c r="JS116" s="150"/>
      <c r="JT116" s="150"/>
      <c r="JU116" s="150"/>
      <c r="JV116" s="150"/>
      <c r="JW116" s="150"/>
      <c r="JX116" s="150"/>
      <c r="JY116" s="150"/>
      <c r="JZ116" s="150"/>
      <c r="KA116" s="150"/>
      <c r="KB116" s="150"/>
      <c r="KC116" s="150"/>
      <c r="KD116" s="150"/>
      <c r="KE116" s="150"/>
      <c r="KF116" s="150"/>
      <c r="KG116" s="150"/>
      <c r="KH116" s="150"/>
      <c r="KI116" s="150"/>
      <c r="KJ116" s="150"/>
      <c r="KK116" s="150"/>
      <c r="KL116" s="150"/>
      <c r="KM116" s="150"/>
      <c r="KN116" s="150"/>
      <c r="KO116" s="150"/>
      <c r="KP116" s="150"/>
      <c r="KQ116" s="150"/>
      <c r="KR116" s="150"/>
      <c r="KS116" s="150"/>
      <c r="KT116" s="150"/>
      <c r="KU116" s="150"/>
      <c r="KV116" s="150"/>
      <c r="KW116" s="150"/>
      <c r="KX116" s="150"/>
      <c r="KY116" s="150"/>
      <c r="KZ116" s="150"/>
      <c r="LA116" s="150"/>
      <c r="LB116" s="150"/>
      <c r="LC116" s="150"/>
      <c r="LD116" s="150"/>
      <c r="LE116" s="150"/>
      <c r="LF116" s="150"/>
      <c r="LG116" s="150"/>
      <c r="LH116" s="150"/>
      <c r="LI116" s="150"/>
      <c r="LJ116" s="150"/>
      <c r="LK116" s="150"/>
      <c r="LL116" s="150"/>
      <c r="LM116" s="150"/>
      <c r="LN116" s="150"/>
      <c r="LO116" s="150"/>
      <c r="LP116" s="150"/>
      <c r="LQ116" s="150"/>
      <c r="LR116" s="150"/>
      <c r="LS116" s="150"/>
      <c r="LT116" s="150"/>
      <c r="LU116" s="150"/>
      <c r="LV116" s="150"/>
      <c r="LW116" s="150"/>
      <c r="LX116" s="150"/>
      <c r="LY116" s="150"/>
      <c r="LZ116" s="150"/>
      <c r="MA116" s="150"/>
      <c r="MB116" s="150"/>
      <c r="MC116" s="150"/>
      <c r="MD116" s="150"/>
      <c r="ME116" s="150"/>
      <c r="MF116" s="150"/>
      <c r="MG116" s="150"/>
      <c r="MH116" s="150"/>
      <c r="MI116" s="150"/>
      <c r="MJ116" s="150"/>
      <c r="MK116" s="150"/>
      <c r="ML116" s="150"/>
      <c r="MM116" s="150"/>
      <c r="MN116" s="150"/>
      <c r="MO116" s="150"/>
      <c r="MP116" s="150"/>
      <c r="MQ116" s="150"/>
      <c r="MR116" s="150"/>
      <c r="MS116" s="150"/>
      <c r="MT116" s="150"/>
      <c r="MU116" s="150"/>
      <c r="MV116" s="150"/>
      <c r="MW116" s="150"/>
      <c r="MX116" s="150"/>
      <c r="MY116" s="150"/>
      <c r="MZ116" s="150"/>
      <c r="NA116" s="150"/>
      <c r="NB116" s="150"/>
      <c r="NC116" s="150"/>
      <c r="ND116" s="150"/>
      <c r="NE116" s="150"/>
      <c r="NF116" s="150"/>
      <c r="NG116" s="150"/>
      <c r="NH116" s="150"/>
      <c r="NI116" s="150"/>
      <c r="NJ116" s="150"/>
      <c r="NK116" s="150"/>
      <c r="NL116" s="150"/>
      <c r="NM116" s="150"/>
      <c r="NN116" s="150"/>
      <c r="NO116" s="150"/>
      <c r="NP116" s="150"/>
      <c r="NQ116" s="150"/>
      <c r="NR116" s="150"/>
      <c r="NS116" s="150"/>
      <c r="NT116" s="150"/>
      <c r="NU116" s="150"/>
      <c r="NV116" s="150"/>
      <c r="NW116" s="150"/>
      <c r="NX116" s="150"/>
      <c r="NY116" s="150"/>
      <c r="NZ116" s="150"/>
      <c r="OA116" s="150"/>
      <c r="OB116" s="150"/>
      <c r="OC116" s="150"/>
      <c r="OD116" s="150"/>
      <c r="OE116" s="150"/>
    </row>
    <row r="117" spans="1:395" ht="15">
      <c r="A117" s="19"/>
      <c r="B117" s="17"/>
      <c r="C117" s="187">
        <v>2026</v>
      </c>
      <c r="D117" s="187">
        <v>109</v>
      </c>
      <c r="E117" s="187">
        <v>177</v>
      </c>
      <c r="F117" s="187">
        <v>260</v>
      </c>
      <c r="G117" s="187">
        <v>252</v>
      </c>
      <c r="H117" s="187">
        <v>177</v>
      </c>
      <c r="I117" s="187">
        <v>390</v>
      </c>
      <c r="J117" s="187">
        <v>162</v>
      </c>
      <c r="K117" s="187">
        <v>155</v>
      </c>
      <c r="L117" s="187">
        <v>288</v>
      </c>
      <c r="M117" s="187">
        <v>160</v>
      </c>
      <c r="N117" s="187">
        <v>155</v>
      </c>
      <c r="O117" s="187">
        <v>286</v>
      </c>
      <c r="P117" s="187">
        <v>173</v>
      </c>
      <c r="Q117" s="187">
        <v>177</v>
      </c>
      <c r="R117" s="187">
        <v>318</v>
      </c>
      <c r="S117" s="187">
        <v>174</v>
      </c>
      <c r="T117" s="187">
        <v>177</v>
      </c>
      <c r="U117" s="187">
        <v>319</v>
      </c>
      <c r="V117" s="187">
        <v>204</v>
      </c>
      <c r="W117" s="187">
        <v>531</v>
      </c>
      <c r="X117" s="187">
        <v>668</v>
      </c>
      <c r="Y117" s="187">
        <v>176</v>
      </c>
      <c r="Z117" s="187">
        <v>376</v>
      </c>
      <c r="AA117" s="187">
        <v>502</v>
      </c>
      <c r="AB117" s="187">
        <v>185</v>
      </c>
      <c r="AC117" s="187">
        <v>266</v>
      </c>
      <c r="AD117" s="187">
        <v>410</v>
      </c>
      <c r="AE117" s="187">
        <v>196</v>
      </c>
      <c r="AF117" s="187">
        <v>111</v>
      </c>
      <c r="AG117" s="187">
        <v>279</v>
      </c>
      <c r="AH117" s="187">
        <v>168</v>
      </c>
      <c r="AI117" s="187">
        <v>443</v>
      </c>
      <c r="AJ117" s="187">
        <v>555</v>
      </c>
      <c r="AK117" s="187">
        <v>166</v>
      </c>
      <c r="AL117" s="187">
        <v>177</v>
      </c>
      <c r="AM117" s="187">
        <v>312</v>
      </c>
      <c r="AN117" s="187">
        <v>182</v>
      </c>
      <c r="AO117" s="187">
        <v>133</v>
      </c>
      <c r="AP117" s="187">
        <v>286</v>
      </c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  <c r="BI117" s="150"/>
      <c r="BJ117" s="150"/>
      <c r="BK117" s="150"/>
      <c r="BL117" s="150"/>
      <c r="BM117" s="150"/>
      <c r="BN117" s="150"/>
      <c r="BO117" s="150"/>
      <c r="BP117" s="150"/>
      <c r="BQ117" s="150"/>
      <c r="BR117" s="150"/>
      <c r="BS117" s="150"/>
      <c r="BT117" s="150"/>
      <c r="BU117" s="150"/>
      <c r="BV117" s="150"/>
      <c r="BW117" s="150"/>
      <c r="BX117" s="150"/>
      <c r="BY117" s="150"/>
      <c r="BZ117" s="150"/>
      <c r="CA117" s="150"/>
      <c r="CB117" s="150"/>
      <c r="CC117" s="150"/>
      <c r="CD117" s="150"/>
      <c r="CE117" s="150"/>
      <c r="CF117" s="150"/>
      <c r="CG117" s="150"/>
      <c r="CH117" s="150"/>
      <c r="CI117" s="150"/>
      <c r="CJ117" s="150"/>
      <c r="CK117" s="150"/>
      <c r="CL117" s="150"/>
      <c r="CM117" s="150"/>
      <c r="CN117" s="150"/>
      <c r="CO117" s="150"/>
      <c r="CP117" s="150"/>
      <c r="CQ117" s="150"/>
      <c r="CR117" s="150"/>
      <c r="CS117" s="150"/>
      <c r="CT117" s="150"/>
      <c r="CU117" s="150"/>
      <c r="CV117" s="150"/>
      <c r="CW117" s="150"/>
      <c r="CX117" s="150"/>
      <c r="CY117" s="150"/>
      <c r="CZ117" s="150"/>
      <c r="DA117" s="150"/>
      <c r="DB117" s="150"/>
      <c r="DC117" s="150"/>
      <c r="DD117" s="150"/>
      <c r="DE117" s="150"/>
      <c r="DF117" s="150"/>
      <c r="DG117" s="150"/>
      <c r="DH117" s="150"/>
      <c r="DI117" s="150"/>
      <c r="DJ117" s="150"/>
      <c r="DK117" s="150"/>
      <c r="DL117" s="150"/>
      <c r="DM117" s="150"/>
      <c r="DN117" s="150"/>
      <c r="DO117" s="150"/>
      <c r="DP117" s="150"/>
      <c r="DQ117" s="150"/>
      <c r="DR117" s="150"/>
      <c r="DS117" s="150"/>
      <c r="DT117" s="150"/>
      <c r="DU117" s="150"/>
      <c r="DV117" s="150"/>
      <c r="DW117" s="150"/>
      <c r="DX117" s="150"/>
      <c r="DY117" s="150"/>
      <c r="DZ117" s="150"/>
      <c r="EA117" s="150"/>
      <c r="EB117" s="150"/>
      <c r="EC117" s="150"/>
      <c r="ED117" s="150"/>
      <c r="EE117" s="150"/>
      <c r="EF117" s="150"/>
      <c r="EG117" s="150"/>
      <c r="EH117" s="150"/>
      <c r="EI117" s="150"/>
      <c r="EJ117" s="150"/>
      <c r="EK117" s="150"/>
      <c r="EL117" s="150"/>
      <c r="EM117" s="150"/>
      <c r="EN117" s="150"/>
      <c r="EO117" s="150"/>
      <c r="EP117" s="150"/>
      <c r="EQ117" s="150"/>
      <c r="ER117" s="150"/>
      <c r="ES117" s="150"/>
      <c r="ET117" s="150"/>
      <c r="EU117" s="150"/>
      <c r="EV117" s="150"/>
      <c r="EW117" s="150"/>
      <c r="EX117" s="150"/>
      <c r="EY117" s="150"/>
      <c r="EZ117" s="150"/>
      <c r="FA117" s="150"/>
      <c r="FB117" s="150"/>
      <c r="FC117" s="150"/>
      <c r="FD117" s="150"/>
      <c r="FE117" s="150"/>
      <c r="FF117" s="150"/>
      <c r="FG117" s="150"/>
      <c r="FH117" s="150"/>
      <c r="FI117" s="150"/>
      <c r="FJ117" s="150"/>
      <c r="FK117" s="150"/>
      <c r="FL117" s="150"/>
      <c r="FM117" s="150"/>
      <c r="FN117" s="150"/>
      <c r="FO117" s="150"/>
      <c r="FP117" s="150"/>
      <c r="FQ117" s="150"/>
      <c r="FR117" s="150"/>
      <c r="FS117" s="150"/>
      <c r="FT117" s="150"/>
      <c r="FU117" s="150"/>
      <c r="FV117" s="150"/>
      <c r="FW117" s="150"/>
      <c r="FX117" s="150"/>
      <c r="FY117" s="150"/>
      <c r="FZ117" s="150"/>
      <c r="GA117" s="150"/>
      <c r="GB117" s="150"/>
      <c r="GC117" s="150"/>
      <c r="GD117" s="150"/>
      <c r="GE117" s="150"/>
      <c r="GF117" s="150"/>
      <c r="GG117" s="150"/>
      <c r="GH117" s="150"/>
      <c r="GI117" s="150"/>
      <c r="GJ117" s="150"/>
      <c r="GK117" s="150"/>
      <c r="GL117" s="150"/>
      <c r="GM117" s="150"/>
      <c r="GN117" s="150"/>
      <c r="GO117" s="150"/>
      <c r="GP117" s="150"/>
      <c r="GQ117" s="150"/>
      <c r="GR117" s="150"/>
      <c r="GS117" s="150"/>
      <c r="GT117" s="150"/>
      <c r="GU117" s="150"/>
      <c r="GV117" s="150"/>
      <c r="GW117" s="150"/>
      <c r="GX117" s="150"/>
      <c r="GY117" s="150"/>
      <c r="GZ117" s="150"/>
      <c r="HA117" s="150"/>
      <c r="HB117" s="150"/>
      <c r="HC117" s="150"/>
      <c r="HD117" s="150"/>
      <c r="HE117" s="150"/>
      <c r="HF117" s="150"/>
      <c r="HG117" s="150"/>
      <c r="HH117" s="150"/>
      <c r="HI117" s="150"/>
      <c r="HJ117" s="150"/>
      <c r="HK117" s="150"/>
      <c r="HL117" s="150"/>
      <c r="HM117" s="150"/>
      <c r="HN117" s="150"/>
      <c r="HO117" s="150"/>
      <c r="HP117" s="150"/>
      <c r="HQ117" s="150"/>
      <c r="HR117" s="150"/>
      <c r="HS117" s="150"/>
      <c r="HT117" s="150"/>
      <c r="HU117" s="150"/>
      <c r="HV117" s="150"/>
      <c r="HW117" s="150"/>
      <c r="HX117" s="150"/>
      <c r="HY117" s="150"/>
      <c r="HZ117" s="150"/>
      <c r="IA117" s="150"/>
      <c r="IB117" s="150"/>
      <c r="IC117" s="150"/>
      <c r="ID117" s="150"/>
      <c r="IE117" s="150"/>
      <c r="IF117" s="150"/>
      <c r="IG117" s="150"/>
      <c r="IH117" s="150"/>
      <c r="II117" s="150"/>
      <c r="IJ117" s="150"/>
      <c r="IK117" s="150"/>
      <c r="IL117" s="150"/>
      <c r="IM117" s="150"/>
      <c r="IN117" s="150"/>
      <c r="IO117" s="150"/>
      <c r="IP117" s="150"/>
      <c r="IQ117" s="150"/>
      <c r="IR117" s="150"/>
      <c r="IS117" s="150"/>
      <c r="IT117" s="150"/>
      <c r="IU117" s="150"/>
      <c r="IV117" s="150"/>
      <c r="IW117" s="150"/>
      <c r="IX117" s="150"/>
      <c r="IY117" s="150"/>
      <c r="IZ117" s="150"/>
      <c r="JA117" s="150"/>
      <c r="JB117" s="150"/>
      <c r="JC117" s="150"/>
      <c r="JD117" s="150"/>
      <c r="JE117" s="150"/>
      <c r="JF117" s="150"/>
      <c r="JG117" s="150"/>
      <c r="JH117" s="150"/>
      <c r="JI117" s="150"/>
      <c r="JJ117" s="150"/>
      <c r="JK117" s="150"/>
      <c r="JL117" s="150"/>
      <c r="JM117" s="150"/>
      <c r="JN117" s="150"/>
      <c r="JO117" s="150"/>
      <c r="JP117" s="150"/>
      <c r="JQ117" s="150"/>
      <c r="JR117" s="150"/>
      <c r="JS117" s="150"/>
      <c r="JT117" s="150"/>
      <c r="JU117" s="150"/>
      <c r="JV117" s="150"/>
      <c r="JW117" s="150"/>
      <c r="JX117" s="150"/>
      <c r="JY117" s="150"/>
      <c r="JZ117" s="150"/>
      <c r="KA117" s="150"/>
      <c r="KB117" s="150"/>
      <c r="KC117" s="150"/>
      <c r="KD117" s="150"/>
      <c r="KE117" s="150"/>
      <c r="KF117" s="150"/>
      <c r="KG117" s="150"/>
      <c r="KH117" s="150"/>
      <c r="KI117" s="150"/>
      <c r="KJ117" s="150"/>
      <c r="KK117" s="150"/>
      <c r="KL117" s="150"/>
      <c r="KM117" s="150"/>
      <c r="KN117" s="150"/>
      <c r="KO117" s="150"/>
      <c r="KP117" s="150"/>
      <c r="KQ117" s="150"/>
      <c r="KR117" s="150"/>
      <c r="KS117" s="150"/>
      <c r="KT117" s="150"/>
      <c r="KU117" s="150"/>
      <c r="KV117" s="150"/>
      <c r="KW117" s="150"/>
      <c r="KX117" s="150"/>
      <c r="KY117" s="150"/>
      <c r="KZ117" s="150"/>
      <c r="LA117" s="150"/>
      <c r="LB117" s="150"/>
      <c r="LC117" s="150"/>
      <c r="LD117" s="150"/>
      <c r="LE117" s="150"/>
      <c r="LF117" s="150"/>
      <c r="LG117" s="150"/>
      <c r="LH117" s="150"/>
      <c r="LI117" s="150"/>
      <c r="LJ117" s="150"/>
      <c r="LK117" s="150"/>
      <c r="LL117" s="150"/>
      <c r="LM117" s="150"/>
      <c r="LN117" s="150"/>
      <c r="LO117" s="150"/>
      <c r="LP117" s="150"/>
      <c r="LQ117" s="150"/>
      <c r="LR117" s="150"/>
      <c r="LS117" s="150"/>
      <c r="LT117" s="150"/>
      <c r="LU117" s="150"/>
      <c r="LV117" s="150"/>
      <c r="LW117" s="150"/>
      <c r="LX117" s="150"/>
      <c r="LY117" s="150"/>
      <c r="LZ117" s="150"/>
      <c r="MA117" s="150"/>
      <c r="MB117" s="150"/>
      <c r="MC117" s="150"/>
      <c r="MD117" s="150"/>
      <c r="ME117" s="150"/>
      <c r="MF117" s="150"/>
      <c r="MG117" s="150"/>
      <c r="MH117" s="150"/>
      <c r="MI117" s="150"/>
      <c r="MJ117" s="150"/>
      <c r="MK117" s="150"/>
      <c r="ML117" s="150"/>
      <c r="MM117" s="150"/>
      <c r="MN117" s="150"/>
      <c r="MO117" s="150"/>
      <c r="MP117" s="150"/>
      <c r="MQ117" s="150"/>
      <c r="MR117" s="150"/>
      <c r="MS117" s="150"/>
      <c r="MT117" s="150"/>
      <c r="MU117" s="150"/>
      <c r="MV117" s="150"/>
      <c r="MW117" s="150"/>
      <c r="MX117" s="150"/>
      <c r="MY117" s="150"/>
      <c r="MZ117" s="150"/>
      <c r="NA117" s="150"/>
      <c r="NB117" s="150"/>
      <c r="NC117" s="150"/>
      <c r="ND117" s="150"/>
      <c r="NE117" s="150"/>
      <c r="NF117" s="150"/>
      <c r="NG117" s="150"/>
      <c r="NH117" s="150"/>
      <c r="NI117" s="150"/>
      <c r="NJ117" s="150"/>
      <c r="NK117" s="150"/>
      <c r="NL117" s="150"/>
      <c r="NM117" s="150"/>
      <c r="NN117" s="150"/>
      <c r="NO117" s="150"/>
      <c r="NP117" s="150"/>
      <c r="NQ117" s="150"/>
      <c r="NR117" s="150"/>
      <c r="NS117" s="150"/>
      <c r="NT117" s="150"/>
      <c r="NU117" s="150"/>
      <c r="NV117" s="150"/>
      <c r="NW117" s="150"/>
      <c r="NX117" s="150"/>
      <c r="NY117" s="150"/>
      <c r="NZ117" s="150"/>
      <c r="OA117" s="150"/>
      <c r="OB117" s="150"/>
      <c r="OC117" s="150"/>
      <c r="OD117" s="150"/>
      <c r="OE117" s="150"/>
    </row>
    <row r="118" spans="1:395" ht="15">
      <c r="A118" s="19"/>
      <c r="B118" s="17"/>
      <c r="C118" s="187">
        <v>2027</v>
      </c>
      <c r="D118" s="187">
        <v>101</v>
      </c>
      <c r="E118" s="187">
        <v>164</v>
      </c>
      <c r="F118" s="187">
        <v>241</v>
      </c>
      <c r="G118" s="187">
        <v>234</v>
      </c>
      <c r="H118" s="187">
        <v>164</v>
      </c>
      <c r="I118" s="187">
        <v>362</v>
      </c>
      <c r="J118" s="187">
        <v>151</v>
      </c>
      <c r="K118" s="187">
        <v>144</v>
      </c>
      <c r="L118" s="187">
        <v>268</v>
      </c>
      <c r="M118" s="187">
        <v>148</v>
      </c>
      <c r="N118" s="187">
        <v>144</v>
      </c>
      <c r="O118" s="187">
        <v>266</v>
      </c>
      <c r="P118" s="187">
        <v>161</v>
      </c>
      <c r="Q118" s="187">
        <v>164</v>
      </c>
      <c r="R118" s="187">
        <v>296</v>
      </c>
      <c r="S118" s="187">
        <v>161</v>
      </c>
      <c r="T118" s="187">
        <v>164</v>
      </c>
      <c r="U118" s="187">
        <v>296</v>
      </c>
      <c r="V118" s="187">
        <v>190</v>
      </c>
      <c r="W118" s="187">
        <v>493</v>
      </c>
      <c r="X118" s="187">
        <v>621</v>
      </c>
      <c r="Y118" s="187">
        <v>164</v>
      </c>
      <c r="Z118" s="187">
        <v>349</v>
      </c>
      <c r="AA118" s="187">
        <v>466</v>
      </c>
      <c r="AB118" s="187">
        <v>172</v>
      </c>
      <c r="AC118" s="187">
        <v>247</v>
      </c>
      <c r="AD118" s="187">
        <v>381</v>
      </c>
      <c r="AE118" s="187">
        <v>182</v>
      </c>
      <c r="AF118" s="187">
        <v>103</v>
      </c>
      <c r="AG118" s="187">
        <v>259</v>
      </c>
      <c r="AH118" s="187">
        <v>156</v>
      </c>
      <c r="AI118" s="187">
        <v>411</v>
      </c>
      <c r="AJ118" s="187">
        <v>516</v>
      </c>
      <c r="AK118" s="187">
        <v>154</v>
      </c>
      <c r="AL118" s="187">
        <v>164</v>
      </c>
      <c r="AM118" s="187">
        <v>289</v>
      </c>
      <c r="AN118" s="187">
        <v>169</v>
      </c>
      <c r="AO118" s="187">
        <v>123</v>
      </c>
      <c r="AP118" s="187">
        <v>266</v>
      </c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  <c r="BI118" s="150"/>
      <c r="BJ118" s="150"/>
      <c r="BK118" s="150"/>
      <c r="BL118" s="150"/>
      <c r="BM118" s="150"/>
      <c r="BN118" s="150"/>
      <c r="BO118" s="150"/>
      <c r="BP118" s="150"/>
      <c r="BQ118" s="150"/>
      <c r="BR118" s="150"/>
      <c r="BS118" s="150"/>
      <c r="BT118" s="150"/>
      <c r="BU118" s="150"/>
      <c r="BV118" s="150"/>
      <c r="BW118" s="150"/>
      <c r="BX118" s="150"/>
      <c r="BY118" s="150"/>
      <c r="BZ118" s="150"/>
      <c r="CA118" s="150"/>
      <c r="CB118" s="150"/>
      <c r="CC118" s="150"/>
      <c r="CD118" s="150"/>
      <c r="CE118" s="150"/>
      <c r="CF118" s="150"/>
      <c r="CG118" s="150"/>
      <c r="CH118" s="150"/>
      <c r="CI118" s="150"/>
      <c r="CJ118" s="150"/>
      <c r="CK118" s="150"/>
      <c r="CL118" s="150"/>
      <c r="CM118" s="150"/>
      <c r="CN118" s="150"/>
      <c r="CO118" s="150"/>
      <c r="CP118" s="150"/>
      <c r="CQ118" s="150"/>
      <c r="CR118" s="150"/>
      <c r="CS118" s="150"/>
      <c r="CT118" s="150"/>
      <c r="CU118" s="150"/>
      <c r="CV118" s="150"/>
      <c r="CW118" s="150"/>
      <c r="CX118" s="150"/>
      <c r="CY118" s="150"/>
      <c r="CZ118" s="150"/>
      <c r="DA118" s="150"/>
      <c r="DB118" s="150"/>
      <c r="DC118" s="150"/>
      <c r="DD118" s="150"/>
      <c r="DE118" s="150"/>
      <c r="DF118" s="150"/>
      <c r="DG118" s="150"/>
      <c r="DH118" s="150"/>
      <c r="DI118" s="150"/>
      <c r="DJ118" s="150"/>
      <c r="DK118" s="150"/>
      <c r="DL118" s="150"/>
      <c r="DM118" s="150"/>
      <c r="DN118" s="150"/>
      <c r="DO118" s="150"/>
      <c r="DP118" s="150"/>
      <c r="DQ118" s="150"/>
      <c r="DR118" s="150"/>
      <c r="DS118" s="150"/>
      <c r="DT118" s="150"/>
      <c r="DU118" s="150"/>
      <c r="DV118" s="150"/>
      <c r="DW118" s="150"/>
      <c r="DX118" s="150"/>
      <c r="DY118" s="150"/>
      <c r="DZ118" s="150"/>
      <c r="EA118" s="150"/>
      <c r="EB118" s="150"/>
      <c r="EC118" s="150"/>
      <c r="ED118" s="150"/>
      <c r="EE118" s="150"/>
      <c r="EF118" s="150"/>
      <c r="EG118" s="150"/>
      <c r="EH118" s="150"/>
      <c r="EI118" s="150"/>
      <c r="EJ118" s="150"/>
      <c r="EK118" s="150"/>
      <c r="EL118" s="150"/>
      <c r="EM118" s="150"/>
      <c r="EN118" s="150"/>
      <c r="EO118" s="150"/>
      <c r="EP118" s="150"/>
      <c r="EQ118" s="150"/>
      <c r="ER118" s="150"/>
      <c r="ES118" s="150"/>
      <c r="ET118" s="150"/>
      <c r="EU118" s="150"/>
      <c r="EV118" s="150"/>
      <c r="EW118" s="150"/>
      <c r="EX118" s="150"/>
      <c r="EY118" s="150"/>
      <c r="EZ118" s="150"/>
      <c r="FA118" s="150"/>
      <c r="FB118" s="150"/>
      <c r="FC118" s="150"/>
      <c r="FD118" s="150"/>
      <c r="FE118" s="150"/>
      <c r="FF118" s="150"/>
      <c r="FG118" s="150"/>
      <c r="FH118" s="150"/>
      <c r="FI118" s="150"/>
      <c r="FJ118" s="150"/>
      <c r="FK118" s="150"/>
      <c r="FL118" s="150"/>
      <c r="FM118" s="150"/>
      <c r="FN118" s="150"/>
      <c r="FO118" s="150"/>
      <c r="FP118" s="150"/>
      <c r="FQ118" s="150"/>
      <c r="FR118" s="150"/>
      <c r="FS118" s="150"/>
      <c r="FT118" s="150"/>
      <c r="FU118" s="150"/>
      <c r="FV118" s="150"/>
      <c r="FW118" s="150"/>
      <c r="FX118" s="150"/>
      <c r="FY118" s="150"/>
      <c r="FZ118" s="150"/>
      <c r="GA118" s="150"/>
      <c r="GB118" s="150"/>
      <c r="GC118" s="150"/>
      <c r="GD118" s="150"/>
      <c r="GE118" s="150"/>
      <c r="GF118" s="150"/>
      <c r="GG118" s="150"/>
      <c r="GH118" s="150"/>
      <c r="GI118" s="150"/>
      <c r="GJ118" s="150"/>
      <c r="GK118" s="150"/>
      <c r="GL118" s="150"/>
      <c r="GM118" s="150"/>
      <c r="GN118" s="150"/>
      <c r="GO118" s="150"/>
      <c r="GP118" s="150"/>
      <c r="GQ118" s="150"/>
      <c r="GR118" s="150"/>
      <c r="GS118" s="150"/>
      <c r="GT118" s="150"/>
      <c r="GU118" s="150"/>
      <c r="GV118" s="150"/>
      <c r="GW118" s="150"/>
      <c r="GX118" s="150"/>
      <c r="GY118" s="150"/>
      <c r="GZ118" s="150"/>
      <c r="HA118" s="150"/>
      <c r="HB118" s="150"/>
      <c r="HC118" s="150"/>
      <c r="HD118" s="150"/>
      <c r="HE118" s="150"/>
      <c r="HF118" s="150"/>
      <c r="HG118" s="150"/>
      <c r="HH118" s="150"/>
      <c r="HI118" s="150"/>
      <c r="HJ118" s="150"/>
      <c r="HK118" s="150"/>
      <c r="HL118" s="150"/>
      <c r="HM118" s="150"/>
      <c r="HN118" s="150"/>
      <c r="HO118" s="150"/>
      <c r="HP118" s="150"/>
      <c r="HQ118" s="150"/>
      <c r="HR118" s="150"/>
      <c r="HS118" s="150"/>
      <c r="HT118" s="150"/>
      <c r="HU118" s="150"/>
      <c r="HV118" s="150"/>
      <c r="HW118" s="150"/>
      <c r="HX118" s="150"/>
      <c r="HY118" s="150"/>
      <c r="HZ118" s="150"/>
      <c r="IA118" s="150"/>
      <c r="IB118" s="150"/>
      <c r="IC118" s="150"/>
      <c r="ID118" s="150"/>
      <c r="IE118" s="150"/>
      <c r="IF118" s="150"/>
      <c r="IG118" s="150"/>
      <c r="IH118" s="150"/>
      <c r="II118" s="150"/>
      <c r="IJ118" s="150"/>
      <c r="IK118" s="150"/>
      <c r="IL118" s="150"/>
      <c r="IM118" s="150"/>
      <c r="IN118" s="150"/>
      <c r="IO118" s="150"/>
      <c r="IP118" s="150"/>
      <c r="IQ118" s="150"/>
      <c r="IR118" s="150"/>
      <c r="IS118" s="150"/>
      <c r="IT118" s="150"/>
      <c r="IU118" s="150"/>
      <c r="IV118" s="150"/>
      <c r="IW118" s="150"/>
      <c r="IX118" s="150"/>
      <c r="IY118" s="150"/>
      <c r="IZ118" s="150"/>
      <c r="JA118" s="150"/>
      <c r="JB118" s="150"/>
      <c r="JC118" s="150"/>
      <c r="JD118" s="150"/>
      <c r="JE118" s="150"/>
      <c r="JF118" s="150"/>
      <c r="JG118" s="150"/>
      <c r="JH118" s="150"/>
      <c r="JI118" s="150"/>
      <c r="JJ118" s="150"/>
      <c r="JK118" s="150"/>
      <c r="JL118" s="150"/>
      <c r="JM118" s="150"/>
      <c r="JN118" s="150"/>
      <c r="JO118" s="150"/>
      <c r="JP118" s="150"/>
      <c r="JQ118" s="150"/>
      <c r="JR118" s="150"/>
      <c r="JS118" s="150"/>
      <c r="JT118" s="150"/>
      <c r="JU118" s="150"/>
      <c r="JV118" s="150"/>
      <c r="JW118" s="150"/>
      <c r="JX118" s="150"/>
      <c r="JY118" s="150"/>
      <c r="JZ118" s="150"/>
      <c r="KA118" s="150"/>
      <c r="KB118" s="150"/>
      <c r="KC118" s="150"/>
      <c r="KD118" s="150"/>
      <c r="KE118" s="150"/>
      <c r="KF118" s="150"/>
      <c r="KG118" s="150"/>
      <c r="KH118" s="150"/>
      <c r="KI118" s="150"/>
      <c r="KJ118" s="150"/>
      <c r="KK118" s="150"/>
      <c r="KL118" s="150"/>
      <c r="KM118" s="150"/>
      <c r="KN118" s="150"/>
      <c r="KO118" s="150"/>
      <c r="KP118" s="150"/>
      <c r="KQ118" s="150"/>
      <c r="KR118" s="150"/>
      <c r="KS118" s="150"/>
      <c r="KT118" s="150"/>
      <c r="KU118" s="150"/>
      <c r="KV118" s="150"/>
      <c r="KW118" s="150"/>
      <c r="KX118" s="150"/>
      <c r="KY118" s="150"/>
      <c r="KZ118" s="150"/>
      <c r="LA118" s="150"/>
      <c r="LB118" s="150"/>
      <c r="LC118" s="150"/>
      <c r="LD118" s="150"/>
      <c r="LE118" s="150"/>
      <c r="LF118" s="150"/>
      <c r="LG118" s="150"/>
      <c r="LH118" s="150"/>
      <c r="LI118" s="150"/>
      <c r="LJ118" s="150"/>
      <c r="LK118" s="150"/>
      <c r="LL118" s="150"/>
      <c r="LM118" s="150"/>
      <c r="LN118" s="150"/>
      <c r="LO118" s="150"/>
      <c r="LP118" s="150"/>
      <c r="LQ118" s="150"/>
      <c r="LR118" s="150"/>
      <c r="LS118" s="150"/>
      <c r="LT118" s="150"/>
      <c r="LU118" s="150"/>
      <c r="LV118" s="150"/>
      <c r="LW118" s="150"/>
      <c r="LX118" s="150"/>
      <c r="LY118" s="150"/>
      <c r="LZ118" s="150"/>
      <c r="MA118" s="150"/>
      <c r="MB118" s="150"/>
      <c r="MC118" s="150"/>
      <c r="MD118" s="150"/>
      <c r="ME118" s="150"/>
      <c r="MF118" s="150"/>
      <c r="MG118" s="150"/>
      <c r="MH118" s="150"/>
      <c r="MI118" s="150"/>
      <c r="MJ118" s="150"/>
      <c r="MK118" s="150"/>
      <c r="ML118" s="150"/>
      <c r="MM118" s="150"/>
      <c r="MN118" s="150"/>
      <c r="MO118" s="150"/>
      <c r="MP118" s="150"/>
      <c r="MQ118" s="150"/>
      <c r="MR118" s="150"/>
      <c r="MS118" s="150"/>
      <c r="MT118" s="150"/>
      <c r="MU118" s="150"/>
      <c r="MV118" s="150"/>
      <c r="MW118" s="150"/>
      <c r="MX118" s="150"/>
      <c r="MY118" s="150"/>
      <c r="MZ118" s="150"/>
      <c r="NA118" s="150"/>
      <c r="NB118" s="150"/>
      <c r="NC118" s="150"/>
      <c r="ND118" s="150"/>
      <c r="NE118" s="150"/>
      <c r="NF118" s="150"/>
      <c r="NG118" s="150"/>
      <c r="NH118" s="150"/>
      <c r="NI118" s="150"/>
      <c r="NJ118" s="150"/>
      <c r="NK118" s="150"/>
      <c r="NL118" s="150"/>
      <c r="NM118" s="150"/>
      <c r="NN118" s="150"/>
      <c r="NO118" s="150"/>
      <c r="NP118" s="150"/>
      <c r="NQ118" s="150"/>
      <c r="NR118" s="150"/>
      <c r="NS118" s="150"/>
      <c r="NT118" s="150"/>
      <c r="NU118" s="150"/>
      <c r="NV118" s="150"/>
      <c r="NW118" s="150"/>
      <c r="NX118" s="150"/>
      <c r="NY118" s="150"/>
      <c r="NZ118" s="150"/>
      <c r="OA118" s="150"/>
      <c r="OB118" s="150"/>
      <c r="OC118" s="150"/>
      <c r="OD118" s="150"/>
      <c r="OE118" s="150"/>
    </row>
    <row r="119" spans="1:395" ht="15">
      <c r="A119" s="19"/>
      <c r="B119" s="17"/>
      <c r="C119" s="187">
        <v>2028</v>
      </c>
      <c r="D119" s="187">
        <v>93</v>
      </c>
      <c r="E119" s="187">
        <v>152</v>
      </c>
      <c r="F119" s="187">
        <v>223</v>
      </c>
      <c r="G119" s="187">
        <v>216</v>
      </c>
      <c r="H119" s="187">
        <v>152</v>
      </c>
      <c r="I119" s="187">
        <v>334</v>
      </c>
      <c r="J119" s="187">
        <v>139</v>
      </c>
      <c r="K119" s="187">
        <v>133</v>
      </c>
      <c r="L119" s="187">
        <v>247</v>
      </c>
      <c r="M119" s="187">
        <v>137</v>
      </c>
      <c r="N119" s="187">
        <v>133</v>
      </c>
      <c r="O119" s="187">
        <v>245</v>
      </c>
      <c r="P119" s="187">
        <v>148</v>
      </c>
      <c r="Q119" s="187">
        <v>152</v>
      </c>
      <c r="R119" s="187">
        <v>273</v>
      </c>
      <c r="S119" s="187">
        <v>149</v>
      </c>
      <c r="T119" s="187">
        <v>152</v>
      </c>
      <c r="U119" s="187">
        <v>273</v>
      </c>
      <c r="V119" s="187">
        <v>175</v>
      </c>
      <c r="W119" s="187">
        <v>455</v>
      </c>
      <c r="X119" s="187">
        <v>573</v>
      </c>
      <c r="Y119" s="187">
        <v>151</v>
      </c>
      <c r="Z119" s="187">
        <v>323</v>
      </c>
      <c r="AA119" s="187">
        <v>431</v>
      </c>
      <c r="AB119" s="187">
        <v>159</v>
      </c>
      <c r="AC119" s="187">
        <v>228</v>
      </c>
      <c r="AD119" s="187">
        <v>351</v>
      </c>
      <c r="AE119" s="187">
        <v>168</v>
      </c>
      <c r="AF119" s="187">
        <v>95</v>
      </c>
      <c r="AG119" s="187">
        <v>239</v>
      </c>
      <c r="AH119" s="187">
        <v>144</v>
      </c>
      <c r="AI119" s="187">
        <v>380</v>
      </c>
      <c r="AJ119" s="187">
        <v>476</v>
      </c>
      <c r="AK119" s="187">
        <v>142</v>
      </c>
      <c r="AL119" s="187">
        <v>152</v>
      </c>
      <c r="AM119" s="187">
        <v>267</v>
      </c>
      <c r="AN119" s="187">
        <v>156</v>
      </c>
      <c r="AO119" s="187">
        <v>114</v>
      </c>
      <c r="AP119" s="187">
        <v>245</v>
      </c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  <c r="BI119" s="150"/>
      <c r="BJ119" s="150"/>
      <c r="BK119" s="150"/>
      <c r="BL119" s="150"/>
      <c r="BM119" s="150"/>
      <c r="BN119" s="150"/>
      <c r="BO119" s="150"/>
      <c r="BP119" s="150"/>
      <c r="BQ119" s="150"/>
      <c r="BR119" s="150"/>
      <c r="BS119" s="150"/>
      <c r="BT119" s="150"/>
      <c r="BU119" s="150"/>
      <c r="BV119" s="150"/>
      <c r="BW119" s="150"/>
      <c r="BX119" s="150"/>
      <c r="BY119" s="150"/>
      <c r="BZ119" s="150"/>
      <c r="CA119" s="150"/>
      <c r="CB119" s="150"/>
      <c r="CC119" s="150"/>
      <c r="CD119" s="150"/>
      <c r="CE119" s="150"/>
      <c r="CF119" s="150"/>
      <c r="CG119" s="150"/>
      <c r="CH119" s="150"/>
      <c r="CI119" s="150"/>
      <c r="CJ119" s="150"/>
      <c r="CK119" s="150"/>
      <c r="CL119" s="150"/>
      <c r="CM119" s="150"/>
      <c r="CN119" s="150"/>
      <c r="CO119" s="150"/>
      <c r="CP119" s="150"/>
      <c r="CQ119" s="150"/>
      <c r="CR119" s="150"/>
      <c r="CS119" s="150"/>
      <c r="CT119" s="150"/>
      <c r="CU119" s="150"/>
      <c r="CV119" s="150"/>
      <c r="CW119" s="150"/>
      <c r="CX119" s="150"/>
      <c r="CY119" s="150"/>
      <c r="CZ119" s="150"/>
      <c r="DA119" s="150"/>
      <c r="DB119" s="150"/>
      <c r="DC119" s="150"/>
      <c r="DD119" s="150"/>
      <c r="DE119" s="150"/>
      <c r="DF119" s="150"/>
      <c r="DG119" s="150"/>
      <c r="DH119" s="150"/>
      <c r="DI119" s="150"/>
      <c r="DJ119" s="150"/>
      <c r="DK119" s="150"/>
      <c r="DL119" s="150"/>
      <c r="DM119" s="150"/>
      <c r="DN119" s="150"/>
      <c r="DO119" s="150"/>
      <c r="DP119" s="150"/>
      <c r="DQ119" s="150"/>
      <c r="DR119" s="150"/>
      <c r="DS119" s="150"/>
      <c r="DT119" s="150"/>
      <c r="DU119" s="150"/>
      <c r="DV119" s="150"/>
      <c r="DW119" s="150"/>
      <c r="DX119" s="150"/>
      <c r="DY119" s="150"/>
      <c r="DZ119" s="150"/>
      <c r="EA119" s="150"/>
      <c r="EB119" s="150"/>
      <c r="EC119" s="150"/>
      <c r="ED119" s="150"/>
      <c r="EE119" s="150"/>
      <c r="EF119" s="150"/>
      <c r="EG119" s="150"/>
      <c r="EH119" s="150"/>
      <c r="EI119" s="150"/>
      <c r="EJ119" s="150"/>
      <c r="EK119" s="150"/>
      <c r="EL119" s="150"/>
      <c r="EM119" s="150"/>
      <c r="EN119" s="150"/>
      <c r="EO119" s="150"/>
      <c r="EP119" s="150"/>
      <c r="EQ119" s="150"/>
      <c r="ER119" s="150"/>
      <c r="ES119" s="150"/>
      <c r="ET119" s="150"/>
      <c r="EU119" s="150"/>
      <c r="EV119" s="150"/>
      <c r="EW119" s="150"/>
      <c r="EX119" s="150"/>
      <c r="EY119" s="150"/>
      <c r="EZ119" s="150"/>
      <c r="FA119" s="150"/>
      <c r="FB119" s="150"/>
      <c r="FC119" s="150"/>
      <c r="FD119" s="150"/>
      <c r="FE119" s="150"/>
      <c r="FF119" s="150"/>
      <c r="FG119" s="150"/>
      <c r="FH119" s="150"/>
      <c r="FI119" s="150"/>
      <c r="FJ119" s="150"/>
      <c r="FK119" s="150"/>
      <c r="FL119" s="150"/>
      <c r="FM119" s="150"/>
      <c r="FN119" s="150"/>
      <c r="FO119" s="150"/>
      <c r="FP119" s="150"/>
      <c r="FQ119" s="150"/>
      <c r="FR119" s="150"/>
      <c r="FS119" s="150"/>
      <c r="FT119" s="150"/>
      <c r="FU119" s="150"/>
      <c r="FV119" s="150"/>
      <c r="FW119" s="150"/>
      <c r="FX119" s="150"/>
      <c r="FY119" s="150"/>
      <c r="FZ119" s="150"/>
      <c r="GA119" s="150"/>
      <c r="GB119" s="150"/>
      <c r="GC119" s="150"/>
      <c r="GD119" s="150"/>
      <c r="GE119" s="150"/>
      <c r="GF119" s="150"/>
      <c r="GG119" s="150"/>
      <c r="GH119" s="150"/>
      <c r="GI119" s="150"/>
      <c r="GJ119" s="150"/>
      <c r="GK119" s="150"/>
      <c r="GL119" s="150"/>
      <c r="GM119" s="150"/>
      <c r="GN119" s="150"/>
      <c r="GO119" s="150"/>
      <c r="GP119" s="150"/>
      <c r="GQ119" s="150"/>
      <c r="GR119" s="150"/>
      <c r="GS119" s="150"/>
      <c r="GT119" s="150"/>
      <c r="GU119" s="150"/>
      <c r="GV119" s="150"/>
      <c r="GW119" s="150"/>
      <c r="GX119" s="150"/>
      <c r="GY119" s="150"/>
      <c r="GZ119" s="150"/>
      <c r="HA119" s="150"/>
      <c r="HB119" s="150"/>
      <c r="HC119" s="150"/>
      <c r="HD119" s="150"/>
      <c r="HE119" s="150"/>
      <c r="HF119" s="150"/>
      <c r="HG119" s="150"/>
      <c r="HH119" s="150"/>
      <c r="HI119" s="150"/>
      <c r="HJ119" s="150"/>
      <c r="HK119" s="150"/>
      <c r="HL119" s="150"/>
      <c r="HM119" s="150"/>
      <c r="HN119" s="150"/>
      <c r="HO119" s="150"/>
      <c r="HP119" s="150"/>
      <c r="HQ119" s="150"/>
      <c r="HR119" s="150"/>
      <c r="HS119" s="150"/>
      <c r="HT119" s="150"/>
      <c r="HU119" s="150"/>
      <c r="HV119" s="150"/>
      <c r="HW119" s="150"/>
      <c r="HX119" s="150"/>
      <c r="HY119" s="150"/>
      <c r="HZ119" s="150"/>
      <c r="IA119" s="150"/>
      <c r="IB119" s="150"/>
      <c r="IC119" s="150"/>
      <c r="ID119" s="150"/>
      <c r="IE119" s="150"/>
      <c r="IF119" s="150"/>
      <c r="IG119" s="150"/>
      <c r="IH119" s="150"/>
      <c r="II119" s="150"/>
      <c r="IJ119" s="150"/>
      <c r="IK119" s="150"/>
      <c r="IL119" s="150"/>
      <c r="IM119" s="150"/>
      <c r="IN119" s="150"/>
      <c r="IO119" s="150"/>
      <c r="IP119" s="150"/>
      <c r="IQ119" s="150"/>
      <c r="IR119" s="150"/>
      <c r="IS119" s="150"/>
      <c r="IT119" s="150"/>
      <c r="IU119" s="150"/>
      <c r="IV119" s="150"/>
      <c r="IW119" s="150"/>
      <c r="IX119" s="150"/>
      <c r="IY119" s="150"/>
      <c r="IZ119" s="150"/>
      <c r="JA119" s="150"/>
      <c r="JB119" s="150"/>
      <c r="JC119" s="150"/>
      <c r="JD119" s="150"/>
      <c r="JE119" s="150"/>
      <c r="JF119" s="150"/>
      <c r="JG119" s="150"/>
      <c r="JH119" s="150"/>
      <c r="JI119" s="150"/>
      <c r="JJ119" s="150"/>
      <c r="JK119" s="150"/>
      <c r="JL119" s="150"/>
      <c r="JM119" s="150"/>
      <c r="JN119" s="150"/>
      <c r="JO119" s="150"/>
      <c r="JP119" s="150"/>
      <c r="JQ119" s="150"/>
      <c r="JR119" s="150"/>
      <c r="JS119" s="150"/>
      <c r="JT119" s="150"/>
      <c r="JU119" s="150"/>
      <c r="JV119" s="150"/>
      <c r="JW119" s="150"/>
      <c r="JX119" s="150"/>
      <c r="JY119" s="150"/>
      <c r="JZ119" s="150"/>
      <c r="KA119" s="150"/>
      <c r="KB119" s="150"/>
      <c r="KC119" s="150"/>
      <c r="KD119" s="150"/>
      <c r="KE119" s="150"/>
      <c r="KF119" s="150"/>
      <c r="KG119" s="150"/>
      <c r="KH119" s="150"/>
      <c r="KI119" s="150"/>
      <c r="KJ119" s="150"/>
      <c r="KK119" s="150"/>
      <c r="KL119" s="150"/>
      <c r="KM119" s="150"/>
      <c r="KN119" s="150"/>
      <c r="KO119" s="150"/>
      <c r="KP119" s="150"/>
      <c r="KQ119" s="150"/>
      <c r="KR119" s="150"/>
      <c r="KS119" s="150"/>
      <c r="KT119" s="150"/>
      <c r="KU119" s="150"/>
      <c r="KV119" s="150"/>
      <c r="KW119" s="150"/>
      <c r="KX119" s="150"/>
      <c r="KY119" s="150"/>
      <c r="KZ119" s="150"/>
      <c r="LA119" s="150"/>
      <c r="LB119" s="150"/>
      <c r="LC119" s="150"/>
      <c r="LD119" s="150"/>
      <c r="LE119" s="150"/>
      <c r="LF119" s="150"/>
      <c r="LG119" s="150"/>
      <c r="LH119" s="150"/>
      <c r="LI119" s="150"/>
      <c r="LJ119" s="150"/>
      <c r="LK119" s="150"/>
      <c r="LL119" s="150"/>
      <c r="LM119" s="150"/>
      <c r="LN119" s="150"/>
      <c r="LO119" s="150"/>
      <c r="LP119" s="150"/>
      <c r="LQ119" s="150"/>
      <c r="LR119" s="150"/>
      <c r="LS119" s="150"/>
      <c r="LT119" s="150"/>
      <c r="LU119" s="150"/>
      <c r="LV119" s="150"/>
      <c r="LW119" s="150"/>
      <c r="LX119" s="150"/>
      <c r="LY119" s="150"/>
      <c r="LZ119" s="150"/>
      <c r="MA119" s="150"/>
      <c r="MB119" s="150"/>
      <c r="MC119" s="150"/>
      <c r="MD119" s="150"/>
      <c r="ME119" s="150"/>
      <c r="MF119" s="150"/>
      <c r="MG119" s="150"/>
      <c r="MH119" s="150"/>
      <c r="MI119" s="150"/>
      <c r="MJ119" s="150"/>
      <c r="MK119" s="150"/>
      <c r="ML119" s="150"/>
      <c r="MM119" s="150"/>
      <c r="MN119" s="150"/>
      <c r="MO119" s="150"/>
      <c r="MP119" s="150"/>
      <c r="MQ119" s="150"/>
      <c r="MR119" s="150"/>
      <c r="MS119" s="150"/>
      <c r="MT119" s="150"/>
      <c r="MU119" s="150"/>
      <c r="MV119" s="150"/>
      <c r="MW119" s="150"/>
      <c r="MX119" s="150"/>
      <c r="MY119" s="150"/>
      <c r="MZ119" s="150"/>
      <c r="NA119" s="150"/>
      <c r="NB119" s="150"/>
      <c r="NC119" s="150"/>
      <c r="ND119" s="150"/>
      <c r="NE119" s="150"/>
      <c r="NF119" s="150"/>
      <c r="NG119" s="150"/>
      <c r="NH119" s="150"/>
      <c r="NI119" s="150"/>
      <c r="NJ119" s="150"/>
      <c r="NK119" s="150"/>
      <c r="NL119" s="150"/>
      <c r="NM119" s="150"/>
      <c r="NN119" s="150"/>
      <c r="NO119" s="150"/>
      <c r="NP119" s="150"/>
      <c r="NQ119" s="150"/>
      <c r="NR119" s="150"/>
      <c r="NS119" s="150"/>
      <c r="NT119" s="150"/>
      <c r="NU119" s="150"/>
      <c r="NV119" s="150"/>
      <c r="NW119" s="150"/>
      <c r="NX119" s="150"/>
      <c r="NY119" s="150"/>
      <c r="NZ119" s="150"/>
      <c r="OA119" s="150"/>
      <c r="OB119" s="150"/>
      <c r="OC119" s="150"/>
      <c r="OD119" s="150"/>
      <c r="OE119" s="150"/>
    </row>
    <row r="120" spans="1:395" ht="15">
      <c r="A120" s="19"/>
      <c r="B120" s="17"/>
      <c r="C120" s="187">
        <v>2029</v>
      </c>
      <c r="D120" s="187">
        <v>85</v>
      </c>
      <c r="E120" s="187">
        <v>139</v>
      </c>
      <c r="F120" s="187">
        <v>204</v>
      </c>
      <c r="G120" s="187">
        <v>198</v>
      </c>
      <c r="H120" s="187">
        <v>139</v>
      </c>
      <c r="I120" s="187">
        <v>307</v>
      </c>
      <c r="J120" s="187">
        <v>128</v>
      </c>
      <c r="K120" s="187">
        <v>122</v>
      </c>
      <c r="L120" s="187">
        <v>227</v>
      </c>
      <c r="M120" s="187">
        <v>125</v>
      </c>
      <c r="N120" s="187">
        <v>122</v>
      </c>
      <c r="O120" s="187">
        <v>225</v>
      </c>
      <c r="P120" s="187">
        <v>136</v>
      </c>
      <c r="Q120" s="187">
        <v>139</v>
      </c>
      <c r="R120" s="187">
        <v>250</v>
      </c>
      <c r="S120" s="187">
        <v>136</v>
      </c>
      <c r="T120" s="187">
        <v>139</v>
      </c>
      <c r="U120" s="187">
        <v>250</v>
      </c>
      <c r="V120" s="187">
        <v>160</v>
      </c>
      <c r="W120" s="187">
        <v>417</v>
      </c>
      <c r="X120" s="187">
        <v>525</v>
      </c>
      <c r="Y120" s="187">
        <v>138</v>
      </c>
      <c r="Z120" s="187">
        <v>296</v>
      </c>
      <c r="AA120" s="187">
        <v>395</v>
      </c>
      <c r="AB120" s="187">
        <v>146</v>
      </c>
      <c r="AC120" s="187">
        <v>209</v>
      </c>
      <c r="AD120" s="187">
        <v>322</v>
      </c>
      <c r="AE120" s="187">
        <v>154</v>
      </c>
      <c r="AF120" s="187">
        <v>87</v>
      </c>
      <c r="AG120" s="187">
        <v>219</v>
      </c>
      <c r="AH120" s="187">
        <v>132</v>
      </c>
      <c r="AI120" s="187">
        <v>348</v>
      </c>
      <c r="AJ120" s="187">
        <v>436</v>
      </c>
      <c r="AK120" s="187">
        <v>130</v>
      </c>
      <c r="AL120" s="187">
        <v>139</v>
      </c>
      <c r="AM120" s="187">
        <v>245</v>
      </c>
      <c r="AN120" s="187">
        <v>143</v>
      </c>
      <c r="AO120" s="187">
        <v>104</v>
      </c>
      <c r="AP120" s="187">
        <v>225</v>
      </c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  <c r="BI120" s="150"/>
      <c r="BJ120" s="150"/>
      <c r="BK120" s="150"/>
      <c r="BL120" s="150"/>
      <c r="BM120" s="150"/>
      <c r="BN120" s="150"/>
      <c r="BO120" s="150"/>
      <c r="BP120" s="150"/>
      <c r="BQ120" s="150"/>
      <c r="BR120" s="150"/>
      <c r="BS120" s="150"/>
      <c r="BT120" s="150"/>
      <c r="BU120" s="150"/>
      <c r="BV120" s="150"/>
      <c r="BW120" s="150"/>
      <c r="BX120" s="150"/>
      <c r="BY120" s="150"/>
      <c r="BZ120" s="150"/>
      <c r="CA120" s="150"/>
      <c r="CB120" s="150"/>
      <c r="CC120" s="150"/>
      <c r="CD120" s="150"/>
      <c r="CE120" s="150"/>
      <c r="CF120" s="150"/>
      <c r="CG120" s="150"/>
      <c r="CH120" s="150"/>
      <c r="CI120" s="150"/>
      <c r="CJ120" s="150"/>
      <c r="CK120" s="150"/>
      <c r="CL120" s="150"/>
      <c r="CM120" s="150"/>
      <c r="CN120" s="150"/>
      <c r="CO120" s="150"/>
      <c r="CP120" s="150"/>
      <c r="CQ120" s="150"/>
      <c r="CR120" s="150"/>
      <c r="CS120" s="150"/>
      <c r="CT120" s="150"/>
      <c r="CU120" s="150"/>
      <c r="CV120" s="150"/>
      <c r="CW120" s="150"/>
      <c r="CX120" s="150"/>
      <c r="CY120" s="150"/>
      <c r="CZ120" s="150"/>
      <c r="DA120" s="150"/>
      <c r="DB120" s="150"/>
      <c r="DC120" s="150"/>
      <c r="DD120" s="150"/>
      <c r="DE120" s="150"/>
      <c r="DF120" s="150"/>
      <c r="DG120" s="150"/>
      <c r="DH120" s="150"/>
      <c r="DI120" s="150"/>
      <c r="DJ120" s="150"/>
      <c r="DK120" s="150"/>
      <c r="DL120" s="150"/>
      <c r="DM120" s="150"/>
      <c r="DN120" s="150"/>
      <c r="DO120" s="150"/>
      <c r="DP120" s="150"/>
      <c r="DQ120" s="150"/>
      <c r="DR120" s="150"/>
      <c r="DS120" s="150"/>
      <c r="DT120" s="150"/>
      <c r="DU120" s="150"/>
      <c r="DV120" s="150"/>
      <c r="DW120" s="150"/>
      <c r="DX120" s="150"/>
      <c r="DY120" s="150"/>
      <c r="DZ120" s="150"/>
      <c r="EA120" s="150"/>
      <c r="EB120" s="150"/>
      <c r="EC120" s="150"/>
      <c r="ED120" s="150"/>
      <c r="EE120" s="150"/>
      <c r="EF120" s="150"/>
      <c r="EG120" s="150"/>
      <c r="EH120" s="150"/>
      <c r="EI120" s="150"/>
      <c r="EJ120" s="150"/>
      <c r="EK120" s="150"/>
      <c r="EL120" s="150"/>
      <c r="EM120" s="150"/>
      <c r="EN120" s="150"/>
      <c r="EO120" s="150"/>
      <c r="EP120" s="150"/>
      <c r="EQ120" s="150"/>
      <c r="ER120" s="150"/>
      <c r="ES120" s="150"/>
      <c r="ET120" s="150"/>
      <c r="EU120" s="150"/>
      <c r="EV120" s="150"/>
      <c r="EW120" s="150"/>
      <c r="EX120" s="150"/>
      <c r="EY120" s="150"/>
      <c r="EZ120" s="150"/>
      <c r="FA120" s="150"/>
      <c r="FB120" s="150"/>
      <c r="FC120" s="150"/>
      <c r="FD120" s="150"/>
      <c r="FE120" s="150"/>
      <c r="FF120" s="150"/>
      <c r="FG120" s="150"/>
      <c r="FH120" s="150"/>
      <c r="FI120" s="150"/>
      <c r="FJ120" s="150"/>
      <c r="FK120" s="150"/>
      <c r="FL120" s="150"/>
      <c r="FM120" s="150"/>
      <c r="FN120" s="150"/>
      <c r="FO120" s="150"/>
      <c r="FP120" s="150"/>
      <c r="FQ120" s="150"/>
      <c r="FR120" s="150"/>
      <c r="FS120" s="150"/>
      <c r="FT120" s="150"/>
      <c r="FU120" s="150"/>
      <c r="FV120" s="150"/>
      <c r="FW120" s="150"/>
      <c r="FX120" s="150"/>
      <c r="FY120" s="150"/>
      <c r="FZ120" s="150"/>
      <c r="GA120" s="150"/>
      <c r="GB120" s="150"/>
      <c r="GC120" s="150"/>
      <c r="GD120" s="150"/>
      <c r="GE120" s="150"/>
      <c r="GF120" s="150"/>
      <c r="GG120" s="150"/>
      <c r="GH120" s="150"/>
      <c r="GI120" s="150"/>
      <c r="GJ120" s="150"/>
      <c r="GK120" s="150"/>
      <c r="GL120" s="150"/>
      <c r="GM120" s="150"/>
      <c r="GN120" s="150"/>
      <c r="GO120" s="150"/>
      <c r="GP120" s="150"/>
      <c r="GQ120" s="150"/>
      <c r="GR120" s="150"/>
      <c r="GS120" s="150"/>
      <c r="GT120" s="150"/>
      <c r="GU120" s="150"/>
      <c r="GV120" s="150"/>
      <c r="GW120" s="150"/>
      <c r="GX120" s="150"/>
      <c r="GY120" s="150"/>
      <c r="GZ120" s="150"/>
      <c r="HA120" s="150"/>
      <c r="HB120" s="150"/>
      <c r="HC120" s="150"/>
      <c r="HD120" s="150"/>
      <c r="HE120" s="150"/>
      <c r="HF120" s="150"/>
      <c r="HG120" s="150"/>
      <c r="HH120" s="150"/>
      <c r="HI120" s="150"/>
      <c r="HJ120" s="150"/>
      <c r="HK120" s="150"/>
      <c r="HL120" s="150"/>
      <c r="HM120" s="150"/>
      <c r="HN120" s="150"/>
      <c r="HO120" s="150"/>
      <c r="HP120" s="150"/>
      <c r="HQ120" s="150"/>
      <c r="HR120" s="150"/>
      <c r="HS120" s="150"/>
      <c r="HT120" s="150"/>
      <c r="HU120" s="150"/>
      <c r="HV120" s="150"/>
      <c r="HW120" s="150"/>
      <c r="HX120" s="150"/>
      <c r="HY120" s="150"/>
      <c r="HZ120" s="150"/>
      <c r="IA120" s="150"/>
      <c r="IB120" s="150"/>
      <c r="IC120" s="150"/>
      <c r="ID120" s="150"/>
      <c r="IE120" s="150"/>
      <c r="IF120" s="150"/>
      <c r="IG120" s="150"/>
      <c r="IH120" s="150"/>
      <c r="II120" s="150"/>
      <c r="IJ120" s="150"/>
      <c r="IK120" s="150"/>
      <c r="IL120" s="150"/>
      <c r="IM120" s="150"/>
      <c r="IN120" s="150"/>
      <c r="IO120" s="150"/>
      <c r="IP120" s="150"/>
      <c r="IQ120" s="150"/>
      <c r="IR120" s="150"/>
      <c r="IS120" s="150"/>
      <c r="IT120" s="150"/>
      <c r="IU120" s="150"/>
      <c r="IV120" s="150"/>
      <c r="IW120" s="150"/>
      <c r="IX120" s="150"/>
      <c r="IY120" s="150"/>
      <c r="IZ120" s="150"/>
      <c r="JA120" s="150"/>
      <c r="JB120" s="150"/>
      <c r="JC120" s="150"/>
      <c r="JD120" s="150"/>
      <c r="JE120" s="150"/>
      <c r="JF120" s="150"/>
      <c r="JG120" s="150"/>
      <c r="JH120" s="150"/>
      <c r="JI120" s="150"/>
      <c r="JJ120" s="150"/>
      <c r="JK120" s="150"/>
      <c r="JL120" s="150"/>
      <c r="JM120" s="150"/>
      <c r="JN120" s="150"/>
      <c r="JO120" s="150"/>
      <c r="JP120" s="150"/>
      <c r="JQ120" s="150"/>
      <c r="JR120" s="150"/>
      <c r="JS120" s="150"/>
      <c r="JT120" s="150"/>
      <c r="JU120" s="150"/>
      <c r="JV120" s="150"/>
      <c r="JW120" s="150"/>
      <c r="JX120" s="150"/>
      <c r="JY120" s="150"/>
      <c r="JZ120" s="150"/>
      <c r="KA120" s="150"/>
      <c r="KB120" s="150"/>
      <c r="KC120" s="150"/>
      <c r="KD120" s="150"/>
      <c r="KE120" s="150"/>
      <c r="KF120" s="150"/>
      <c r="KG120" s="150"/>
      <c r="KH120" s="150"/>
      <c r="KI120" s="150"/>
      <c r="KJ120" s="150"/>
      <c r="KK120" s="150"/>
      <c r="KL120" s="150"/>
      <c r="KM120" s="150"/>
      <c r="KN120" s="150"/>
      <c r="KO120" s="150"/>
      <c r="KP120" s="150"/>
      <c r="KQ120" s="150"/>
      <c r="KR120" s="150"/>
      <c r="KS120" s="150"/>
      <c r="KT120" s="150"/>
      <c r="KU120" s="150"/>
      <c r="KV120" s="150"/>
      <c r="KW120" s="150"/>
      <c r="KX120" s="150"/>
      <c r="KY120" s="150"/>
      <c r="KZ120" s="150"/>
      <c r="LA120" s="150"/>
      <c r="LB120" s="150"/>
      <c r="LC120" s="150"/>
      <c r="LD120" s="150"/>
      <c r="LE120" s="150"/>
      <c r="LF120" s="150"/>
      <c r="LG120" s="150"/>
      <c r="LH120" s="150"/>
      <c r="LI120" s="150"/>
      <c r="LJ120" s="150"/>
      <c r="LK120" s="150"/>
      <c r="LL120" s="150"/>
      <c r="LM120" s="150"/>
      <c r="LN120" s="150"/>
      <c r="LO120" s="150"/>
      <c r="LP120" s="150"/>
      <c r="LQ120" s="150"/>
      <c r="LR120" s="150"/>
      <c r="LS120" s="150"/>
      <c r="LT120" s="150"/>
      <c r="LU120" s="150"/>
      <c r="LV120" s="150"/>
      <c r="LW120" s="150"/>
      <c r="LX120" s="150"/>
      <c r="LY120" s="150"/>
      <c r="LZ120" s="150"/>
      <c r="MA120" s="150"/>
      <c r="MB120" s="150"/>
      <c r="MC120" s="150"/>
      <c r="MD120" s="150"/>
      <c r="ME120" s="150"/>
      <c r="MF120" s="150"/>
      <c r="MG120" s="150"/>
      <c r="MH120" s="150"/>
      <c r="MI120" s="150"/>
      <c r="MJ120" s="150"/>
      <c r="MK120" s="150"/>
      <c r="ML120" s="150"/>
      <c r="MM120" s="150"/>
      <c r="MN120" s="150"/>
      <c r="MO120" s="150"/>
      <c r="MP120" s="150"/>
      <c r="MQ120" s="150"/>
      <c r="MR120" s="150"/>
      <c r="MS120" s="150"/>
      <c r="MT120" s="150"/>
      <c r="MU120" s="150"/>
      <c r="MV120" s="150"/>
      <c r="MW120" s="150"/>
      <c r="MX120" s="150"/>
      <c r="MY120" s="150"/>
      <c r="MZ120" s="150"/>
      <c r="NA120" s="150"/>
      <c r="NB120" s="150"/>
      <c r="NC120" s="150"/>
      <c r="ND120" s="150"/>
      <c r="NE120" s="150"/>
      <c r="NF120" s="150"/>
      <c r="NG120" s="150"/>
      <c r="NH120" s="150"/>
      <c r="NI120" s="150"/>
      <c r="NJ120" s="150"/>
      <c r="NK120" s="150"/>
      <c r="NL120" s="150"/>
      <c r="NM120" s="150"/>
      <c r="NN120" s="150"/>
      <c r="NO120" s="150"/>
      <c r="NP120" s="150"/>
      <c r="NQ120" s="150"/>
      <c r="NR120" s="150"/>
      <c r="NS120" s="150"/>
      <c r="NT120" s="150"/>
      <c r="NU120" s="150"/>
      <c r="NV120" s="150"/>
      <c r="NW120" s="150"/>
      <c r="NX120" s="150"/>
      <c r="NY120" s="150"/>
      <c r="NZ120" s="150"/>
      <c r="OA120" s="150"/>
      <c r="OB120" s="150"/>
      <c r="OC120" s="150"/>
      <c r="OD120" s="150"/>
      <c r="OE120" s="150"/>
    </row>
    <row r="121" spans="1:395" ht="15">
      <c r="A121" s="19"/>
      <c r="B121" s="17"/>
      <c r="C121" s="187">
        <v>2030</v>
      </c>
      <c r="D121" s="187">
        <v>78</v>
      </c>
      <c r="E121" s="187">
        <v>126</v>
      </c>
      <c r="F121" s="187">
        <v>186</v>
      </c>
      <c r="G121" s="187">
        <v>180</v>
      </c>
      <c r="H121" s="187">
        <v>126</v>
      </c>
      <c r="I121" s="187">
        <v>279</v>
      </c>
      <c r="J121" s="187">
        <v>116</v>
      </c>
      <c r="K121" s="187">
        <v>111</v>
      </c>
      <c r="L121" s="187">
        <v>206</v>
      </c>
      <c r="M121" s="187">
        <v>114</v>
      </c>
      <c r="N121" s="187">
        <v>111</v>
      </c>
      <c r="O121" s="187">
        <v>204</v>
      </c>
      <c r="P121" s="187">
        <v>124</v>
      </c>
      <c r="Q121" s="187">
        <v>126</v>
      </c>
      <c r="R121" s="187">
        <v>227</v>
      </c>
      <c r="S121" s="187">
        <v>124</v>
      </c>
      <c r="T121" s="187">
        <v>126</v>
      </c>
      <c r="U121" s="187">
        <v>228</v>
      </c>
      <c r="V121" s="187">
        <v>146</v>
      </c>
      <c r="W121" s="187">
        <v>380</v>
      </c>
      <c r="X121" s="187">
        <v>478</v>
      </c>
      <c r="Y121" s="187">
        <v>126</v>
      </c>
      <c r="Z121" s="187">
        <v>269</v>
      </c>
      <c r="AA121" s="187">
        <v>359</v>
      </c>
      <c r="AB121" s="187">
        <v>132</v>
      </c>
      <c r="AC121" s="187">
        <v>190</v>
      </c>
      <c r="AD121" s="187">
        <v>293</v>
      </c>
      <c r="AE121" s="187">
        <v>140</v>
      </c>
      <c r="AF121" s="187">
        <v>79</v>
      </c>
      <c r="AG121" s="187">
        <v>199</v>
      </c>
      <c r="AH121" s="187">
        <v>120</v>
      </c>
      <c r="AI121" s="187">
        <v>316</v>
      </c>
      <c r="AJ121" s="187">
        <v>397</v>
      </c>
      <c r="AK121" s="187">
        <v>118</v>
      </c>
      <c r="AL121" s="187">
        <v>126</v>
      </c>
      <c r="AM121" s="187">
        <v>223</v>
      </c>
      <c r="AN121" s="187">
        <v>130</v>
      </c>
      <c r="AO121" s="187">
        <v>95</v>
      </c>
      <c r="AP121" s="187">
        <v>204</v>
      </c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  <c r="BI121" s="150"/>
      <c r="BJ121" s="150"/>
      <c r="BK121" s="150"/>
      <c r="BL121" s="150"/>
      <c r="BM121" s="150"/>
      <c r="BN121" s="150"/>
      <c r="BO121" s="150"/>
      <c r="BP121" s="150"/>
      <c r="BQ121" s="150"/>
      <c r="BR121" s="150"/>
      <c r="BS121" s="150"/>
      <c r="BT121" s="150"/>
      <c r="BU121" s="150"/>
      <c r="BV121" s="150"/>
      <c r="BW121" s="150"/>
      <c r="BX121" s="150"/>
      <c r="BY121" s="150"/>
      <c r="BZ121" s="150"/>
      <c r="CA121" s="150"/>
      <c r="CB121" s="150"/>
      <c r="CC121" s="150"/>
      <c r="CD121" s="150"/>
      <c r="CE121" s="150"/>
      <c r="CF121" s="150"/>
      <c r="CG121" s="150"/>
      <c r="CH121" s="150"/>
      <c r="CI121" s="150"/>
      <c r="CJ121" s="150"/>
      <c r="CK121" s="150"/>
      <c r="CL121" s="150"/>
      <c r="CM121" s="150"/>
      <c r="CN121" s="150"/>
      <c r="CO121" s="150"/>
      <c r="CP121" s="150"/>
      <c r="CQ121" s="150"/>
      <c r="CR121" s="150"/>
      <c r="CS121" s="150"/>
      <c r="CT121" s="150"/>
      <c r="CU121" s="150"/>
      <c r="CV121" s="150"/>
      <c r="CW121" s="150"/>
      <c r="CX121" s="150"/>
      <c r="CY121" s="150"/>
      <c r="CZ121" s="150"/>
      <c r="DA121" s="150"/>
      <c r="DB121" s="150"/>
      <c r="DC121" s="150"/>
      <c r="DD121" s="150"/>
      <c r="DE121" s="150"/>
      <c r="DF121" s="150"/>
      <c r="DG121" s="150"/>
      <c r="DH121" s="150"/>
      <c r="DI121" s="150"/>
      <c r="DJ121" s="150"/>
      <c r="DK121" s="150"/>
      <c r="DL121" s="150"/>
      <c r="DM121" s="150"/>
      <c r="DN121" s="150"/>
      <c r="DO121" s="150"/>
      <c r="DP121" s="150"/>
      <c r="DQ121" s="150"/>
      <c r="DR121" s="150"/>
      <c r="DS121" s="150"/>
      <c r="DT121" s="150"/>
      <c r="DU121" s="150"/>
      <c r="DV121" s="150"/>
      <c r="DW121" s="150"/>
      <c r="DX121" s="150"/>
      <c r="DY121" s="150"/>
      <c r="DZ121" s="150"/>
      <c r="EA121" s="150"/>
      <c r="EB121" s="150"/>
      <c r="EC121" s="150"/>
      <c r="ED121" s="150"/>
      <c r="EE121" s="150"/>
      <c r="EF121" s="150"/>
      <c r="EG121" s="150"/>
      <c r="EH121" s="150"/>
      <c r="EI121" s="150"/>
      <c r="EJ121" s="150"/>
      <c r="EK121" s="150"/>
      <c r="EL121" s="150"/>
      <c r="EM121" s="150"/>
      <c r="EN121" s="150"/>
      <c r="EO121" s="150"/>
      <c r="EP121" s="150"/>
      <c r="EQ121" s="150"/>
      <c r="ER121" s="150"/>
      <c r="ES121" s="150"/>
      <c r="ET121" s="150"/>
      <c r="EU121" s="150"/>
      <c r="EV121" s="150"/>
      <c r="EW121" s="150"/>
      <c r="EX121" s="150"/>
      <c r="EY121" s="150"/>
      <c r="EZ121" s="150"/>
      <c r="FA121" s="150"/>
      <c r="FB121" s="150"/>
      <c r="FC121" s="150"/>
      <c r="FD121" s="150"/>
      <c r="FE121" s="150"/>
      <c r="FF121" s="150"/>
      <c r="FG121" s="150"/>
      <c r="FH121" s="150"/>
      <c r="FI121" s="150"/>
      <c r="FJ121" s="150"/>
      <c r="FK121" s="150"/>
      <c r="FL121" s="150"/>
      <c r="FM121" s="150"/>
      <c r="FN121" s="150"/>
      <c r="FO121" s="150"/>
      <c r="FP121" s="150"/>
      <c r="FQ121" s="150"/>
      <c r="FR121" s="150"/>
      <c r="FS121" s="150"/>
      <c r="FT121" s="150"/>
      <c r="FU121" s="150"/>
      <c r="FV121" s="150"/>
      <c r="FW121" s="150"/>
      <c r="FX121" s="150"/>
      <c r="FY121" s="150"/>
      <c r="FZ121" s="150"/>
      <c r="GA121" s="150"/>
      <c r="GB121" s="150"/>
      <c r="GC121" s="150"/>
      <c r="GD121" s="150"/>
      <c r="GE121" s="150"/>
      <c r="GF121" s="150"/>
      <c r="GG121" s="150"/>
      <c r="GH121" s="150"/>
      <c r="GI121" s="150"/>
      <c r="GJ121" s="150"/>
      <c r="GK121" s="150"/>
      <c r="GL121" s="150"/>
      <c r="GM121" s="150"/>
      <c r="GN121" s="150"/>
      <c r="GO121" s="150"/>
      <c r="GP121" s="150"/>
      <c r="GQ121" s="150"/>
      <c r="GR121" s="150"/>
      <c r="GS121" s="150"/>
      <c r="GT121" s="150"/>
      <c r="GU121" s="150"/>
      <c r="GV121" s="150"/>
      <c r="GW121" s="150"/>
      <c r="GX121" s="150"/>
      <c r="GY121" s="150"/>
      <c r="GZ121" s="150"/>
      <c r="HA121" s="150"/>
      <c r="HB121" s="150"/>
      <c r="HC121" s="150"/>
      <c r="HD121" s="150"/>
      <c r="HE121" s="150"/>
      <c r="HF121" s="150"/>
      <c r="HG121" s="150"/>
      <c r="HH121" s="150"/>
      <c r="HI121" s="150"/>
      <c r="HJ121" s="150"/>
      <c r="HK121" s="150"/>
      <c r="HL121" s="150"/>
      <c r="HM121" s="150"/>
      <c r="HN121" s="150"/>
      <c r="HO121" s="150"/>
      <c r="HP121" s="150"/>
      <c r="HQ121" s="150"/>
      <c r="HR121" s="150"/>
      <c r="HS121" s="150"/>
      <c r="HT121" s="150"/>
      <c r="HU121" s="150"/>
      <c r="HV121" s="150"/>
      <c r="HW121" s="150"/>
      <c r="HX121" s="150"/>
      <c r="HY121" s="150"/>
      <c r="HZ121" s="150"/>
      <c r="IA121" s="150"/>
      <c r="IB121" s="150"/>
      <c r="IC121" s="150"/>
      <c r="ID121" s="150"/>
      <c r="IE121" s="150"/>
      <c r="IF121" s="150"/>
      <c r="IG121" s="150"/>
      <c r="IH121" s="150"/>
      <c r="II121" s="150"/>
      <c r="IJ121" s="150"/>
      <c r="IK121" s="150"/>
      <c r="IL121" s="150"/>
      <c r="IM121" s="150"/>
      <c r="IN121" s="150"/>
      <c r="IO121" s="150"/>
      <c r="IP121" s="150"/>
      <c r="IQ121" s="150"/>
      <c r="IR121" s="150"/>
      <c r="IS121" s="150"/>
      <c r="IT121" s="150"/>
      <c r="IU121" s="150"/>
      <c r="IV121" s="150"/>
      <c r="IW121" s="150"/>
      <c r="IX121" s="150"/>
      <c r="IY121" s="150"/>
      <c r="IZ121" s="150"/>
      <c r="JA121" s="150"/>
      <c r="JB121" s="150"/>
      <c r="JC121" s="150"/>
      <c r="JD121" s="150"/>
      <c r="JE121" s="150"/>
      <c r="JF121" s="150"/>
      <c r="JG121" s="150"/>
      <c r="JH121" s="150"/>
      <c r="JI121" s="150"/>
      <c r="JJ121" s="150"/>
      <c r="JK121" s="150"/>
      <c r="JL121" s="150"/>
      <c r="JM121" s="150"/>
      <c r="JN121" s="150"/>
      <c r="JO121" s="150"/>
      <c r="JP121" s="150"/>
      <c r="JQ121" s="150"/>
      <c r="JR121" s="150"/>
      <c r="JS121" s="150"/>
      <c r="JT121" s="150"/>
      <c r="JU121" s="150"/>
      <c r="JV121" s="150"/>
      <c r="JW121" s="150"/>
      <c r="JX121" s="150"/>
      <c r="JY121" s="150"/>
      <c r="JZ121" s="150"/>
      <c r="KA121" s="150"/>
      <c r="KB121" s="150"/>
      <c r="KC121" s="150"/>
      <c r="KD121" s="150"/>
      <c r="KE121" s="150"/>
      <c r="KF121" s="150"/>
      <c r="KG121" s="150"/>
      <c r="KH121" s="150"/>
      <c r="KI121" s="150"/>
      <c r="KJ121" s="150"/>
      <c r="KK121" s="150"/>
      <c r="KL121" s="150"/>
      <c r="KM121" s="150"/>
      <c r="KN121" s="150"/>
      <c r="KO121" s="150"/>
      <c r="KP121" s="150"/>
      <c r="KQ121" s="150"/>
      <c r="KR121" s="150"/>
      <c r="KS121" s="150"/>
      <c r="KT121" s="150"/>
      <c r="KU121" s="150"/>
      <c r="KV121" s="150"/>
      <c r="KW121" s="150"/>
      <c r="KX121" s="150"/>
      <c r="KY121" s="150"/>
      <c r="KZ121" s="150"/>
      <c r="LA121" s="150"/>
      <c r="LB121" s="150"/>
      <c r="LC121" s="150"/>
      <c r="LD121" s="150"/>
      <c r="LE121" s="150"/>
      <c r="LF121" s="150"/>
      <c r="LG121" s="150"/>
      <c r="LH121" s="150"/>
      <c r="LI121" s="150"/>
      <c r="LJ121" s="150"/>
      <c r="LK121" s="150"/>
      <c r="LL121" s="150"/>
      <c r="LM121" s="150"/>
      <c r="LN121" s="150"/>
      <c r="LO121" s="150"/>
      <c r="LP121" s="150"/>
      <c r="LQ121" s="150"/>
      <c r="LR121" s="150"/>
      <c r="LS121" s="150"/>
      <c r="LT121" s="150"/>
      <c r="LU121" s="150"/>
      <c r="LV121" s="150"/>
      <c r="LW121" s="150"/>
      <c r="LX121" s="150"/>
      <c r="LY121" s="150"/>
      <c r="LZ121" s="150"/>
      <c r="MA121" s="150"/>
      <c r="MB121" s="150"/>
      <c r="MC121" s="150"/>
      <c r="MD121" s="150"/>
      <c r="ME121" s="150"/>
      <c r="MF121" s="150"/>
      <c r="MG121" s="150"/>
      <c r="MH121" s="150"/>
      <c r="MI121" s="150"/>
      <c r="MJ121" s="150"/>
      <c r="MK121" s="150"/>
      <c r="ML121" s="150"/>
      <c r="MM121" s="150"/>
      <c r="MN121" s="150"/>
      <c r="MO121" s="150"/>
      <c r="MP121" s="150"/>
      <c r="MQ121" s="150"/>
      <c r="MR121" s="150"/>
      <c r="MS121" s="150"/>
      <c r="MT121" s="150"/>
      <c r="MU121" s="150"/>
      <c r="MV121" s="150"/>
      <c r="MW121" s="150"/>
      <c r="MX121" s="150"/>
      <c r="MY121" s="150"/>
      <c r="MZ121" s="150"/>
      <c r="NA121" s="150"/>
      <c r="NB121" s="150"/>
      <c r="NC121" s="150"/>
      <c r="ND121" s="150"/>
      <c r="NE121" s="150"/>
      <c r="NF121" s="150"/>
      <c r="NG121" s="150"/>
      <c r="NH121" s="150"/>
      <c r="NI121" s="150"/>
      <c r="NJ121" s="150"/>
      <c r="NK121" s="150"/>
      <c r="NL121" s="150"/>
      <c r="NM121" s="150"/>
      <c r="NN121" s="150"/>
      <c r="NO121" s="150"/>
      <c r="NP121" s="150"/>
      <c r="NQ121" s="150"/>
      <c r="NR121" s="150"/>
      <c r="NS121" s="150"/>
      <c r="NT121" s="150"/>
      <c r="NU121" s="150"/>
      <c r="NV121" s="150"/>
      <c r="NW121" s="150"/>
      <c r="NX121" s="150"/>
      <c r="NY121" s="150"/>
      <c r="NZ121" s="150"/>
      <c r="OA121" s="150"/>
      <c r="OB121" s="150"/>
      <c r="OC121" s="150"/>
      <c r="OD121" s="150"/>
      <c r="OE121" s="150"/>
    </row>
    <row r="122" spans="1:395" ht="15">
      <c r="A122" s="19"/>
      <c r="B122" s="17"/>
      <c r="C122" s="187">
        <v>2031</v>
      </c>
      <c r="D122" s="187">
        <v>74</v>
      </c>
      <c r="E122" s="187">
        <v>121</v>
      </c>
      <c r="F122" s="187">
        <v>178</v>
      </c>
      <c r="G122" s="187">
        <v>173</v>
      </c>
      <c r="H122" s="187">
        <v>121</v>
      </c>
      <c r="I122" s="187">
        <v>268</v>
      </c>
      <c r="J122" s="187">
        <v>111</v>
      </c>
      <c r="K122" s="187">
        <v>106</v>
      </c>
      <c r="L122" s="187">
        <v>198</v>
      </c>
      <c r="M122" s="187">
        <v>109</v>
      </c>
      <c r="N122" s="187">
        <v>106</v>
      </c>
      <c r="O122" s="187">
        <v>196</v>
      </c>
      <c r="P122" s="187">
        <v>119</v>
      </c>
      <c r="Q122" s="187">
        <v>121</v>
      </c>
      <c r="R122" s="187">
        <v>218</v>
      </c>
      <c r="S122" s="187">
        <v>119</v>
      </c>
      <c r="T122" s="187">
        <v>121</v>
      </c>
      <c r="U122" s="187">
        <v>219</v>
      </c>
      <c r="V122" s="187">
        <v>140</v>
      </c>
      <c r="W122" s="187">
        <v>364</v>
      </c>
      <c r="X122" s="187">
        <v>458</v>
      </c>
      <c r="Y122" s="187">
        <v>121</v>
      </c>
      <c r="Z122" s="187">
        <v>258</v>
      </c>
      <c r="AA122" s="187">
        <v>344</v>
      </c>
      <c r="AB122" s="187">
        <v>127</v>
      </c>
      <c r="AC122" s="187">
        <v>182</v>
      </c>
      <c r="AD122" s="187">
        <v>281</v>
      </c>
      <c r="AE122" s="187">
        <v>134</v>
      </c>
      <c r="AF122" s="187">
        <v>76</v>
      </c>
      <c r="AG122" s="187">
        <v>191</v>
      </c>
      <c r="AH122" s="187">
        <v>115</v>
      </c>
      <c r="AI122" s="187">
        <v>304</v>
      </c>
      <c r="AJ122" s="187">
        <v>381</v>
      </c>
      <c r="AK122" s="187">
        <v>114</v>
      </c>
      <c r="AL122" s="187">
        <v>121</v>
      </c>
      <c r="AM122" s="187">
        <v>214</v>
      </c>
      <c r="AN122" s="187">
        <v>125</v>
      </c>
      <c r="AO122" s="187">
        <v>91</v>
      </c>
      <c r="AP122" s="187">
        <v>196</v>
      </c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  <c r="BI122" s="150"/>
      <c r="BJ122" s="150"/>
      <c r="BK122" s="150"/>
      <c r="BL122" s="150"/>
      <c r="BM122" s="150"/>
      <c r="BN122" s="150"/>
      <c r="BO122" s="150"/>
      <c r="BP122" s="150"/>
      <c r="BQ122" s="150"/>
      <c r="BR122" s="150"/>
      <c r="BS122" s="150"/>
      <c r="BT122" s="150"/>
      <c r="BU122" s="150"/>
      <c r="BV122" s="150"/>
      <c r="BW122" s="150"/>
      <c r="BX122" s="150"/>
      <c r="BY122" s="150"/>
      <c r="BZ122" s="150"/>
      <c r="CA122" s="150"/>
      <c r="CB122" s="150"/>
      <c r="CC122" s="150"/>
      <c r="CD122" s="150"/>
      <c r="CE122" s="150"/>
      <c r="CF122" s="150"/>
      <c r="CG122" s="150"/>
      <c r="CH122" s="150"/>
      <c r="CI122" s="150"/>
      <c r="CJ122" s="150"/>
      <c r="CK122" s="150"/>
      <c r="CL122" s="150"/>
      <c r="CM122" s="150"/>
      <c r="CN122" s="150"/>
      <c r="CO122" s="150"/>
      <c r="CP122" s="150"/>
      <c r="CQ122" s="150"/>
      <c r="CR122" s="150"/>
      <c r="CS122" s="150"/>
      <c r="CT122" s="150"/>
      <c r="CU122" s="150"/>
      <c r="CV122" s="150"/>
      <c r="CW122" s="150"/>
      <c r="CX122" s="150"/>
      <c r="CY122" s="150"/>
      <c r="CZ122" s="150"/>
      <c r="DA122" s="150"/>
      <c r="DB122" s="150"/>
      <c r="DC122" s="150"/>
      <c r="DD122" s="150"/>
      <c r="DE122" s="150"/>
      <c r="DF122" s="150"/>
      <c r="DG122" s="150"/>
      <c r="DH122" s="150"/>
      <c r="DI122" s="150"/>
      <c r="DJ122" s="150"/>
      <c r="DK122" s="150"/>
      <c r="DL122" s="150"/>
      <c r="DM122" s="150"/>
      <c r="DN122" s="150"/>
      <c r="DO122" s="150"/>
      <c r="DP122" s="150"/>
      <c r="DQ122" s="150"/>
      <c r="DR122" s="150"/>
      <c r="DS122" s="150"/>
      <c r="DT122" s="150"/>
      <c r="DU122" s="150"/>
      <c r="DV122" s="150"/>
      <c r="DW122" s="150"/>
      <c r="DX122" s="150"/>
      <c r="DY122" s="150"/>
      <c r="DZ122" s="150"/>
      <c r="EA122" s="150"/>
      <c r="EB122" s="150"/>
      <c r="EC122" s="150"/>
      <c r="ED122" s="150"/>
      <c r="EE122" s="150"/>
      <c r="EF122" s="150"/>
      <c r="EG122" s="150"/>
      <c r="EH122" s="150"/>
      <c r="EI122" s="150"/>
      <c r="EJ122" s="150"/>
      <c r="EK122" s="150"/>
      <c r="EL122" s="150"/>
      <c r="EM122" s="150"/>
      <c r="EN122" s="150"/>
      <c r="EO122" s="150"/>
      <c r="EP122" s="150"/>
      <c r="EQ122" s="150"/>
      <c r="ER122" s="150"/>
      <c r="ES122" s="150"/>
      <c r="ET122" s="150"/>
      <c r="EU122" s="150"/>
      <c r="EV122" s="150"/>
      <c r="EW122" s="150"/>
      <c r="EX122" s="150"/>
      <c r="EY122" s="150"/>
      <c r="EZ122" s="150"/>
      <c r="FA122" s="150"/>
      <c r="FB122" s="150"/>
      <c r="FC122" s="150"/>
      <c r="FD122" s="150"/>
      <c r="FE122" s="150"/>
      <c r="FF122" s="150"/>
      <c r="FG122" s="150"/>
      <c r="FH122" s="150"/>
      <c r="FI122" s="150"/>
      <c r="FJ122" s="150"/>
      <c r="FK122" s="150"/>
      <c r="FL122" s="150"/>
      <c r="FM122" s="150"/>
      <c r="FN122" s="150"/>
      <c r="FO122" s="150"/>
      <c r="FP122" s="150"/>
      <c r="FQ122" s="150"/>
      <c r="FR122" s="150"/>
      <c r="FS122" s="150"/>
      <c r="FT122" s="150"/>
      <c r="FU122" s="150"/>
      <c r="FV122" s="150"/>
      <c r="FW122" s="150"/>
      <c r="FX122" s="150"/>
      <c r="FY122" s="150"/>
      <c r="FZ122" s="150"/>
      <c r="GA122" s="150"/>
      <c r="GB122" s="150"/>
      <c r="GC122" s="150"/>
      <c r="GD122" s="150"/>
      <c r="GE122" s="150"/>
      <c r="GF122" s="150"/>
      <c r="GG122" s="150"/>
      <c r="GH122" s="150"/>
      <c r="GI122" s="150"/>
      <c r="GJ122" s="150"/>
      <c r="GK122" s="150"/>
      <c r="GL122" s="150"/>
      <c r="GM122" s="150"/>
      <c r="GN122" s="150"/>
      <c r="GO122" s="150"/>
      <c r="GP122" s="150"/>
      <c r="GQ122" s="150"/>
      <c r="GR122" s="150"/>
      <c r="GS122" s="150"/>
      <c r="GT122" s="150"/>
      <c r="GU122" s="150"/>
      <c r="GV122" s="150"/>
      <c r="GW122" s="150"/>
      <c r="GX122" s="150"/>
      <c r="GY122" s="150"/>
      <c r="GZ122" s="150"/>
      <c r="HA122" s="150"/>
      <c r="HB122" s="150"/>
      <c r="HC122" s="150"/>
      <c r="HD122" s="150"/>
      <c r="HE122" s="150"/>
      <c r="HF122" s="150"/>
      <c r="HG122" s="150"/>
      <c r="HH122" s="150"/>
      <c r="HI122" s="150"/>
      <c r="HJ122" s="150"/>
      <c r="HK122" s="150"/>
      <c r="HL122" s="150"/>
      <c r="HM122" s="150"/>
      <c r="HN122" s="150"/>
      <c r="HO122" s="150"/>
      <c r="HP122" s="150"/>
      <c r="HQ122" s="150"/>
      <c r="HR122" s="150"/>
      <c r="HS122" s="150"/>
      <c r="HT122" s="150"/>
      <c r="HU122" s="150"/>
      <c r="HV122" s="150"/>
      <c r="HW122" s="150"/>
      <c r="HX122" s="150"/>
      <c r="HY122" s="150"/>
      <c r="HZ122" s="150"/>
      <c r="IA122" s="150"/>
      <c r="IB122" s="150"/>
      <c r="IC122" s="150"/>
      <c r="ID122" s="150"/>
      <c r="IE122" s="150"/>
      <c r="IF122" s="150"/>
      <c r="IG122" s="150"/>
      <c r="IH122" s="150"/>
      <c r="II122" s="150"/>
      <c r="IJ122" s="150"/>
      <c r="IK122" s="150"/>
      <c r="IL122" s="150"/>
      <c r="IM122" s="150"/>
      <c r="IN122" s="150"/>
      <c r="IO122" s="150"/>
      <c r="IP122" s="150"/>
      <c r="IQ122" s="150"/>
      <c r="IR122" s="150"/>
      <c r="IS122" s="150"/>
      <c r="IT122" s="150"/>
      <c r="IU122" s="150"/>
      <c r="IV122" s="150"/>
      <c r="IW122" s="150"/>
      <c r="IX122" s="150"/>
      <c r="IY122" s="150"/>
      <c r="IZ122" s="150"/>
      <c r="JA122" s="150"/>
      <c r="JB122" s="150"/>
      <c r="JC122" s="150"/>
      <c r="JD122" s="150"/>
      <c r="JE122" s="150"/>
      <c r="JF122" s="150"/>
      <c r="JG122" s="150"/>
      <c r="JH122" s="150"/>
      <c r="JI122" s="150"/>
      <c r="JJ122" s="150"/>
      <c r="JK122" s="150"/>
      <c r="JL122" s="150"/>
      <c r="JM122" s="150"/>
      <c r="JN122" s="150"/>
      <c r="JO122" s="150"/>
      <c r="JP122" s="150"/>
      <c r="JQ122" s="150"/>
      <c r="JR122" s="150"/>
      <c r="JS122" s="150"/>
      <c r="JT122" s="150"/>
      <c r="JU122" s="150"/>
      <c r="JV122" s="150"/>
      <c r="JW122" s="150"/>
      <c r="JX122" s="150"/>
      <c r="JY122" s="150"/>
      <c r="JZ122" s="150"/>
      <c r="KA122" s="150"/>
      <c r="KB122" s="150"/>
      <c r="KC122" s="150"/>
      <c r="KD122" s="150"/>
      <c r="KE122" s="150"/>
      <c r="KF122" s="150"/>
      <c r="KG122" s="150"/>
      <c r="KH122" s="150"/>
      <c r="KI122" s="150"/>
      <c r="KJ122" s="150"/>
      <c r="KK122" s="150"/>
      <c r="KL122" s="150"/>
      <c r="KM122" s="150"/>
      <c r="KN122" s="150"/>
      <c r="KO122" s="150"/>
      <c r="KP122" s="150"/>
      <c r="KQ122" s="150"/>
      <c r="KR122" s="150"/>
      <c r="KS122" s="150"/>
      <c r="KT122" s="150"/>
      <c r="KU122" s="150"/>
      <c r="KV122" s="150"/>
      <c r="KW122" s="150"/>
      <c r="KX122" s="150"/>
      <c r="KY122" s="150"/>
      <c r="KZ122" s="150"/>
      <c r="LA122" s="150"/>
      <c r="LB122" s="150"/>
      <c r="LC122" s="150"/>
      <c r="LD122" s="150"/>
      <c r="LE122" s="150"/>
      <c r="LF122" s="150"/>
      <c r="LG122" s="150"/>
      <c r="LH122" s="150"/>
      <c r="LI122" s="150"/>
      <c r="LJ122" s="150"/>
      <c r="LK122" s="150"/>
      <c r="LL122" s="150"/>
      <c r="LM122" s="150"/>
      <c r="LN122" s="150"/>
      <c r="LO122" s="150"/>
      <c r="LP122" s="150"/>
      <c r="LQ122" s="150"/>
      <c r="LR122" s="150"/>
      <c r="LS122" s="150"/>
      <c r="LT122" s="150"/>
      <c r="LU122" s="150"/>
      <c r="LV122" s="150"/>
      <c r="LW122" s="150"/>
      <c r="LX122" s="150"/>
      <c r="LY122" s="150"/>
      <c r="LZ122" s="150"/>
      <c r="MA122" s="150"/>
      <c r="MB122" s="150"/>
      <c r="MC122" s="150"/>
      <c r="MD122" s="150"/>
      <c r="ME122" s="150"/>
      <c r="MF122" s="150"/>
      <c r="MG122" s="150"/>
      <c r="MH122" s="150"/>
      <c r="MI122" s="150"/>
      <c r="MJ122" s="150"/>
      <c r="MK122" s="150"/>
      <c r="ML122" s="150"/>
      <c r="MM122" s="150"/>
      <c r="MN122" s="150"/>
      <c r="MO122" s="150"/>
      <c r="MP122" s="150"/>
      <c r="MQ122" s="150"/>
      <c r="MR122" s="150"/>
      <c r="MS122" s="150"/>
      <c r="MT122" s="150"/>
      <c r="MU122" s="150"/>
      <c r="MV122" s="150"/>
      <c r="MW122" s="150"/>
      <c r="MX122" s="150"/>
      <c r="MY122" s="150"/>
      <c r="MZ122" s="150"/>
      <c r="NA122" s="150"/>
      <c r="NB122" s="150"/>
      <c r="NC122" s="150"/>
      <c r="ND122" s="150"/>
      <c r="NE122" s="150"/>
      <c r="NF122" s="150"/>
      <c r="NG122" s="150"/>
      <c r="NH122" s="150"/>
      <c r="NI122" s="150"/>
      <c r="NJ122" s="150"/>
      <c r="NK122" s="150"/>
      <c r="NL122" s="150"/>
      <c r="NM122" s="150"/>
      <c r="NN122" s="150"/>
      <c r="NO122" s="150"/>
      <c r="NP122" s="150"/>
      <c r="NQ122" s="150"/>
      <c r="NR122" s="150"/>
      <c r="NS122" s="150"/>
      <c r="NT122" s="150"/>
      <c r="NU122" s="150"/>
      <c r="NV122" s="150"/>
      <c r="NW122" s="150"/>
      <c r="NX122" s="150"/>
      <c r="NY122" s="150"/>
      <c r="NZ122" s="150"/>
      <c r="OA122" s="150"/>
      <c r="OB122" s="150"/>
      <c r="OC122" s="150"/>
      <c r="OD122" s="150"/>
      <c r="OE122" s="150"/>
    </row>
    <row r="123" spans="1:395" ht="15">
      <c r="A123" s="19"/>
      <c r="B123" s="17"/>
      <c r="C123" s="187">
        <v>2032</v>
      </c>
      <c r="D123" s="187">
        <v>71</v>
      </c>
      <c r="E123" s="187">
        <v>116</v>
      </c>
      <c r="F123" s="187">
        <v>171</v>
      </c>
      <c r="G123" s="187">
        <v>166</v>
      </c>
      <c r="H123" s="187">
        <v>116</v>
      </c>
      <c r="I123" s="187">
        <v>256</v>
      </c>
      <c r="J123" s="187">
        <v>107</v>
      </c>
      <c r="K123" s="187">
        <v>102</v>
      </c>
      <c r="L123" s="187">
        <v>190</v>
      </c>
      <c r="M123" s="187">
        <v>105</v>
      </c>
      <c r="N123" s="187">
        <v>102</v>
      </c>
      <c r="O123" s="187">
        <v>188</v>
      </c>
      <c r="P123" s="187">
        <v>114</v>
      </c>
      <c r="Q123" s="187">
        <v>116</v>
      </c>
      <c r="R123" s="187">
        <v>209</v>
      </c>
      <c r="S123" s="187">
        <v>114</v>
      </c>
      <c r="T123" s="187">
        <v>116</v>
      </c>
      <c r="U123" s="187">
        <v>210</v>
      </c>
      <c r="V123" s="187">
        <v>134</v>
      </c>
      <c r="W123" s="187">
        <v>349</v>
      </c>
      <c r="X123" s="187">
        <v>439</v>
      </c>
      <c r="Y123" s="187">
        <v>116</v>
      </c>
      <c r="Z123" s="187">
        <v>247</v>
      </c>
      <c r="AA123" s="187">
        <v>330</v>
      </c>
      <c r="AB123" s="187">
        <v>122</v>
      </c>
      <c r="AC123" s="187">
        <v>175</v>
      </c>
      <c r="AD123" s="187">
        <v>269</v>
      </c>
      <c r="AE123" s="187">
        <v>129</v>
      </c>
      <c r="AF123" s="187">
        <v>73</v>
      </c>
      <c r="AG123" s="187">
        <v>183</v>
      </c>
      <c r="AH123" s="187">
        <v>110</v>
      </c>
      <c r="AI123" s="187">
        <v>291</v>
      </c>
      <c r="AJ123" s="187">
        <v>365</v>
      </c>
      <c r="AK123" s="187">
        <v>109</v>
      </c>
      <c r="AL123" s="187">
        <v>116</v>
      </c>
      <c r="AM123" s="187">
        <v>205</v>
      </c>
      <c r="AN123" s="187">
        <v>120</v>
      </c>
      <c r="AO123" s="187">
        <v>87</v>
      </c>
      <c r="AP123" s="187">
        <v>188</v>
      </c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  <c r="BI123" s="150"/>
      <c r="BJ123" s="150"/>
      <c r="BK123" s="150"/>
      <c r="BL123" s="150"/>
      <c r="BM123" s="150"/>
      <c r="BN123" s="150"/>
      <c r="BO123" s="150"/>
      <c r="BP123" s="150"/>
      <c r="BQ123" s="150"/>
      <c r="BR123" s="150"/>
      <c r="BS123" s="150"/>
      <c r="BT123" s="150"/>
      <c r="BU123" s="150"/>
      <c r="BV123" s="150"/>
      <c r="BW123" s="150"/>
      <c r="BX123" s="150"/>
      <c r="BY123" s="150"/>
      <c r="BZ123" s="150"/>
      <c r="CA123" s="150"/>
      <c r="CB123" s="150"/>
      <c r="CC123" s="150"/>
      <c r="CD123" s="150"/>
      <c r="CE123" s="150"/>
      <c r="CF123" s="150"/>
      <c r="CG123" s="150"/>
      <c r="CH123" s="150"/>
      <c r="CI123" s="150"/>
      <c r="CJ123" s="150"/>
      <c r="CK123" s="150"/>
      <c r="CL123" s="150"/>
      <c r="CM123" s="150"/>
      <c r="CN123" s="150"/>
      <c r="CO123" s="150"/>
      <c r="CP123" s="150"/>
      <c r="CQ123" s="150"/>
      <c r="CR123" s="150"/>
      <c r="CS123" s="150"/>
      <c r="CT123" s="150"/>
      <c r="CU123" s="150"/>
      <c r="CV123" s="150"/>
      <c r="CW123" s="150"/>
      <c r="CX123" s="150"/>
      <c r="CY123" s="150"/>
      <c r="CZ123" s="150"/>
      <c r="DA123" s="150"/>
      <c r="DB123" s="150"/>
      <c r="DC123" s="150"/>
      <c r="DD123" s="150"/>
      <c r="DE123" s="150"/>
      <c r="DF123" s="150"/>
      <c r="DG123" s="150"/>
      <c r="DH123" s="150"/>
      <c r="DI123" s="150"/>
      <c r="DJ123" s="150"/>
      <c r="DK123" s="150"/>
      <c r="DL123" s="150"/>
      <c r="DM123" s="150"/>
      <c r="DN123" s="150"/>
      <c r="DO123" s="150"/>
      <c r="DP123" s="150"/>
      <c r="DQ123" s="150"/>
      <c r="DR123" s="150"/>
      <c r="DS123" s="150"/>
      <c r="DT123" s="150"/>
      <c r="DU123" s="150"/>
      <c r="DV123" s="150"/>
      <c r="DW123" s="150"/>
      <c r="DX123" s="150"/>
      <c r="DY123" s="150"/>
      <c r="DZ123" s="150"/>
      <c r="EA123" s="150"/>
      <c r="EB123" s="150"/>
      <c r="EC123" s="150"/>
      <c r="ED123" s="150"/>
      <c r="EE123" s="150"/>
      <c r="EF123" s="150"/>
      <c r="EG123" s="150"/>
      <c r="EH123" s="150"/>
      <c r="EI123" s="150"/>
      <c r="EJ123" s="150"/>
      <c r="EK123" s="150"/>
      <c r="EL123" s="150"/>
      <c r="EM123" s="150"/>
      <c r="EN123" s="150"/>
      <c r="EO123" s="150"/>
      <c r="EP123" s="150"/>
      <c r="EQ123" s="150"/>
      <c r="ER123" s="150"/>
      <c r="ES123" s="150"/>
      <c r="ET123" s="150"/>
      <c r="EU123" s="150"/>
      <c r="EV123" s="150"/>
      <c r="EW123" s="150"/>
      <c r="EX123" s="150"/>
      <c r="EY123" s="150"/>
      <c r="EZ123" s="150"/>
      <c r="FA123" s="150"/>
      <c r="FB123" s="150"/>
      <c r="FC123" s="150"/>
      <c r="FD123" s="150"/>
      <c r="FE123" s="150"/>
      <c r="FF123" s="150"/>
      <c r="FG123" s="150"/>
      <c r="FH123" s="150"/>
      <c r="FI123" s="150"/>
      <c r="FJ123" s="150"/>
      <c r="FK123" s="150"/>
      <c r="FL123" s="150"/>
      <c r="FM123" s="150"/>
      <c r="FN123" s="150"/>
      <c r="FO123" s="150"/>
      <c r="FP123" s="150"/>
      <c r="FQ123" s="150"/>
      <c r="FR123" s="150"/>
      <c r="FS123" s="150"/>
      <c r="FT123" s="150"/>
      <c r="FU123" s="150"/>
      <c r="FV123" s="150"/>
      <c r="FW123" s="150"/>
      <c r="FX123" s="150"/>
      <c r="FY123" s="150"/>
      <c r="FZ123" s="150"/>
      <c r="GA123" s="150"/>
      <c r="GB123" s="150"/>
      <c r="GC123" s="150"/>
      <c r="GD123" s="150"/>
      <c r="GE123" s="150"/>
      <c r="GF123" s="150"/>
      <c r="GG123" s="150"/>
      <c r="GH123" s="150"/>
      <c r="GI123" s="150"/>
      <c r="GJ123" s="150"/>
      <c r="GK123" s="150"/>
      <c r="GL123" s="150"/>
      <c r="GM123" s="150"/>
      <c r="GN123" s="150"/>
      <c r="GO123" s="150"/>
      <c r="GP123" s="150"/>
      <c r="GQ123" s="150"/>
      <c r="GR123" s="150"/>
      <c r="GS123" s="150"/>
      <c r="GT123" s="150"/>
      <c r="GU123" s="150"/>
      <c r="GV123" s="150"/>
      <c r="GW123" s="150"/>
      <c r="GX123" s="150"/>
      <c r="GY123" s="150"/>
      <c r="GZ123" s="150"/>
      <c r="HA123" s="150"/>
      <c r="HB123" s="150"/>
      <c r="HC123" s="150"/>
      <c r="HD123" s="150"/>
      <c r="HE123" s="150"/>
      <c r="HF123" s="150"/>
      <c r="HG123" s="150"/>
      <c r="HH123" s="150"/>
      <c r="HI123" s="150"/>
      <c r="HJ123" s="150"/>
      <c r="HK123" s="150"/>
      <c r="HL123" s="150"/>
      <c r="HM123" s="150"/>
      <c r="HN123" s="150"/>
      <c r="HO123" s="150"/>
      <c r="HP123" s="150"/>
      <c r="HQ123" s="150"/>
      <c r="HR123" s="150"/>
      <c r="HS123" s="150"/>
      <c r="HT123" s="150"/>
      <c r="HU123" s="150"/>
      <c r="HV123" s="150"/>
      <c r="HW123" s="150"/>
      <c r="HX123" s="150"/>
      <c r="HY123" s="150"/>
      <c r="HZ123" s="150"/>
      <c r="IA123" s="150"/>
      <c r="IB123" s="150"/>
      <c r="IC123" s="150"/>
      <c r="ID123" s="150"/>
      <c r="IE123" s="150"/>
      <c r="IF123" s="150"/>
      <c r="IG123" s="150"/>
      <c r="IH123" s="150"/>
      <c r="II123" s="150"/>
      <c r="IJ123" s="150"/>
      <c r="IK123" s="150"/>
      <c r="IL123" s="150"/>
      <c r="IM123" s="150"/>
      <c r="IN123" s="150"/>
      <c r="IO123" s="150"/>
      <c r="IP123" s="150"/>
      <c r="IQ123" s="150"/>
      <c r="IR123" s="150"/>
      <c r="IS123" s="150"/>
      <c r="IT123" s="150"/>
      <c r="IU123" s="150"/>
      <c r="IV123" s="150"/>
      <c r="IW123" s="150"/>
      <c r="IX123" s="150"/>
      <c r="IY123" s="150"/>
      <c r="IZ123" s="150"/>
      <c r="JA123" s="150"/>
      <c r="JB123" s="150"/>
      <c r="JC123" s="150"/>
      <c r="JD123" s="150"/>
      <c r="JE123" s="150"/>
      <c r="JF123" s="150"/>
      <c r="JG123" s="150"/>
      <c r="JH123" s="150"/>
      <c r="JI123" s="150"/>
      <c r="JJ123" s="150"/>
      <c r="JK123" s="150"/>
      <c r="JL123" s="150"/>
      <c r="JM123" s="150"/>
      <c r="JN123" s="150"/>
      <c r="JO123" s="150"/>
      <c r="JP123" s="150"/>
      <c r="JQ123" s="150"/>
      <c r="JR123" s="150"/>
      <c r="JS123" s="150"/>
      <c r="JT123" s="150"/>
      <c r="JU123" s="150"/>
      <c r="JV123" s="150"/>
      <c r="JW123" s="150"/>
      <c r="JX123" s="150"/>
      <c r="JY123" s="150"/>
      <c r="JZ123" s="150"/>
      <c r="KA123" s="150"/>
      <c r="KB123" s="150"/>
      <c r="KC123" s="150"/>
      <c r="KD123" s="150"/>
      <c r="KE123" s="150"/>
      <c r="KF123" s="150"/>
      <c r="KG123" s="150"/>
      <c r="KH123" s="150"/>
      <c r="KI123" s="150"/>
      <c r="KJ123" s="150"/>
      <c r="KK123" s="150"/>
      <c r="KL123" s="150"/>
      <c r="KM123" s="150"/>
      <c r="KN123" s="150"/>
      <c r="KO123" s="150"/>
      <c r="KP123" s="150"/>
      <c r="KQ123" s="150"/>
      <c r="KR123" s="150"/>
      <c r="KS123" s="150"/>
      <c r="KT123" s="150"/>
      <c r="KU123" s="150"/>
      <c r="KV123" s="150"/>
      <c r="KW123" s="150"/>
      <c r="KX123" s="150"/>
      <c r="KY123" s="150"/>
      <c r="KZ123" s="150"/>
      <c r="LA123" s="150"/>
      <c r="LB123" s="150"/>
      <c r="LC123" s="150"/>
      <c r="LD123" s="150"/>
      <c r="LE123" s="150"/>
      <c r="LF123" s="150"/>
      <c r="LG123" s="150"/>
      <c r="LH123" s="150"/>
      <c r="LI123" s="150"/>
      <c r="LJ123" s="150"/>
      <c r="LK123" s="150"/>
      <c r="LL123" s="150"/>
      <c r="LM123" s="150"/>
      <c r="LN123" s="150"/>
      <c r="LO123" s="150"/>
      <c r="LP123" s="150"/>
      <c r="LQ123" s="150"/>
      <c r="LR123" s="150"/>
      <c r="LS123" s="150"/>
      <c r="LT123" s="150"/>
      <c r="LU123" s="150"/>
      <c r="LV123" s="150"/>
      <c r="LW123" s="150"/>
      <c r="LX123" s="150"/>
      <c r="LY123" s="150"/>
      <c r="LZ123" s="150"/>
      <c r="MA123" s="150"/>
      <c r="MB123" s="150"/>
      <c r="MC123" s="150"/>
      <c r="MD123" s="150"/>
      <c r="ME123" s="150"/>
      <c r="MF123" s="150"/>
      <c r="MG123" s="150"/>
      <c r="MH123" s="150"/>
      <c r="MI123" s="150"/>
      <c r="MJ123" s="150"/>
      <c r="MK123" s="150"/>
      <c r="ML123" s="150"/>
      <c r="MM123" s="150"/>
      <c r="MN123" s="150"/>
      <c r="MO123" s="150"/>
      <c r="MP123" s="150"/>
      <c r="MQ123" s="150"/>
      <c r="MR123" s="150"/>
      <c r="MS123" s="150"/>
      <c r="MT123" s="150"/>
      <c r="MU123" s="150"/>
      <c r="MV123" s="150"/>
      <c r="MW123" s="150"/>
      <c r="MX123" s="150"/>
      <c r="MY123" s="150"/>
      <c r="MZ123" s="150"/>
      <c r="NA123" s="150"/>
      <c r="NB123" s="150"/>
      <c r="NC123" s="150"/>
      <c r="ND123" s="150"/>
      <c r="NE123" s="150"/>
      <c r="NF123" s="150"/>
      <c r="NG123" s="150"/>
      <c r="NH123" s="150"/>
      <c r="NI123" s="150"/>
      <c r="NJ123" s="150"/>
      <c r="NK123" s="150"/>
      <c r="NL123" s="150"/>
      <c r="NM123" s="150"/>
      <c r="NN123" s="150"/>
      <c r="NO123" s="150"/>
      <c r="NP123" s="150"/>
      <c r="NQ123" s="150"/>
      <c r="NR123" s="150"/>
      <c r="NS123" s="150"/>
      <c r="NT123" s="150"/>
      <c r="NU123" s="150"/>
      <c r="NV123" s="150"/>
      <c r="NW123" s="150"/>
      <c r="NX123" s="150"/>
      <c r="NY123" s="150"/>
      <c r="NZ123" s="150"/>
      <c r="OA123" s="150"/>
      <c r="OB123" s="150"/>
      <c r="OC123" s="150"/>
      <c r="OD123" s="150"/>
      <c r="OE123" s="150"/>
    </row>
    <row r="124" spans="1:395" ht="15">
      <c r="A124" s="19"/>
      <c r="B124" s="17"/>
      <c r="C124" s="187">
        <v>2033</v>
      </c>
      <c r="D124" s="187">
        <v>68</v>
      </c>
      <c r="E124" s="187">
        <v>111</v>
      </c>
      <c r="F124" s="187">
        <v>163</v>
      </c>
      <c r="G124" s="187">
        <v>158</v>
      </c>
      <c r="H124" s="187">
        <v>111</v>
      </c>
      <c r="I124" s="187">
        <v>245</v>
      </c>
      <c r="J124" s="187">
        <v>102</v>
      </c>
      <c r="K124" s="187">
        <v>97</v>
      </c>
      <c r="L124" s="187">
        <v>181</v>
      </c>
      <c r="M124" s="187">
        <v>100</v>
      </c>
      <c r="N124" s="187">
        <v>97</v>
      </c>
      <c r="O124" s="187">
        <v>180</v>
      </c>
      <c r="P124" s="187">
        <v>109</v>
      </c>
      <c r="Q124" s="187">
        <v>111</v>
      </c>
      <c r="R124" s="187">
        <v>200</v>
      </c>
      <c r="S124" s="187">
        <v>109</v>
      </c>
      <c r="T124" s="187">
        <v>111</v>
      </c>
      <c r="U124" s="187">
        <v>200</v>
      </c>
      <c r="V124" s="187">
        <v>128</v>
      </c>
      <c r="W124" s="187">
        <v>334</v>
      </c>
      <c r="X124" s="187">
        <v>420</v>
      </c>
      <c r="Y124" s="187">
        <v>111</v>
      </c>
      <c r="Z124" s="187">
        <v>236</v>
      </c>
      <c r="AA124" s="187">
        <v>316</v>
      </c>
      <c r="AB124" s="187">
        <v>116</v>
      </c>
      <c r="AC124" s="187">
        <v>167</v>
      </c>
      <c r="AD124" s="187">
        <v>258</v>
      </c>
      <c r="AE124" s="187">
        <v>123</v>
      </c>
      <c r="AF124" s="187">
        <v>70</v>
      </c>
      <c r="AG124" s="187">
        <v>175</v>
      </c>
      <c r="AH124" s="187">
        <v>106</v>
      </c>
      <c r="AI124" s="187">
        <v>278</v>
      </c>
      <c r="AJ124" s="187">
        <v>349</v>
      </c>
      <c r="AK124" s="187">
        <v>104</v>
      </c>
      <c r="AL124" s="187">
        <v>111</v>
      </c>
      <c r="AM124" s="187">
        <v>196</v>
      </c>
      <c r="AN124" s="187">
        <v>114</v>
      </c>
      <c r="AO124" s="187">
        <v>84</v>
      </c>
      <c r="AP124" s="187">
        <v>180</v>
      </c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  <c r="BI124" s="150"/>
      <c r="BJ124" s="150"/>
      <c r="BK124" s="150"/>
      <c r="BL124" s="150"/>
      <c r="BM124" s="150"/>
      <c r="BN124" s="150"/>
      <c r="BO124" s="150"/>
      <c r="BP124" s="150"/>
      <c r="BQ124" s="150"/>
      <c r="BR124" s="150"/>
      <c r="BS124" s="150"/>
      <c r="BT124" s="150"/>
      <c r="BU124" s="150"/>
      <c r="BV124" s="150"/>
      <c r="BW124" s="150"/>
      <c r="BX124" s="150"/>
      <c r="BY124" s="150"/>
      <c r="BZ124" s="150"/>
      <c r="CA124" s="150"/>
      <c r="CB124" s="150"/>
      <c r="CC124" s="150"/>
      <c r="CD124" s="150"/>
      <c r="CE124" s="150"/>
      <c r="CF124" s="150"/>
      <c r="CG124" s="150"/>
      <c r="CH124" s="150"/>
      <c r="CI124" s="150"/>
      <c r="CJ124" s="150"/>
      <c r="CK124" s="150"/>
      <c r="CL124" s="150"/>
      <c r="CM124" s="150"/>
      <c r="CN124" s="150"/>
      <c r="CO124" s="150"/>
      <c r="CP124" s="150"/>
      <c r="CQ124" s="150"/>
      <c r="CR124" s="150"/>
      <c r="CS124" s="150"/>
      <c r="CT124" s="150"/>
      <c r="CU124" s="150"/>
      <c r="CV124" s="150"/>
      <c r="CW124" s="150"/>
      <c r="CX124" s="150"/>
      <c r="CY124" s="150"/>
      <c r="CZ124" s="150"/>
      <c r="DA124" s="150"/>
      <c r="DB124" s="150"/>
      <c r="DC124" s="150"/>
      <c r="DD124" s="150"/>
      <c r="DE124" s="150"/>
      <c r="DF124" s="150"/>
      <c r="DG124" s="150"/>
      <c r="DH124" s="150"/>
      <c r="DI124" s="150"/>
      <c r="DJ124" s="150"/>
      <c r="DK124" s="150"/>
      <c r="DL124" s="150"/>
      <c r="DM124" s="150"/>
      <c r="DN124" s="150"/>
      <c r="DO124" s="150"/>
      <c r="DP124" s="150"/>
      <c r="DQ124" s="150"/>
      <c r="DR124" s="150"/>
      <c r="DS124" s="150"/>
      <c r="DT124" s="150"/>
      <c r="DU124" s="150"/>
      <c r="DV124" s="150"/>
      <c r="DW124" s="150"/>
      <c r="DX124" s="150"/>
      <c r="DY124" s="150"/>
      <c r="DZ124" s="150"/>
      <c r="EA124" s="150"/>
      <c r="EB124" s="150"/>
      <c r="EC124" s="150"/>
      <c r="ED124" s="150"/>
      <c r="EE124" s="150"/>
      <c r="EF124" s="150"/>
      <c r="EG124" s="150"/>
      <c r="EH124" s="150"/>
      <c r="EI124" s="150"/>
      <c r="EJ124" s="150"/>
      <c r="EK124" s="150"/>
      <c r="EL124" s="150"/>
      <c r="EM124" s="150"/>
      <c r="EN124" s="150"/>
      <c r="EO124" s="150"/>
      <c r="EP124" s="150"/>
      <c r="EQ124" s="150"/>
      <c r="ER124" s="150"/>
      <c r="ES124" s="150"/>
      <c r="ET124" s="150"/>
      <c r="EU124" s="150"/>
      <c r="EV124" s="150"/>
      <c r="EW124" s="150"/>
      <c r="EX124" s="150"/>
      <c r="EY124" s="150"/>
      <c r="EZ124" s="150"/>
      <c r="FA124" s="150"/>
      <c r="FB124" s="150"/>
      <c r="FC124" s="150"/>
      <c r="FD124" s="150"/>
      <c r="FE124" s="150"/>
      <c r="FF124" s="150"/>
      <c r="FG124" s="150"/>
      <c r="FH124" s="150"/>
      <c r="FI124" s="150"/>
      <c r="FJ124" s="150"/>
      <c r="FK124" s="150"/>
      <c r="FL124" s="150"/>
      <c r="FM124" s="150"/>
      <c r="FN124" s="150"/>
      <c r="FO124" s="150"/>
      <c r="FP124" s="150"/>
      <c r="FQ124" s="150"/>
      <c r="FR124" s="150"/>
      <c r="FS124" s="150"/>
      <c r="FT124" s="150"/>
      <c r="FU124" s="150"/>
      <c r="FV124" s="150"/>
      <c r="FW124" s="150"/>
      <c r="FX124" s="150"/>
      <c r="FY124" s="150"/>
      <c r="FZ124" s="150"/>
      <c r="GA124" s="150"/>
      <c r="GB124" s="150"/>
      <c r="GC124" s="150"/>
      <c r="GD124" s="150"/>
      <c r="GE124" s="150"/>
      <c r="GF124" s="150"/>
      <c r="GG124" s="150"/>
      <c r="GH124" s="150"/>
      <c r="GI124" s="150"/>
      <c r="GJ124" s="150"/>
      <c r="GK124" s="150"/>
      <c r="GL124" s="150"/>
      <c r="GM124" s="150"/>
      <c r="GN124" s="150"/>
      <c r="GO124" s="150"/>
      <c r="GP124" s="150"/>
      <c r="GQ124" s="150"/>
      <c r="GR124" s="150"/>
      <c r="GS124" s="150"/>
      <c r="GT124" s="150"/>
      <c r="GU124" s="150"/>
      <c r="GV124" s="150"/>
      <c r="GW124" s="150"/>
      <c r="GX124" s="150"/>
      <c r="GY124" s="150"/>
      <c r="GZ124" s="150"/>
      <c r="HA124" s="150"/>
      <c r="HB124" s="150"/>
      <c r="HC124" s="150"/>
      <c r="HD124" s="150"/>
      <c r="HE124" s="150"/>
      <c r="HF124" s="150"/>
      <c r="HG124" s="150"/>
      <c r="HH124" s="150"/>
      <c r="HI124" s="150"/>
      <c r="HJ124" s="150"/>
      <c r="HK124" s="150"/>
      <c r="HL124" s="150"/>
      <c r="HM124" s="150"/>
      <c r="HN124" s="150"/>
      <c r="HO124" s="150"/>
      <c r="HP124" s="150"/>
      <c r="HQ124" s="150"/>
      <c r="HR124" s="150"/>
      <c r="HS124" s="150"/>
      <c r="HT124" s="150"/>
      <c r="HU124" s="150"/>
      <c r="HV124" s="150"/>
      <c r="HW124" s="150"/>
      <c r="HX124" s="150"/>
      <c r="HY124" s="150"/>
      <c r="HZ124" s="150"/>
      <c r="IA124" s="150"/>
      <c r="IB124" s="150"/>
      <c r="IC124" s="150"/>
      <c r="ID124" s="150"/>
      <c r="IE124" s="150"/>
      <c r="IF124" s="150"/>
      <c r="IG124" s="150"/>
      <c r="IH124" s="150"/>
      <c r="II124" s="150"/>
      <c r="IJ124" s="150"/>
      <c r="IK124" s="150"/>
      <c r="IL124" s="150"/>
      <c r="IM124" s="150"/>
      <c r="IN124" s="150"/>
      <c r="IO124" s="150"/>
      <c r="IP124" s="150"/>
      <c r="IQ124" s="150"/>
      <c r="IR124" s="150"/>
      <c r="IS124" s="150"/>
      <c r="IT124" s="150"/>
      <c r="IU124" s="150"/>
      <c r="IV124" s="150"/>
      <c r="IW124" s="150"/>
      <c r="IX124" s="150"/>
      <c r="IY124" s="150"/>
      <c r="IZ124" s="150"/>
      <c r="JA124" s="150"/>
      <c r="JB124" s="150"/>
      <c r="JC124" s="150"/>
      <c r="JD124" s="150"/>
      <c r="JE124" s="150"/>
      <c r="JF124" s="150"/>
      <c r="JG124" s="150"/>
      <c r="JH124" s="150"/>
      <c r="JI124" s="150"/>
      <c r="JJ124" s="150"/>
      <c r="JK124" s="150"/>
      <c r="JL124" s="150"/>
      <c r="JM124" s="150"/>
      <c r="JN124" s="150"/>
      <c r="JO124" s="150"/>
      <c r="JP124" s="150"/>
      <c r="JQ124" s="150"/>
      <c r="JR124" s="150"/>
      <c r="JS124" s="150"/>
      <c r="JT124" s="150"/>
      <c r="JU124" s="150"/>
      <c r="JV124" s="150"/>
      <c r="JW124" s="150"/>
      <c r="JX124" s="150"/>
      <c r="JY124" s="150"/>
      <c r="JZ124" s="150"/>
      <c r="KA124" s="150"/>
      <c r="KB124" s="150"/>
      <c r="KC124" s="150"/>
      <c r="KD124" s="150"/>
      <c r="KE124" s="150"/>
      <c r="KF124" s="150"/>
      <c r="KG124" s="150"/>
      <c r="KH124" s="150"/>
      <c r="KI124" s="150"/>
      <c r="KJ124" s="150"/>
      <c r="KK124" s="150"/>
      <c r="KL124" s="150"/>
      <c r="KM124" s="150"/>
      <c r="KN124" s="150"/>
      <c r="KO124" s="150"/>
      <c r="KP124" s="150"/>
      <c r="KQ124" s="150"/>
      <c r="KR124" s="150"/>
      <c r="KS124" s="150"/>
      <c r="KT124" s="150"/>
      <c r="KU124" s="150"/>
      <c r="KV124" s="150"/>
      <c r="KW124" s="150"/>
      <c r="KX124" s="150"/>
      <c r="KY124" s="150"/>
      <c r="KZ124" s="150"/>
      <c r="LA124" s="150"/>
      <c r="LB124" s="150"/>
      <c r="LC124" s="150"/>
      <c r="LD124" s="150"/>
      <c r="LE124" s="150"/>
      <c r="LF124" s="150"/>
      <c r="LG124" s="150"/>
      <c r="LH124" s="150"/>
      <c r="LI124" s="150"/>
      <c r="LJ124" s="150"/>
      <c r="LK124" s="150"/>
      <c r="LL124" s="150"/>
      <c r="LM124" s="150"/>
      <c r="LN124" s="150"/>
      <c r="LO124" s="150"/>
      <c r="LP124" s="150"/>
      <c r="LQ124" s="150"/>
      <c r="LR124" s="150"/>
      <c r="LS124" s="150"/>
      <c r="LT124" s="150"/>
      <c r="LU124" s="150"/>
      <c r="LV124" s="150"/>
      <c r="LW124" s="150"/>
      <c r="LX124" s="150"/>
      <c r="LY124" s="150"/>
      <c r="LZ124" s="150"/>
      <c r="MA124" s="150"/>
      <c r="MB124" s="150"/>
      <c r="MC124" s="150"/>
      <c r="MD124" s="150"/>
      <c r="ME124" s="150"/>
      <c r="MF124" s="150"/>
      <c r="MG124" s="150"/>
      <c r="MH124" s="150"/>
      <c r="MI124" s="150"/>
      <c r="MJ124" s="150"/>
      <c r="MK124" s="150"/>
      <c r="ML124" s="150"/>
      <c r="MM124" s="150"/>
      <c r="MN124" s="150"/>
      <c r="MO124" s="150"/>
      <c r="MP124" s="150"/>
      <c r="MQ124" s="150"/>
      <c r="MR124" s="150"/>
      <c r="MS124" s="150"/>
      <c r="MT124" s="150"/>
      <c r="MU124" s="150"/>
      <c r="MV124" s="150"/>
      <c r="MW124" s="150"/>
      <c r="MX124" s="150"/>
      <c r="MY124" s="150"/>
      <c r="MZ124" s="150"/>
      <c r="NA124" s="150"/>
      <c r="NB124" s="150"/>
      <c r="NC124" s="150"/>
      <c r="ND124" s="150"/>
      <c r="NE124" s="150"/>
      <c r="NF124" s="150"/>
      <c r="NG124" s="150"/>
      <c r="NH124" s="150"/>
      <c r="NI124" s="150"/>
      <c r="NJ124" s="150"/>
      <c r="NK124" s="150"/>
      <c r="NL124" s="150"/>
      <c r="NM124" s="150"/>
      <c r="NN124" s="150"/>
      <c r="NO124" s="150"/>
      <c r="NP124" s="150"/>
      <c r="NQ124" s="150"/>
      <c r="NR124" s="150"/>
      <c r="NS124" s="150"/>
      <c r="NT124" s="150"/>
      <c r="NU124" s="150"/>
      <c r="NV124" s="150"/>
      <c r="NW124" s="150"/>
      <c r="NX124" s="150"/>
      <c r="NY124" s="150"/>
      <c r="NZ124" s="150"/>
      <c r="OA124" s="150"/>
      <c r="OB124" s="150"/>
      <c r="OC124" s="150"/>
      <c r="OD124" s="150"/>
      <c r="OE124" s="150"/>
    </row>
    <row r="125" spans="1:395" ht="15">
      <c r="A125" s="19"/>
      <c r="B125" s="17"/>
      <c r="C125" s="187">
        <v>2034</v>
      </c>
      <c r="D125" s="187">
        <v>65</v>
      </c>
      <c r="E125" s="187">
        <v>106</v>
      </c>
      <c r="F125" s="187">
        <v>156</v>
      </c>
      <c r="G125" s="187">
        <v>151</v>
      </c>
      <c r="H125" s="187">
        <v>106</v>
      </c>
      <c r="I125" s="187">
        <v>234</v>
      </c>
      <c r="J125" s="187">
        <v>97</v>
      </c>
      <c r="K125" s="187">
        <v>93</v>
      </c>
      <c r="L125" s="187">
        <v>173</v>
      </c>
      <c r="M125" s="187">
        <v>96</v>
      </c>
      <c r="N125" s="187">
        <v>93</v>
      </c>
      <c r="O125" s="187">
        <v>172</v>
      </c>
      <c r="P125" s="187">
        <v>104</v>
      </c>
      <c r="Q125" s="187">
        <v>106</v>
      </c>
      <c r="R125" s="187">
        <v>191</v>
      </c>
      <c r="S125" s="187">
        <v>104</v>
      </c>
      <c r="T125" s="187">
        <v>106</v>
      </c>
      <c r="U125" s="187">
        <v>191</v>
      </c>
      <c r="V125" s="187">
        <v>122</v>
      </c>
      <c r="W125" s="187">
        <v>319</v>
      </c>
      <c r="X125" s="187">
        <v>401</v>
      </c>
      <c r="Y125" s="187">
        <v>106</v>
      </c>
      <c r="Z125" s="187">
        <v>226</v>
      </c>
      <c r="AA125" s="187">
        <v>301</v>
      </c>
      <c r="AB125" s="187">
        <v>111</v>
      </c>
      <c r="AC125" s="187">
        <v>159</v>
      </c>
      <c r="AD125" s="187">
        <v>246</v>
      </c>
      <c r="AE125" s="187">
        <v>118</v>
      </c>
      <c r="AF125" s="187">
        <v>66</v>
      </c>
      <c r="AG125" s="187">
        <v>167</v>
      </c>
      <c r="AH125" s="187">
        <v>101</v>
      </c>
      <c r="AI125" s="187">
        <v>266</v>
      </c>
      <c r="AJ125" s="187">
        <v>333</v>
      </c>
      <c r="AK125" s="187">
        <v>100</v>
      </c>
      <c r="AL125" s="187">
        <v>106</v>
      </c>
      <c r="AM125" s="187">
        <v>187</v>
      </c>
      <c r="AN125" s="187">
        <v>109</v>
      </c>
      <c r="AO125" s="187">
        <v>80</v>
      </c>
      <c r="AP125" s="187">
        <v>172</v>
      </c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  <c r="BI125" s="150"/>
      <c r="BJ125" s="150"/>
      <c r="BK125" s="150"/>
      <c r="BL125" s="150"/>
      <c r="BM125" s="150"/>
      <c r="BN125" s="150"/>
      <c r="BO125" s="150"/>
      <c r="BP125" s="150"/>
      <c r="BQ125" s="150"/>
      <c r="BR125" s="150"/>
      <c r="BS125" s="150"/>
      <c r="BT125" s="150"/>
      <c r="BU125" s="150"/>
      <c r="BV125" s="150"/>
      <c r="BW125" s="150"/>
      <c r="BX125" s="150"/>
      <c r="BY125" s="150"/>
      <c r="BZ125" s="150"/>
      <c r="CA125" s="150"/>
      <c r="CB125" s="150"/>
      <c r="CC125" s="150"/>
      <c r="CD125" s="150"/>
      <c r="CE125" s="150"/>
      <c r="CF125" s="150"/>
      <c r="CG125" s="150"/>
      <c r="CH125" s="150"/>
      <c r="CI125" s="150"/>
      <c r="CJ125" s="150"/>
      <c r="CK125" s="150"/>
      <c r="CL125" s="150"/>
      <c r="CM125" s="150"/>
      <c r="CN125" s="150"/>
      <c r="CO125" s="150"/>
      <c r="CP125" s="150"/>
      <c r="CQ125" s="150"/>
      <c r="CR125" s="150"/>
      <c r="CS125" s="150"/>
      <c r="CT125" s="150"/>
      <c r="CU125" s="150"/>
      <c r="CV125" s="150"/>
      <c r="CW125" s="150"/>
      <c r="CX125" s="150"/>
      <c r="CY125" s="150"/>
      <c r="CZ125" s="150"/>
      <c r="DA125" s="150"/>
      <c r="DB125" s="150"/>
      <c r="DC125" s="150"/>
      <c r="DD125" s="150"/>
      <c r="DE125" s="150"/>
      <c r="DF125" s="150"/>
      <c r="DG125" s="150"/>
      <c r="DH125" s="150"/>
      <c r="DI125" s="150"/>
      <c r="DJ125" s="150"/>
      <c r="DK125" s="150"/>
      <c r="DL125" s="150"/>
      <c r="DM125" s="150"/>
      <c r="DN125" s="150"/>
      <c r="DO125" s="150"/>
      <c r="DP125" s="150"/>
      <c r="DQ125" s="150"/>
      <c r="DR125" s="150"/>
      <c r="DS125" s="150"/>
      <c r="DT125" s="150"/>
      <c r="DU125" s="150"/>
      <c r="DV125" s="150"/>
      <c r="DW125" s="150"/>
      <c r="DX125" s="150"/>
      <c r="DY125" s="150"/>
      <c r="DZ125" s="150"/>
      <c r="EA125" s="150"/>
      <c r="EB125" s="150"/>
      <c r="EC125" s="150"/>
      <c r="ED125" s="150"/>
      <c r="EE125" s="150"/>
      <c r="EF125" s="150"/>
      <c r="EG125" s="150"/>
      <c r="EH125" s="150"/>
      <c r="EI125" s="150"/>
      <c r="EJ125" s="150"/>
      <c r="EK125" s="150"/>
      <c r="EL125" s="150"/>
      <c r="EM125" s="150"/>
      <c r="EN125" s="150"/>
      <c r="EO125" s="150"/>
      <c r="EP125" s="150"/>
      <c r="EQ125" s="150"/>
      <c r="ER125" s="150"/>
      <c r="ES125" s="150"/>
      <c r="ET125" s="150"/>
      <c r="EU125" s="150"/>
      <c r="EV125" s="150"/>
      <c r="EW125" s="150"/>
      <c r="EX125" s="150"/>
      <c r="EY125" s="150"/>
      <c r="EZ125" s="150"/>
      <c r="FA125" s="150"/>
      <c r="FB125" s="150"/>
      <c r="FC125" s="150"/>
      <c r="FD125" s="150"/>
      <c r="FE125" s="150"/>
      <c r="FF125" s="150"/>
      <c r="FG125" s="150"/>
      <c r="FH125" s="150"/>
      <c r="FI125" s="150"/>
      <c r="FJ125" s="150"/>
      <c r="FK125" s="150"/>
      <c r="FL125" s="150"/>
      <c r="FM125" s="150"/>
      <c r="FN125" s="150"/>
      <c r="FO125" s="150"/>
      <c r="FP125" s="150"/>
      <c r="FQ125" s="150"/>
      <c r="FR125" s="150"/>
      <c r="FS125" s="150"/>
      <c r="FT125" s="150"/>
      <c r="FU125" s="150"/>
      <c r="FV125" s="150"/>
      <c r="FW125" s="150"/>
      <c r="FX125" s="150"/>
      <c r="FY125" s="150"/>
      <c r="FZ125" s="150"/>
      <c r="GA125" s="150"/>
      <c r="GB125" s="150"/>
      <c r="GC125" s="150"/>
      <c r="GD125" s="150"/>
      <c r="GE125" s="150"/>
      <c r="GF125" s="150"/>
      <c r="GG125" s="150"/>
      <c r="GH125" s="150"/>
      <c r="GI125" s="150"/>
      <c r="GJ125" s="150"/>
      <c r="GK125" s="150"/>
      <c r="GL125" s="150"/>
      <c r="GM125" s="150"/>
      <c r="GN125" s="150"/>
      <c r="GO125" s="150"/>
      <c r="GP125" s="150"/>
      <c r="GQ125" s="150"/>
      <c r="GR125" s="150"/>
      <c r="GS125" s="150"/>
      <c r="GT125" s="150"/>
      <c r="GU125" s="150"/>
      <c r="GV125" s="150"/>
      <c r="GW125" s="150"/>
      <c r="GX125" s="150"/>
      <c r="GY125" s="150"/>
      <c r="GZ125" s="150"/>
      <c r="HA125" s="150"/>
      <c r="HB125" s="150"/>
      <c r="HC125" s="150"/>
      <c r="HD125" s="150"/>
      <c r="HE125" s="150"/>
      <c r="HF125" s="150"/>
      <c r="HG125" s="150"/>
      <c r="HH125" s="150"/>
      <c r="HI125" s="150"/>
      <c r="HJ125" s="150"/>
      <c r="HK125" s="150"/>
      <c r="HL125" s="150"/>
      <c r="HM125" s="150"/>
      <c r="HN125" s="150"/>
      <c r="HO125" s="150"/>
      <c r="HP125" s="150"/>
      <c r="HQ125" s="150"/>
      <c r="HR125" s="150"/>
      <c r="HS125" s="150"/>
      <c r="HT125" s="150"/>
      <c r="HU125" s="150"/>
      <c r="HV125" s="150"/>
      <c r="HW125" s="150"/>
      <c r="HX125" s="150"/>
      <c r="HY125" s="150"/>
      <c r="HZ125" s="150"/>
      <c r="IA125" s="150"/>
      <c r="IB125" s="150"/>
      <c r="IC125" s="150"/>
      <c r="ID125" s="150"/>
      <c r="IE125" s="150"/>
      <c r="IF125" s="150"/>
      <c r="IG125" s="150"/>
      <c r="IH125" s="150"/>
      <c r="II125" s="150"/>
      <c r="IJ125" s="150"/>
      <c r="IK125" s="150"/>
      <c r="IL125" s="150"/>
      <c r="IM125" s="150"/>
      <c r="IN125" s="150"/>
      <c r="IO125" s="150"/>
      <c r="IP125" s="150"/>
      <c r="IQ125" s="150"/>
      <c r="IR125" s="150"/>
      <c r="IS125" s="150"/>
      <c r="IT125" s="150"/>
      <c r="IU125" s="150"/>
      <c r="IV125" s="150"/>
      <c r="IW125" s="150"/>
      <c r="IX125" s="150"/>
      <c r="IY125" s="150"/>
      <c r="IZ125" s="150"/>
      <c r="JA125" s="150"/>
      <c r="JB125" s="150"/>
      <c r="JC125" s="150"/>
      <c r="JD125" s="150"/>
      <c r="JE125" s="150"/>
      <c r="JF125" s="150"/>
      <c r="JG125" s="150"/>
      <c r="JH125" s="150"/>
      <c r="JI125" s="150"/>
      <c r="JJ125" s="150"/>
      <c r="JK125" s="150"/>
      <c r="JL125" s="150"/>
      <c r="JM125" s="150"/>
      <c r="JN125" s="150"/>
      <c r="JO125" s="150"/>
      <c r="JP125" s="150"/>
      <c r="JQ125" s="150"/>
      <c r="JR125" s="150"/>
      <c r="JS125" s="150"/>
      <c r="JT125" s="150"/>
      <c r="JU125" s="150"/>
      <c r="JV125" s="150"/>
      <c r="JW125" s="150"/>
      <c r="JX125" s="150"/>
      <c r="JY125" s="150"/>
      <c r="JZ125" s="150"/>
      <c r="KA125" s="150"/>
      <c r="KB125" s="150"/>
      <c r="KC125" s="150"/>
      <c r="KD125" s="150"/>
      <c r="KE125" s="150"/>
      <c r="KF125" s="150"/>
      <c r="KG125" s="150"/>
      <c r="KH125" s="150"/>
      <c r="KI125" s="150"/>
      <c r="KJ125" s="150"/>
      <c r="KK125" s="150"/>
      <c r="KL125" s="150"/>
      <c r="KM125" s="150"/>
      <c r="KN125" s="150"/>
      <c r="KO125" s="150"/>
      <c r="KP125" s="150"/>
      <c r="KQ125" s="150"/>
      <c r="KR125" s="150"/>
      <c r="KS125" s="150"/>
      <c r="KT125" s="150"/>
      <c r="KU125" s="150"/>
      <c r="KV125" s="150"/>
      <c r="KW125" s="150"/>
      <c r="KX125" s="150"/>
      <c r="KY125" s="150"/>
      <c r="KZ125" s="150"/>
      <c r="LA125" s="150"/>
      <c r="LB125" s="150"/>
      <c r="LC125" s="150"/>
      <c r="LD125" s="150"/>
      <c r="LE125" s="150"/>
      <c r="LF125" s="150"/>
      <c r="LG125" s="150"/>
      <c r="LH125" s="150"/>
      <c r="LI125" s="150"/>
      <c r="LJ125" s="150"/>
      <c r="LK125" s="150"/>
      <c r="LL125" s="150"/>
      <c r="LM125" s="150"/>
      <c r="LN125" s="150"/>
      <c r="LO125" s="150"/>
      <c r="LP125" s="150"/>
      <c r="LQ125" s="150"/>
      <c r="LR125" s="150"/>
      <c r="LS125" s="150"/>
      <c r="LT125" s="150"/>
      <c r="LU125" s="150"/>
      <c r="LV125" s="150"/>
      <c r="LW125" s="150"/>
      <c r="LX125" s="150"/>
      <c r="LY125" s="150"/>
      <c r="LZ125" s="150"/>
      <c r="MA125" s="150"/>
      <c r="MB125" s="150"/>
      <c r="MC125" s="150"/>
      <c r="MD125" s="150"/>
      <c r="ME125" s="150"/>
      <c r="MF125" s="150"/>
      <c r="MG125" s="150"/>
      <c r="MH125" s="150"/>
      <c r="MI125" s="150"/>
      <c r="MJ125" s="150"/>
      <c r="MK125" s="150"/>
      <c r="ML125" s="150"/>
      <c r="MM125" s="150"/>
      <c r="MN125" s="150"/>
      <c r="MO125" s="150"/>
      <c r="MP125" s="150"/>
      <c r="MQ125" s="150"/>
      <c r="MR125" s="150"/>
      <c r="MS125" s="150"/>
      <c r="MT125" s="150"/>
      <c r="MU125" s="150"/>
      <c r="MV125" s="150"/>
      <c r="MW125" s="150"/>
      <c r="MX125" s="150"/>
      <c r="MY125" s="150"/>
      <c r="MZ125" s="150"/>
      <c r="NA125" s="150"/>
      <c r="NB125" s="150"/>
      <c r="NC125" s="150"/>
      <c r="ND125" s="150"/>
      <c r="NE125" s="150"/>
      <c r="NF125" s="150"/>
      <c r="NG125" s="150"/>
      <c r="NH125" s="150"/>
      <c r="NI125" s="150"/>
      <c r="NJ125" s="150"/>
      <c r="NK125" s="150"/>
      <c r="NL125" s="150"/>
      <c r="NM125" s="150"/>
      <c r="NN125" s="150"/>
      <c r="NO125" s="150"/>
      <c r="NP125" s="150"/>
      <c r="NQ125" s="150"/>
      <c r="NR125" s="150"/>
      <c r="NS125" s="150"/>
      <c r="NT125" s="150"/>
      <c r="NU125" s="150"/>
      <c r="NV125" s="150"/>
      <c r="NW125" s="150"/>
      <c r="NX125" s="150"/>
      <c r="NY125" s="150"/>
      <c r="NZ125" s="150"/>
      <c r="OA125" s="150"/>
      <c r="OB125" s="150"/>
      <c r="OC125" s="150"/>
      <c r="OD125" s="150"/>
      <c r="OE125" s="150"/>
    </row>
    <row r="126" spans="1:395" ht="15">
      <c r="A126" s="19"/>
      <c r="B126" s="17"/>
      <c r="C126" s="187">
        <v>2035</v>
      </c>
      <c r="D126" s="187">
        <v>62</v>
      </c>
      <c r="E126" s="187">
        <v>101</v>
      </c>
      <c r="F126" s="187">
        <v>148</v>
      </c>
      <c r="G126" s="187">
        <v>144</v>
      </c>
      <c r="H126" s="187">
        <v>101</v>
      </c>
      <c r="I126" s="187">
        <v>223</v>
      </c>
      <c r="J126" s="187">
        <v>93</v>
      </c>
      <c r="K126" s="187">
        <v>88</v>
      </c>
      <c r="L126" s="187">
        <v>165</v>
      </c>
      <c r="M126" s="187">
        <v>91</v>
      </c>
      <c r="N126" s="187">
        <v>88</v>
      </c>
      <c r="O126" s="187">
        <v>163</v>
      </c>
      <c r="P126" s="187">
        <v>99</v>
      </c>
      <c r="Q126" s="187">
        <v>101</v>
      </c>
      <c r="R126" s="187">
        <v>182</v>
      </c>
      <c r="S126" s="187">
        <v>99</v>
      </c>
      <c r="T126" s="187">
        <v>101</v>
      </c>
      <c r="U126" s="187">
        <v>182</v>
      </c>
      <c r="V126" s="187">
        <v>117</v>
      </c>
      <c r="W126" s="187">
        <v>304</v>
      </c>
      <c r="X126" s="187">
        <v>382</v>
      </c>
      <c r="Y126" s="187">
        <v>101</v>
      </c>
      <c r="Z126" s="187">
        <v>215</v>
      </c>
      <c r="AA126" s="187">
        <v>287</v>
      </c>
      <c r="AB126" s="187">
        <v>106</v>
      </c>
      <c r="AC126" s="187">
        <v>152</v>
      </c>
      <c r="AD126" s="187">
        <v>234</v>
      </c>
      <c r="AE126" s="187">
        <v>112</v>
      </c>
      <c r="AF126" s="187">
        <v>63</v>
      </c>
      <c r="AG126" s="187">
        <v>159</v>
      </c>
      <c r="AH126" s="187">
        <v>96</v>
      </c>
      <c r="AI126" s="187">
        <v>253</v>
      </c>
      <c r="AJ126" s="187">
        <v>317</v>
      </c>
      <c r="AK126" s="187">
        <v>95</v>
      </c>
      <c r="AL126" s="187">
        <v>101</v>
      </c>
      <c r="AM126" s="187">
        <v>178</v>
      </c>
      <c r="AN126" s="187">
        <v>104</v>
      </c>
      <c r="AO126" s="187">
        <v>76</v>
      </c>
      <c r="AP126" s="187">
        <v>164</v>
      </c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  <c r="BI126" s="150"/>
      <c r="BJ126" s="150"/>
      <c r="BK126" s="150"/>
      <c r="BL126" s="150"/>
      <c r="BM126" s="150"/>
      <c r="BN126" s="150"/>
      <c r="BO126" s="150"/>
      <c r="BP126" s="150"/>
      <c r="BQ126" s="150"/>
      <c r="BR126" s="150"/>
      <c r="BS126" s="150"/>
      <c r="BT126" s="150"/>
      <c r="BU126" s="150"/>
      <c r="BV126" s="150"/>
      <c r="BW126" s="150"/>
      <c r="BX126" s="150"/>
      <c r="BY126" s="150"/>
      <c r="BZ126" s="150"/>
      <c r="CA126" s="150"/>
      <c r="CB126" s="150"/>
      <c r="CC126" s="150"/>
      <c r="CD126" s="150"/>
      <c r="CE126" s="150"/>
      <c r="CF126" s="150"/>
      <c r="CG126" s="150"/>
      <c r="CH126" s="150"/>
      <c r="CI126" s="150"/>
      <c r="CJ126" s="150"/>
      <c r="CK126" s="150"/>
      <c r="CL126" s="150"/>
      <c r="CM126" s="150"/>
      <c r="CN126" s="150"/>
      <c r="CO126" s="150"/>
      <c r="CP126" s="150"/>
      <c r="CQ126" s="150"/>
      <c r="CR126" s="150"/>
      <c r="CS126" s="150"/>
      <c r="CT126" s="150"/>
      <c r="CU126" s="150"/>
      <c r="CV126" s="150"/>
      <c r="CW126" s="150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  <c r="EC126" s="150"/>
      <c r="ED126" s="150"/>
      <c r="EE126" s="150"/>
      <c r="EF126" s="150"/>
      <c r="EG126" s="150"/>
      <c r="EH126" s="150"/>
      <c r="EI126" s="150"/>
      <c r="EJ126" s="150"/>
      <c r="EK126" s="150"/>
      <c r="EL126" s="150"/>
      <c r="EM126" s="150"/>
      <c r="EN126" s="150"/>
      <c r="EO126" s="150"/>
      <c r="EP126" s="150"/>
      <c r="EQ126" s="150"/>
      <c r="ER126" s="150"/>
      <c r="ES126" s="150"/>
      <c r="ET126" s="150"/>
      <c r="EU126" s="150"/>
      <c r="EV126" s="150"/>
      <c r="EW126" s="150"/>
      <c r="EX126" s="150"/>
      <c r="EY126" s="150"/>
      <c r="EZ126" s="150"/>
      <c r="FA126" s="150"/>
      <c r="FB126" s="150"/>
      <c r="FC126" s="150"/>
      <c r="FD126" s="150"/>
      <c r="FE126" s="150"/>
      <c r="FF126" s="150"/>
      <c r="FG126" s="150"/>
      <c r="FH126" s="150"/>
      <c r="FI126" s="150"/>
      <c r="FJ126" s="150"/>
      <c r="FK126" s="150"/>
      <c r="FL126" s="150"/>
      <c r="FM126" s="150"/>
      <c r="FN126" s="150"/>
      <c r="FO126" s="150"/>
      <c r="FP126" s="150"/>
      <c r="FQ126" s="150"/>
      <c r="FR126" s="150"/>
      <c r="FS126" s="150"/>
      <c r="FT126" s="150"/>
      <c r="FU126" s="150"/>
      <c r="FV126" s="150"/>
      <c r="FW126" s="150"/>
      <c r="FX126" s="150"/>
      <c r="FY126" s="150"/>
      <c r="FZ126" s="150"/>
      <c r="GA126" s="150"/>
      <c r="GB126" s="150"/>
      <c r="GC126" s="150"/>
      <c r="GD126" s="150"/>
      <c r="GE126" s="150"/>
      <c r="GF126" s="150"/>
      <c r="GG126" s="150"/>
      <c r="GH126" s="150"/>
      <c r="GI126" s="150"/>
      <c r="GJ126" s="150"/>
      <c r="GK126" s="150"/>
      <c r="GL126" s="150"/>
      <c r="GM126" s="150"/>
      <c r="GN126" s="150"/>
      <c r="GO126" s="150"/>
      <c r="GP126" s="150"/>
      <c r="GQ126" s="150"/>
      <c r="GR126" s="150"/>
      <c r="GS126" s="150"/>
      <c r="GT126" s="150"/>
      <c r="GU126" s="150"/>
      <c r="GV126" s="150"/>
      <c r="GW126" s="150"/>
      <c r="GX126" s="150"/>
      <c r="GY126" s="150"/>
      <c r="GZ126" s="150"/>
      <c r="HA126" s="150"/>
      <c r="HB126" s="150"/>
      <c r="HC126" s="150"/>
      <c r="HD126" s="150"/>
      <c r="HE126" s="150"/>
      <c r="HF126" s="150"/>
      <c r="HG126" s="150"/>
      <c r="HH126" s="150"/>
      <c r="HI126" s="150"/>
      <c r="HJ126" s="150"/>
      <c r="HK126" s="150"/>
      <c r="HL126" s="150"/>
      <c r="HM126" s="150"/>
      <c r="HN126" s="150"/>
      <c r="HO126" s="150"/>
      <c r="HP126" s="150"/>
      <c r="HQ126" s="150"/>
      <c r="HR126" s="150"/>
      <c r="HS126" s="150"/>
      <c r="HT126" s="150"/>
      <c r="HU126" s="150"/>
      <c r="HV126" s="150"/>
      <c r="HW126" s="150"/>
      <c r="HX126" s="150"/>
      <c r="HY126" s="150"/>
      <c r="HZ126" s="150"/>
      <c r="IA126" s="150"/>
      <c r="IB126" s="150"/>
      <c r="IC126" s="150"/>
      <c r="ID126" s="150"/>
      <c r="IE126" s="150"/>
      <c r="IF126" s="150"/>
      <c r="IG126" s="150"/>
      <c r="IH126" s="150"/>
      <c r="II126" s="150"/>
      <c r="IJ126" s="150"/>
      <c r="IK126" s="150"/>
      <c r="IL126" s="150"/>
      <c r="IM126" s="150"/>
      <c r="IN126" s="150"/>
      <c r="IO126" s="150"/>
      <c r="IP126" s="150"/>
      <c r="IQ126" s="150"/>
      <c r="IR126" s="150"/>
      <c r="IS126" s="150"/>
      <c r="IT126" s="150"/>
      <c r="IU126" s="150"/>
      <c r="IV126" s="150"/>
      <c r="IW126" s="150"/>
      <c r="IX126" s="150"/>
      <c r="IY126" s="150"/>
      <c r="IZ126" s="150"/>
      <c r="JA126" s="150"/>
      <c r="JB126" s="150"/>
      <c r="JC126" s="150"/>
      <c r="JD126" s="150"/>
      <c r="JE126" s="150"/>
      <c r="JF126" s="150"/>
      <c r="JG126" s="150"/>
      <c r="JH126" s="150"/>
      <c r="JI126" s="150"/>
      <c r="JJ126" s="150"/>
      <c r="JK126" s="150"/>
      <c r="JL126" s="150"/>
      <c r="JM126" s="150"/>
      <c r="JN126" s="150"/>
      <c r="JO126" s="150"/>
      <c r="JP126" s="150"/>
      <c r="JQ126" s="150"/>
      <c r="JR126" s="150"/>
      <c r="JS126" s="150"/>
      <c r="JT126" s="150"/>
      <c r="JU126" s="150"/>
      <c r="JV126" s="150"/>
      <c r="JW126" s="150"/>
      <c r="JX126" s="150"/>
      <c r="JY126" s="150"/>
      <c r="JZ126" s="150"/>
      <c r="KA126" s="150"/>
      <c r="KB126" s="150"/>
      <c r="KC126" s="150"/>
      <c r="KD126" s="150"/>
      <c r="KE126" s="150"/>
      <c r="KF126" s="150"/>
      <c r="KG126" s="150"/>
      <c r="KH126" s="150"/>
      <c r="KI126" s="150"/>
      <c r="KJ126" s="150"/>
      <c r="KK126" s="150"/>
      <c r="KL126" s="150"/>
      <c r="KM126" s="150"/>
      <c r="KN126" s="150"/>
      <c r="KO126" s="150"/>
      <c r="KP126" s="150"/>
      <c r="KQ126" s="150"/>
      <c r="KR126" s="150"/>
      <c r="KS126" s="150"/>
      <c r="KT126" s="150"/>
      <c r="KU126" s="150"/>
      <c r="KV126" s="150"/>
      <c r="KW126" s="150"/>
      <c r="KX126" s="150"/>
      <c r="KY126" s="150"/>
      <c r="KZ126" s="150"/>
      <c r="LA126" s="150"/>
      <c r="LB126" s="150"/>
      <c r="LC126" s="150"/>
      <c r="LD126" s="150"/>
      <c r="LE126" s="150"/>
      <c r="LF126" s="150"/>
      <c r="LG126" s="150"/>
      <c r="LH126" s="150"/>
      <c r="LI126" s="150"/>
      <c r="LJ126" s="150"/>
      <c r="LK126" s="150"/>
      <c r="LL126" s="150"/>
      <c r="LM126" s="150"/>
      <c r="LN126" s="150"/>
      <c r="LO126" s="150"/>
      <c r="LP126" s="150"/>
      <c r="LQ126" s="150"/>
      <c r="LR126" s="150"/>
      <c r="LS126" s="150"/>
      <c r="LT126" s="150"/>
      <c r="LU126" s="150"/>
      <c r="LV126" s="150"/>
      <c r="LW126" s="150"/>
      <c r="LX126" s="150"/>
      <c r="LY126" s="150"/>
      <c r="LZ126" s="150"/>
      <c r="MA126" s="150"/>
      <c r="MB126" s="150"/>
      <c r="MC126" s="150"/>
      <c r="MD126" s="150"/>
      <c r="ME126" s="150"/>
      <c r="MF126" s="150"/>
      <c r="MG126" s="150"/>
      <c r="MH126" s="150"/>
      <c r="MI126" s="150"/>
      <c r="MJ126" s="150"/>
      <c r="MK126" s="150"/>
      <c r="ML126" s="150"/>
      <c r="MM126" s="150"/>
      <c r="MN126" s="150"/>
      <c r="MO126" s="150"/>
      <c r="MP126" s="150"/>
      <c r="MQ126" s="150"/>
      <c r="MR126" s="150"/>
      <c r="MS126" s="150"/>
      <c r="MT126" s="150"/>
      <c r="MU126" s="150"/>
      <c r="MV126" s="150"/>
      <c r="MW126" s="150"/>
      <c r="MX126" s="150"/>
      <c r="MY126" s="150"/>
      <c r="MZ126" s="150"/>
      <c r="NA126" s="150"/>
      <c r="NB126" s="150"/>
      <c r="NC126" s="150"/>
      <c r="ND126" s="150"/>
      <c r="NE126" s="150"/>
      <c r="NF126" s="150"/>
      <c r="NG126" s="150"/>
      <c r="NH126" s="150"/>
      <c r="NI126" s="150"/>
      <c r="NJ126" s="150"/>
      <c r="NK126" s="150"/>
      <c r="NL126" s="150"/>
      <c r="NM126" s="150"/>
      <c r="NN126" s="150"/>
      <c r="NO126" s="150"/>
      <c r="NP126" s="150"/>
      <c r="NQ126" s="150"/>
      <c r="NR126" s="150"/>
      <c r="NS126" s="150"/>
      <c r="NT126" s="150"/>
      <c r="NU126" s="150"/>
      <c r="NV126" s="150"/>
      <c r="NW126" s="150"/>
      <c r="NX126" s="150"/>
      <c r="NY126" s="150"/>
      <c r="NZ126" s="150"/>
      <c r="OA126" s="150"/>
      <c r="OB126" s="150"/>
      <c r="OC126" s="150"/>
      <c r="OD126" s="150"/>
      <c r="OE126" s="150"/>
    </row>
    <row r="127" spans="1:395" ht="15">
      <c r="A127" s="19"/>
      <c r="B127" s="17"/>
      <c r="C127" s="187">
        <v>2036</v>
      </c>
      <c r="D127" s="187">
        <v>59</v>
      </c>
      <c r="E127" s="187">
        <v>96</v>
      </c>
      <c r="F127" s="187">
        <v>141</v>
      </c>
      <c r="G127" s="187">
        <v>137</v>
      </c>
      <c r="H127" s="187">
        <v>96</v>
      </c>
      <c r="I127" s="187">
        <v>212</v>
      </c>
      <c r="J127" s="187">
        <v>88</v>
      </c>
      <c r="K127" s="187">
        <v>84</v>
      </c>
      <c r="L127" s="187">
        <v>157</v>
      </c>
      <c r="M127" s="187">
        <v>87</v>
      </c>
      <c r="N127" s="187">
        <v>84</v>
      </c>
      <c r="O127" s="187">
        <v>155</v>
      </c>
      <c r="P127" s="187">
        <v>94</v>
      </c>
      <c r="Q127" s="187">
        <v>96</v>
      </c>
      <c r="R127" s="187">
        <v>173</v>
      </c>
      <c r="S127" s="187">
        <v>94</v>
      </c>
      <c r="T127" s="187">
        <v>96</v>
      </c>
      <c r="U127" s="187">
        <v>173</v>
      </c>
      <c r="V127" s="187">
        <v>111</v>
      </c>
      <c r="W127" s="187">
        <v>288</v>
      </c>
      <c r="X127" s="187">
        <v>363</v>
      </c>
      <c r="Y127" s="187">
        <v>96</v>
      </c>
      <c r="Z127" s="187">
        <v>204</v>
      </c>
      <c r="AA127" s="187">
        <v>273</v>
      </c>
      <c r="AB127" s="187">
        <v>101</v>
      </c>
      <c r="AC127" s="187">
        <v>144</v>
      </c>
      <c r="AD127" s="187">
        <v>223</v>
      </c>
      <c r="AE127" s="187">
        <v>106</v>
      </c>
      <c r="AF127" s="187">
        <v>60</v>
      </c>
      <c r="AG127" s="187">
        <v>151</v>
      </c>
      <c r="AH127" s="187">
        <v>91</v>
      </c>
      <c r="AI127" s="187">
        <v>240</v>
      </c>
      <c r="AJ127" s="187">
        <v>302</v>
      </c>
      <c r="AK127" s="187">
        <v>90</v>
      </c>
      <c r="AL127" s="187">
        <v>96</v>
      </c>
      <c r="AM127" s="187">
        <v>169</v>
      </c>
      <c r="AN127" s="187">
        <v>99</v>
      </c>
      <c r="AO127" s="187">
        <v>72</v>
      </c>
      <c r="AP127" s="187">
        <v>155</v>
      </c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  <c r="BI127" s="150"/>
      <c r="BJ127" s="150"/>
      <c r="BK127" s="150"/>
      <c r="BL127" s="150"/>
      <c r="BM127" s="150"/>
      <c r="BN127" s="150"/>
      <c r="BO127" s="150"/>
      <c r="BP127" s="150"/>
      <c r="BQ127" s="150"/>
      <c r="BR127" s="150"/>
      <c r="BS127" s="150"/>
      <c r="BT127" s="150"/>
      <c r="BU127" s="150"/>
      <c r="BV127" s="150"/>
      <c r="BW127" s="150"/>
      <c r="BX127" s="150"/>
      <c r="BY127" s="150"/>
      <c r="BZ127" s="150"/>
      <c r="CA127" s="150"/>
      <c r="CB127" s="150"/>
      <c r="CC127" s="150"/>
      <c r="CD127" s="150"/>
      <c r="CE127" s="150"/>
      <c r="CF127" s="150"/>
      <c r="CG127" s="150"/>
      <c r="CH127" s="150"/>
      <c r="CI127" s="150"/>
      <c r="CJ127" s="150"/>
      <c r="CK127" s="150"/>
      <c r="CL127" s="150"/>
      <c r="CM127" s="150"/>
      <c r="CN127" s="150"/>
      <c r="CO127" s="150"/>
      <c r="CP127" s="150"/>
      <c r="CQ127" s="150"/>
      <c r="CR127" s="150"/>
      <c r="CS127" s="150"/>
      <c r="CT127" s="150"/>
      <c r="CU127" s="150"/>
      <c r="CV127" s="150"/>
      <c r="CW127" s="150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150"/>
      <c r="DO127" s="150"/>
      <c r="DP127" s="150"/>
      <c r="DQ127" s="150"/>
      <c r="DR127" s="150"/>
      <c r="DS127" s="150"/>
      <c r="DT127" s="150"/>
      <c r="DU127" s="150"/>
      <c r="DV127" s="150"/>
      <c r="DW127" s="150"/>
      <c r="DX127" s="150"/>
      <c r="DY127" s="150"/>
      <c r="DZ127" s="150"/>
      <c r="EA127" s="150"/>
      <c r="EB127" s="150"/>
      <c r="EC127" s="150"/>
      <c r="ED127" s="150"/>
      <c r="EE127" s="150"/>
      <c r="EF127" s="150"/>
      <c r="EG127" s="150"/>
      <c r="EH127" s="150"/>
      <c r="EI127" s="150"/>
      <c r="EJ127" s="150"/>
      <c r="EK127" s="150"/>
      <c r="EL127" s="150"/>
      <c r="EM127" s="150"/>
      <c r="EN127" s="150"/>
      <c r="EO127" s="150"/>
      <c r="EP127" s="150"/>
      <c r="EQ127" s="150"/>
      <c r="ER127" s="150"/>
      <c r="ES127" s="150"/>
      <c r="ET127" s="150"/>
      <c r="EU127" s="150"/>
      <c r="EV127" s="150"/>
      <c r="EW127" s="150"/>
      <c r="EX127" s="150"/>
      <c r="EY127" s="150"/>
      <c r="EZ127" s="150"/>
      <c r="FA127" s="150"/>
      <c r="FB127" s="150"/>
      <c r="FC127" s="150"/>
      <c r="FD127" s="150"/>
      <c r="FE127" s="150"/>
      <c r="FF127" s="150"/>
      <c r="FG127" s="150"/>
      <c r="FH127" s="150"/>
      <c r="FI127" s="150"/>
      <c r="FJ127" s="150"/>
      <c r="FK127" s="150"/>
      <c r="FL127" s="150"/>
      <c r="FM127" s="150"/>
      <c r="FN127" s="150"/>
      <c r="FO127" s="150"/>
      <c r="FP127" s="150"/>
      <c r="FQ127" s="150"/>
      <c r="FR127" s="150"/>
      <c r="FS127" s="150"/>
      <c r="FT127" s="150"/>
      <c r="FU127" s="150"/>
      <c r="FV127" s="150"/>
      <c r="FW127" s="150"/>
      <c r="FX127" s="150"/>
      <c r="FY127" s="150"/>
      <c r="FZ127" s="150"/>
      <c r="GA127" s="150"/>
      <c r="GB127" s="150"/>
      <c r="GC127" s="150"/>
      <c r="GD127" s="150"/>
      <c r="GE127" s="150"/>
      <c r="GF127" s="150"/>
      <c r="GG127" s="150"/>
      <c r="GH127" s="150"/>
      <c r="GI127" s="150"/>
      <c r="GJ127" s="150"/>
      <c r="GK127" s="150"/>
      <c r="GL127" s="150"/>
      <c r="GM127" s="150"/>
      <c r="GN127" s="150"/>
      <c r="GO127" s="150"/>
      <c r="GP127" s="150"/>
      <c r="GQ127" s="150"/>
      <c r="GR127" s="150"/>
      <c r="GS127" s="150"/>
      <c r="GT127" s="150"/>
      <c r="GU127" s="150"/>
      <c r="GV127" s="150"/>
      <c r="GW127" s="150"/>
      <c r="GX127" s="150"/>
      <c r="GY127" s="150"/>
      <c r="GZ127" s="150"/>
      <c r="HA127" s="150"/>
      <c r="HB127" s="150"/>
      <c r="HC127" s="150"/>
      <c r="HD127" s="150"/>
      <c r="HE127" s="150"/>
      <c r="HF127" s="150"/>
      <c r="HG127" s="150"/>
      <c r="HH127" s="150"/>
      <c r="HI127" s="150"/>
      <c r="HJ127" s="150"/>
      <c r="HK127" s="150"/>
      <c r="HL127" s="150"/>
      <c r="HM127" s="150"/>
      <c r="HN127" s="150"/>
      <c r="HO127" s="150"/>
      <c r="HP127" s="150"/>
      <c r="HQ127" s="150"/>
      <c r="HR127" s="150"/>
      <c r="HS127" s="150"/>
      <c r="HT127" s="150"/>
      <c r="HU127" s="150"/>
      <c r="HV127" s="150"/>
      <c r="HW127" s="150"/>
      <c r="HX127" s="150"/>
      <c r="HY127" s="150"/>
      <c r="HZ127" s="150"/>
      <c r="IA127" s="150"/>
      <c r="IB127" s="150"/>
      <c r="IC127" s="150"/>
      <c r="ID127" s="150"/>
      <c r="IE127" s="150"/>
      <c r="IF127" s="150"/>
      <c r="IG127" s="150"/>
      <c r="IH127" s="150"/>
      <c r="II127" s="150"/>
      <c r="IJ127" s="150"/>
      <c r="IK127" s="150"/>
      <c r="IL127" s="150"/>
      <c r="IM127" s="150"/>
      <c r="IN127" s="150"/>
      <c r="IO127" s="150"/>
      <c r="IP127" s="150"/>
      <c r="IQ127" s="150"/>
      <c r="IR127" s="150"/>
      <c r="IS127" s="150"/>
      <c r="IT127" s="150"/>
      <c r="IU127" s="150"/>
      <c r="IV127" s="150"/>
      <c r="IW127" s="150"/>
      <c r="IX127" s="150"/>
      <c r="IY127" s="150"/>
      <c r="IZ127" s="150"/>
      <c r="JA127" s="150"/>
      <c r="JB127" s="150"/>
      <c r="JC127" s="150"/>
      <c r="JD127" s="150"/>
      <c r="JE127" s="150"/>
      <c r="JF127" s="150"/>
      <c r="JG127" s="150"/>
      <c r="JH127" s="150"/>
      <c r="JI127" s="150"/>
      <c r="JJ127" s="150"/>
      <c r="JK127" s="150"/>
      <c r="JL127" s="150"/>
      <c r="JM127" s="150"/>
      <c r="JN127" s="150"/>
      <c r="JO127" s="150"/>
      <c r="JP127" s="150"/>
      <c r="JQ127" s="150"/>
      <c r="JR127" s="150"/>
      <c r="JS127" s="150"/>
      <c r="JT127" s="150"/>
      <c r="JU127" s="150"/>
      <c r="JV127" s="150"/>
      <c r="JW127" s="150"/>
      <c r="JX127" s="150"/>
      <c r="JY127" s="150"/>
      <c r="JZ127" s="150"/>
      <c r="KA127" s="150"/>
      <c r="KB127" s="150"/>
      <c r="KC127" s="150"/>
      <c r="KD127" s="150"/>
      <c r="KE127" s="150"/>
      <c r="KF127" s="150"/>
      <c r="KG127" s="150"/>
      <c r="KH127" s="150"/>
      <c r="KI127" s="150"/>
      <c r="KJ127" s="150"/>
      <c r="KK127" s="150"/>
      <c r="KL127" s="150"/>
      <c r="KM127" s="150"/>
      <c r="KN127" s="150"/>
      <c r="KO127" s="150"/>
      <c r="KP127" s="150"/>
      <c r="KQ127" s="150"/>
      <c r="KR127" s="150"/>
      <c r="KS127" s="150"/>
      <c r="KT127" s="150"/>
      <c r="KU127" s="150"/>
      <c r="KV127" s="150"/>
      <c r="KW127" s="150"/>
      <c r="KX127" s="150"/>
      <c r="KY127" s="150"/>
      <c r="KZ127" s="150"/>
      <c r="LA127" s="150"/>
      <c r="LB127" s="150"/>
      <c r="LC127" s="150"/>
      <c r="LD127" s="150"/>
      <c r="LE127" s="150"/>
      <c r="LF127" s="150"/>
      <c r="LG127" s="150"/>
      <c r="LH127" s="150"/>
      <c r="LI127" s="150"/>
      <c r="LJ127" s="150"/>
      <c r="LK127" s="150"/>
      <c r="LL127" s="150"/>
      <c r="LM127" s="150"/>
      <c r="LN127" s="150"/>
      <c r="LO127" s="150"/>
      <c r="LP127" s="150"/>
      <c r="LQ127" s="150"/>
      <c r="LR127" s="150"/>
      <c r="LS127" s="150"/>
      <c r="LT127" s="150"/>
      <c r="LU127" s="150"/>
      <c r="LV127" s="150"/>
      <c r="LW127" s="150"/>
      <c r="LX127" s="150"/>
      <c r="LY127" s="150"/>
      <c r="LZ127" s="150"/>
      <c r="MA127" s="150"/>
      <c r="MB127" s="150"/>
      <c r="MC127" s="150"/>
      <c r="MD127" s="150"/>
      <c r="ME127" s="150"/>
      <c r="MF127" s="150"/>
      <c r="MG127" s="150"/>
      <c r="MH127" s="150"/>
      <c r="MI127" s="150"/>
      <c r="MJ127" s="150"/>
      <c r="MK127" s="150"/>
      <c r="ML127" s="150"/>
      <c r="MM127" s="150"/>
      <c r="MN127" s="150"/>
      <c r="MO127" s="150"/>
      <c r="MP127" s="150"/>
      <c r="MQ127" s="150"/>
      <c r="MR127" s="150"/>
      <c r="MS127" s="150"/>
      <c r="MT127" s="150"/>
      <c r="MU127" s="150"/>
      <c r="MV127" s="150"/>
      <c r="MW127" s="150"/>
      <c r="MX127" s="150"/>
      <c r="MY127" s="150"/>
      <c r="MZ127" s="150"/>
      <c r="NA127" s="150"/>
      <c r="NB127" s="150"/>
      <c r="NC127" s="150"/>
      <c r="ND127" s="150"/>
      <c r="NE127" s="150"/>
      <c r="NF127" s="150"/>
      <c r="NG127" s="150"/>
      <c r="NH127" s="150"/>
      <c r="NI127" s="150"/>
      <c r="NJ127" s="150"/>
      <c r="NK127" s="150"/>
      <c r="NL127" s="150"/>
      <c r="NM127" s="150"/>
      <c r="NN127" s="150"/>
      <c r="NO127" s="150"/>
      <c r="NP127" s="150"/>
      <c r="NQ127" s="150"/>
      <c r="NR127" s="150"/>
      <c r="NS127" s="150"/>
      <c r="NT127" s="150"/>
      <c r="NU127" s="150"/>
      <c r="NV127" s="150"/>
      <c r="NW127" s="150"/>
      <c r="NX127" s="150"/>
      <c r="NY127" s="150"/>
      <c r="NZ127" s="150"/>
      <c r="OA127" s="150"/>
      <c r="OB127" s="150"/>
      <c r="OC127" s="150"/>
      <c r="OD127" s="150"/>
      <c r="OE127" s="150"/>
    </row>
    <row r="128" spans="1:395" ht="15">
      <c r="A128" s="19"/>
      <c r="B128" s="17"/>
      <c r="C128" s="187">
        <v>2037</v>
      </c>
      <c r="D128" s="187">
        <v>56</v>
      </c>
      <c r="E128" s="187">
        <v>91</v>
      </c>
      <c r="F128" s="187">
        <v>134</v>
      </c>
      <c r="G128" s="187">
        <v>130</v>
      </c>
      <c r="H128" s="187">
        <v>91</v>
      </c>
      <c r="I128" s="187">
        <v>201</v>
      </c>
      <c r="J128" s="187">
        <v>84</v>
      </c>
      <c r="K128" s="187">
        <v>80</v>
      </c>
      <c r="L128" s="187">
        <v>148</v>
      </c>
      <c r="M128" s="187">
        <v>82</v>
      </c>
      <c r="N128" s="187">
        <v>80</v>
      </c>
      <c r="O128" s="187">
        <v>147</v>
      </c>
      <c r="P128" s="187">
        <v>89</v>
      </c>
      <c r="Q128" s="187">
        <v>91</v>
      </c>
      <c r="R128" s="187">
        <v>164</v>
      </c>
      <c r="S128" s="187">
        <v>89</v>
      </c>
      <c r="T128" s="187">
        <v>91</v>
      </c>
      <c r="U128" s="187">
        <v>164</v>
      </c>
      <c r="V128" s="187">
        <v>105</v>
      </c>
      <c r="W128" s="187">
        <v>273</v>
      </c>
      <c r="X128" s="187">
        <v>344</v>
      </c>
      <c r="Y128" s="187">
        <v>91</v>
      </c>
      <c r="Z128" s="187">
        <v>194</v>
      </c>
      <c r="AA128" s="187">
        <v>258</v>
      </c>
      <c r="AB128" s="187">
        <v>95</v>
      </c>
      <c r="AC128" s="187">
        <v>137</v>
      </c>
      <c r="AD128" s="187">
        <v>211</v>
      </c>
      <c r="AE128" s="187">
        <v>101</v>
      </c>
      <c r="AF128" s="187">
        <v>57</v>
      </c>
      <c r="AG128" s="187">
        <v>143</v>
      </c>
      <c r="AH128" s="187">
        <v>86</v>
      </c>
      <c r="AI128" s="187">
        <v>228</v>
      </c>
      <c r="AJ128" s="187">
        <v>286</v>
      </c>
      <c r="AK128" s="187">
        <v>85</v>
      </c>
      <c r="AL128" s="187">
        <v>91</v>
      </c>
      <c r="AM128" s="187">
        <v>160</v>
      </c>
      <c r="AN128" s="187">
        <v>94</v>
      </c>
      <c r="AO128" s="187">
        <v>68</v>
      </c>
      <c r="AP128" s="187">
        <v>147</v>
      </c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  <c r="BI128" s="150"/>
      <c r="BJ128" s="150"/>
      <c r="BK128" s="150"/>
      <c r="BL128" s="150"/>
      <c r="BM128" s="150"/>
      <c r="BN128" s="150"/>
      <c r="BO128" s="150"/>
      <c r="BP128" s="150"/>
      <c r="BQ128" s="150"/>
      <c r="BR128" s="150"/>
      <c r="BS128" s="150"/>
      <c r="BT128" s="150"/>
      <c r="BU128" s="150"/>
      <c r="BV128" s="150"/>
      <c r="BW128" s="150"/>
      <c r="BX128" s="150"/>
      <c r="BY128" s="150"/>
      <c r="BZ128" s="150"/>
      <c r="CA128" s="150"/>
      <c r="CB128" s="150"/>
      <c r="CC128" s="150"/>
      <c r="CD128" s="150"/>
      <c r="CE128" s="150"/>
      <c r="CF128" s="150"/>
      <c r="CG128" s="150"/>
      <c r="CH128" s="150"/>
      <c r="CI128" s="150"/>
      <c r="CJ128" s="150"/>
      <c r="CK128" s="150"/>
      <c r="CL128" s="150"/>
      <c r="CM128" s="150"/>
      <c r="CN128" s="150"/>
      <c r="CO128" s="150"/>
      <c r="CP128" s="150"/>
      <c r="CQ128" s="150"/>
      <c r="CR128" s="150"/>
      <c r="CS128" s="150"/>
      <c r="CT128" s="150"/>
      <c r="CU128" s="150"/>
      <c r="CV128" s="150"/>
      <c r="CW128" s="150"/>
      <c r="CX128" s="150"/>
      <c r="CY128" s="150"/>
      <c r="CZ128" s="150"/>
      <c r="DA128" s="150"/>
      <c r="DB128" s="150"/>
      <c r="DC128" s="150"/>
      <c r="DD128" s="150"/>
      <c r="DE128" s="150"/>
      <c r="DF128" s="150"/>
      <c r="DG128" s="150"/>
      <c r="DH128" s="150"/>
      <c r="DI128" s="150"/>
      <c r="DJ128" s="150"/>
      <c r="DK128" s="150"/>
      <c r="DL128" s="150"/>
      <c r="DM128" s="150"/>
      <c r="DN128" s="150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150"/>
      <c r="EA128" s="150"/>
      <c r="EB128" s="150"/>
      <c r="EC128" s="150"/>
      <c r="ED128" s="150"/>
      <c r="EE128" s="150"/>
      <c r="EF128" s="150"/>
      <c r="EG128" s="150"/>
      <c r="EH128" s="150"/>
      <c r="EI128" s="150"/>
      <c r="EJ128" s="150"/>
      <c r="EK128" s="150"/>
      <c r="EL128" s="150"/>
      <c r="EM128" s="150"/>
      <c r="EN128" s="150"/>
      <c r="EO128" s="150"/>
      <c r="EP128" s="150"/>
      <c r="EQ128" s="150"/>
      <c r="ER128" s="150"/>
      <c r="ES128" s="150"/>
      <c r="ET128" s="150"/>
      <c r="EU128" s="150"/>
      <c r="EV128" s="150"/>
      <c r="EW128" s="150"/>
      <c r="EX128" s="150"/>
      <c r="EY128" s="150"/>
      <c r="EZ128" s="150"/>
      <c r="FA128" s="150"/>
      <c r="FB128" s="150"/>
      <c r="FC128" s="150"/>
      <c r="FD128" s="150"/>
      <c r="FE128" s="150"/>
      <c r="FF128" s="150"/>
      <c r="FG128" s="150"/>
      <c r="FH128" s="150"/>
      <c r="FI128" s="150"/>
      <c r="FJ128" s="150"/>
      <c r="FK128" s="150"/>
      <c r="FL128" s="150"/>
      <c r="FM128" s="150"/>
      <c r="FN128" s="150"/>
      <c r="FO128" s="150"/>
      <c r="FP128" s="150"/>
      <c r="FQ128" s="150"/>
      <c r="FR128" s="150"/>
      <c r="FS128" s="150"/>
      <c r="FT128" s="150"/>
      <c r="FU128" s="150"/>
      <c r="FV128" s="150"/>
      <c r="FW128" s="150"/>
      <c r="FX128" s="150"/>
      <c r="FY128" s="150"/>
      <c r="FZ128" s="150"/>
      <c r="GA128" s="150"/>
      <c r="GB128" s="150"/>
      <c r="GC128" s="150"/>
      <c r="GD128" s="150"/>
      <c r="GE128" s="150"/>
      <c r="GF128" s="150"/>
      <c r="GG128" s="150"/>
      <c r="GH128" s="150"/>
      <c r="GI128" s="150"/>
      <c r="GJ128" s="150"/>
      <c r="GK128" s="150"/>
      <c r="GL128" s="150"/>
      <c r="GM128" s="150"/>
      <c r="GN128" s="150"/>
      <c r="GO128" s="150"/>
      <c r="GP128" s="150"/>
      <c r="GQ128" s="150"/>
      <c r="GR128" s="150"/>
      <c r="GS128" s="150"/>
      <c r="GT128" s="150"/>
      <c r="GU128" s="150"/>
      <c r="GV128" s="150"/>
      <c r="GW128" s="150"/>
      <c r="GX128" s="150"/>
      <c r="GY128" s="150"/>
      <c r="GZ128" s="150"/>
      <c r="HA128" s="150"/>
      <c r="HB128" s="150"/>
      <c r="HC128" s="150"/>
      <c r="HD128" s="150"/>
      <c r="HE128" s="150"/>
      <c r="HF128" s="150"/>
      <c r="HG128" s="150"/>
      <c r="HH128" s="150"/>
      <c r="HI128" s="150"/>
      <c r="HJ128" s="150"/>
      <c r="HK128" s="150"/>
      <c r="HL128" s="150"/>
      <c r="HM128" s="150"/>
      <c r="HN128" s="150"/>
      <c r="HO128" s="150"/>
      <c r="HP128" s="150"/>
      <c r="HQ128" s="150"/>
      <c r="HR128" s="150"/>
      <c r="HS128" s="150"/>
      <c r="HT128" s="150"/>
      <c r="HU128" s="150"/>
      <c r="HV128" s="150"/>
      <c r="HW128" s="150"/>
      <c r="HX128" s="150"/>
      <c r="HY128" s="150"/>
      <c r="HZ128" s="150"/>
      <c r="IA128" s="150"/>
      <c r="IB128" s="150"/>
      <c r="IC128" s="150"/>
      <c r="ID128" s="150"/>
      <c r="IE128" s="150"/>
      <c r="IF128" s="150"/>
      <c r="IG128" s="150"/>
      <c r="IH128" s="150"/>
      <c r="II128" s="150"/>
      <c r="IJ128" s="150"/>
      <c r="IK128" s="150"/>
      <c r="IL128" s="150"/>
      <c r="IM128" s="150"/>
      <c r="IN128" s="150"/>
      <c r="IO128" s="150"/>
      <c r="IP128" s="150"/>
      <c r="IQ128" s="150"/>
      <c r="IR128" s="150"/>
      <c r="IS128" s="150"/>
      <c r="IT128" s="150"/>
      <c r="IU128" s="150"/>
      <c r="IV128" s="150"/>
      <c r="IW128" s="150"/>
      <c r="IX128" s="150"/>
      <c r="IY128" s="150"/>
      <c r="IZ128" s="150"/>
      <c r="JA128" s="150"/>
      <c r="JB128" s="150"/>
      <c r="JC128" s="150"/>
      <c r="JD128" s="150"/>
      <c r="JE128" s="150"/>
      <c r="JF128" s="150"/>
      <c r="JG128" s="150"/>
      <c r="JH128" s="150"/>
      <c r="JI128" s="150"/>
      <c r="JJ128" s="150"/>
      <c r="JK128" s="150"/>
      <c r="JL128" s="150"/>
      <c r="JM128" s="150"/>
      <c r="JN128" s="150"/>
      <c r="JO128" s="150"/>
      <c r="JP128" s="150"/>
      <c r="JQ128" s="150"/>
      <c r="JR128" s="150"/>
      <c r="JS128" s="150"/>
      <c r="JT128" s="150"/>
      <c r="JU128" s="150"/>
      <c r="JV128" s="150"/>
      <c r="JW128" s="150"/>
      <c r="JX128" s="150"/>
      <c r="JY128" s="150"/>
      <c r="JZ128" s="150"/>
      <c r="KA128" s="150"/>
      <c r="KB128" s="150"/>
      <c r="KC128" s="150"/>
      <c r="KD128" s="150"/>
      <c r="KE128" s="150"/>
      <c r="KF128" s="150"/>
      <c r="KG128" s="150"/>
      <c r="KH128" s="150"/>
      <c r="KI128" s="150"/>
      <c r="KJ128" s="150"/>
      <c r="KK128" s="150"/>
      <c r="KL128" s="150"/>
      <c r="KM128" s="150"/>
      <c r="KN128" s="150"/>
      <c r="KO128" s="150"/>
      <c r="KP128" s="150"/>
      <c r="KQ128" s="150"/>
      <c r="KR128" s="150"/>
      <c r="KS128" s="150"/>
      <c r="KT128" s="150"/>
      <c r="KU128" s="150"/>
      <c r="KV128" s="150"/>
      <c r="KW128" s="150"/>
      <c r="KX128" s="150"/>
      <c r="KY128" s="150"/>
      <c r="KZ128" s="150"/>
      <c r="LA128" s="150"/>
      <c r="LB128" s="150"/>
      <c r="LC128" s="150"/>
      <c r="LD128" s="150"/>
      <c r="LE128" s="150"/>
      <c r="LF128" s="150"/>
      <c r="LG128" s="150"/>
      <c r="LH128" s="150"/>
      <c r="LI128" s="150"/>
      <c r="LJ128" s="150"/>
      <c r="LK128" s="150"/>
      <c r="LL128" s="150"/>
      <c r="LM128" s="150"/>
      <c r="LN128" s="150"/>
      <c r="LO128" s="150"/>
      <c r="LP128" s="150"/>
      <c r="LQ128" s="150"/>
      <c r="LR128" s="150"/>
      <c r="LS128" s="150"/>
      <c r="LT128" s="150"/>
      <c r="LU128" s="150"/>
      <c r="LV128" s="150"/>
      <c r="LW128" s="150"/>
      <c r="LX128" s="150"/>
      <c r="LY128" s="150"/>
      <c r="LZ128" s="150"/>
      <c r="MA128" s="150"/>
      <c r="MB128" s="150"/>
      <c r="MC128" s="150"/>
      <c r="MD128" s="150"/>
      <c r="ME128" s="150"/>
      <c r="MF128" s="150"/>
      <c r="MG128" s="150"/>
      <c r="MH128" s="150"/>
      <c r="MI128" s="150"/>
      <c r="MJ128" s="150"/>
      <c r="MK128" s="150"/>
      <c r="ML128" s="150"/>
      <c r="MM128" s="150"/>
      <c r="MN128" s="150"/>
      <c r="MO128" s="150"/>
      <c r="MP128" s="150"/>
      <c r="MQ128" s="150"/>
      <c r="MR128" s="150"/>
      <c r="MS128" s="150"/>
      <c r="MT128" s="150"/>
      <c r="MU128" s="150"/>
      <c r="MV128" s="150"/>
      <c r="MW128" s="150"/>
      <c r="MX128" s="150"/>
      <c r="MY128" s="150"/>
      <c r="MZ128" s="150"/>
      <c r="NA128" s="150"/>
      <c r="NB128" s="150"/>
      <c r="NC128" s="150"/>
      <c r="ND128" s="150"/>
      <c r="NE128" s="150"/>
      <c r="NF128" s="150"/>
      <c r="NG128" s="150"/>
      <c r="NH128" s="150"/>
      <c r="NI128" s="150"/>
      <c r="NJ128" s="150"/>
      <c r="NK128" s="150"/>
      <c r="NL128" s="150"/>
      <c r="NM128" s="150"/>
      <c r="NN128" s="150"/>
      <c r="NO128" s="150"/>
      <c r="NP128" s="150"/>
      <c r="NQ128" s="150"/>
      <c r="NR128" s="150"/>
      <c r="NS128" s="150"/>
      <c r="NT128" s="150"/>
      <c r="NU128" s="150"/>
      <c r="NV128" s="150"/>
      <c r="NW128" s="150"/>
      <c r="NX128" s="150"/>
      <c r="NY128" s="150"/>
      <c r="NZ128" s="150"/>
      <c r="OA128" s="150"/>
      <c r="OB128" s="150"/>
      <c r="OC128" s="150"/>
      <c r="OD128" s="150"/>
      <c r="OE128" s="150"/>
    </row>
    <row r="129" spans="1:395" ht="15">
      <c r="A129" s="19"/>
      <c r="B129" s="17"/>
      <c r="C129" s="187">
        <v>2038</v>
      </c>
      <c r="D129" s="187">
        <v>53</v>
      </c>
      <c r="E129" s="187">
        <v>86</v>
      </c>
      <c r="F129" s="187">
        <v>126</v>
      </c>
      <c r="G129" s="187">
        <v>122</v>
      </c>
      <c r="H129" s="187">
        <v>86</v>
      </c>
      <c r="I129" s="187">
        <v>190</v>
      </c>
      <c r="J129" s="187">
        <v>79</v>
      </c>
      <c r="K129" s="187">
        <v>75</v>
      </c>
      <c r="L129" s="187">
        <v>140</v>
      </c>
      <c r="M129" s="187">
        <v>78</v>
      </c>
      <c r="N129" s="187">
        <v>75</v>
      </c>
      <c r="O129" s="187">
        <v>139</v>
      </c>
      <c r="P129" s="187">
        <v>84</v>
      </c>
      <c r="Q129" s="187">
        <v>86</v>
      </c>
      <c r="R129" s="187">
        <v>155</v>
      </c>
      <c r="S129" s="187">
        <v>84</v>
      </c>
      <c r="T129" s="187">
        <v>86</v>
      </c>
      <c r="U129" s="187">
        <v>155</v>
      </c>
      <c r="V129" s="187">
        <v>99</v>
      </c>
      <c r="W129" s="187">
        <v>258</v>
      </c>
      <c r="X129" s="187">
        <v>325</v>
      </c>
      <c r="Y129" s="187">
        <v>86</v>
      </c>
      <c r="Z129" s="187">
        <v>183</v>
      </c>
      <c r="AA129" s="187">
        <v>244</v>
      </c>
      <c r="AB129" s="187">
        <v>90</v>
      </c>
      <c r="AC129" s="187">
        <v>129</v>
      </c>
      <c r="AD129" s="187">
        <v>199</v>
      </c>
      <c r="AE129" s="187">
        <v>95</v>
      </c>
      <c r="AF129" s="187">
        <v>54</v>
      </c>
      <c r="AG129" s="187">
        <v>135</v>
      </c>
      <c r="AH129" s="187">
        <v>82</v>
      </c>
      <c r="AI129" s="187">
        <v>215</v>
      </c>
      <c r="AJ129" s="187">
        <v>270</v>
      </c>
      <c r="AK129" s="187">
        <v>80</v>
      </c>
      <c r="AL129" s="187">
        <v>86</v>
      </c>
      <c r="AM129" s="187">
        <v>151</v>
      </c>
      <c r="AN129" s="187">
        <v>88</v>
      </c>
      <c r="AO129" s="187">
        <v>64</v>
      </c>
      <c r="AP129" s="187">
        <v>139</v>
      </c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  <c r="BI129" s="150"/>
      <c r="BJ129" s="150"/>
      <c r="BK129" s="150"/>
      <c r="BL129" s="150"/>
      <c r="BM129" s="150"/>
      <c r="BN129" s="150"/>
      <c r="BO129" s="150"/>
      <c r="BP129" s="150"/>
      <c r="BQ129" s="150"/>
      <c r="BR129" s="150"/>
      <c r="BS129" s="150"/>
      <c r="BT129" s="150"/>
      <c r="BU129" s="150"/>
      <c r="BV129" s="150"/>
      <c r="BW129" s="150"/>
      <c r="BX129" s="150"/>
      <c r="BY129" s="150"/>
      <c r="BZ129" s="150"/>
      <c r="CA129" s="150"/>
      <c r="CB129" s="150"/>
      <c r="CC129" s="150"/>
      <c r="CD129" s="150"/>
      <c r="CE129" s="150"/>
      <c r="CF129" s="150"/>
      <c r="CG129" s="150"/>
      <c r="CH129" s="150"/>
      <c r="CI129" s="150"/>
      <c r="CJ129" s="150"/>
      <c r="CK129" s="150"/>
      <c r="CL129" s="150"/>
      <c r="CM129" s="150"/>
      <c r="CN129" s="150"/>
      <c r="CO129" s="150"/>
      <c r="CP129" s="150"/>
      <c r="CQ129" s="150"/>
      <c r="CR129" s="150"/>
      <c r="CS129" s="150"/>
      <c r="CT129" s="150"/>
      <c r="CU129" s="150"/>
      <c r="CV129" s="150"/>
      <c r="CW129" s="150"/>
      <c r="CX129" s="150"/>
      <c r="CY129" s="150"/>
      <c r="CZ129" s="150"/>
      <c r="DA129" s="150"/>
      <c r="DB129" s="150"/>
      <c r="DC129" s="150"/>
      <c r="DD129" s="150"/>
      <c r="DE129" s="150"/>
      <c r="DF129" s="150"/>
      <c r="DG129" s="150"/>
      <c r="DH129" s="150"/>
      <c r="DI129" s="150"/>
      <c r="DJ129" s="150"/>
      <c r="DK129" s="150"/>
      <c r="DL129" s="150"/>
      <c r="DM129" s="150"/>
      <c r="DN129" s="150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  <c r="EC129" s="150"/>
      <c r="ED129" s="150"/>
      <c r="EE129" s="150"/>
      <c r="EF129" s="150"/>
      <c r="EG129" s="150"/>
      <c r="EH129" s="150"/>
      <c r="EI129" s="150"/>
      <c r="EJ129" s="150"/>
      <c r="EK129" s="150"/>
      <c r="EL129" s="150"/>
      <c r="EM129" s="150"/>
      <c r="EN129" s="150"/>
      <c r="EO129" s="150"/>
      <c r="EP129" s="150"/>
      <c r="EQ129" s="150"/>
      <c r="ER129" s="150"/>
      <c r="ES129" s="150"/>
      <c r="ET129" s="150"/>
      <c r="EU129" s="150"/>
      <c r="EV129" s="150"/>
      <c r="EW129" s="150"/>
      <c r="EX129" s="150"/>
      <c r="EY129" s="150"/>
      <c r="EZ129" s="150"/>
      <c r="FA129" s="150"/>
      <c r="FB129" s="150"/>
      <c r="FC129" s="150"/>
      <c r="FD129" s="150"/>
      <c r="FE129" s="150"/>
      <c r="FF129" s="150"/>
      <c r="FG129" s="150"/>
      <c r="FH129" s="150"/>
      <c r="FI129" s="150"/>
      <c r="FJ129" s="150"/>
      <c r="FK129" s="150"/>
      <c r="FL129" s="150"/>
      <c r="FM129" s="150"/>
      <c r="FN129" s="150"/>
      <c r="FO129" s="150"/>
      <c r="FP129" s="150"/>
      <c r="FQ129" s="150"/>
      <c r="FR129" s="150"/>
      <c r="FS129" s="150"/>
      <c r="FT129" s="150"/>
      <c r="FU129" s="150"/>
      <c r="FV129" s="150"/>
      <c r="FW129" s="150"/>
      <c r="FX129" s="150"/>
      <c r="FY129" s="150"/>
      <c r="FZ129" s="150"/>
      <c r="GA129" s="150"/>
      <c r="GB129" s="150"/>
      <c r="GC129" s="150"/>
      <c r="GD129" s="150"/>
      <c r="GE129" s="150"/>
      <c r="GF129" s="150"/>
      <c r="GG129" s="150"/>
      <c r="GH129" s="150"/>
      <c r="GI129" s="150"/>
      <c r="GJ129" s="150"/>
      <c r="GK129" s="150"/>
      <c r="GL129" s="150"/>
      <c r="GM129" s="150"/>
      <c r="GN129" s="150"/>
      <c r="GO129" s="150"/>
      <c r="GP129" s="150"/>
      <c r="GQ129" s="150"/>
      <c r="GR129" s="150"/>
      <c r="GS129" s="150"/>
      <c r="GT129" s="150"/>
      <c r="GU129" s="150"/>
      <c r="GV129" s="150"/>
      <c r="GW129" s="150"/>
      <c r="GX129" s="150"/>
      <c r="GY129" s="150"/>
      <c r="GZ129" s="150"/>
      <c r="HA129" s="150"/>
      <c r="HB129" s="150"/>
      <c r="HC129" s="150"/>
      <c r="HD129" s="150"/>
      <c r="HE129" s="150"/>
      <c r="HF129" s="150"/>
      <c r="HG129" s="150"/>
      <c r="HH129" s="150"/>
      <c r="HI129" s="150"/>
      <c r="HJ129" s="150"/>
      <c r="HK129" s="150"/>
      <c r="HL129" s="150"/>
      <c r="HM129" s="150"/>
      <c r="HN129" s="150"/>
      <c r="HO129" s="150"/>
      <c r="HP129" s="150"/>
      <c r="HQ129" s="150"/>
      <c r="HR129" s="150"/>
      <c r="HS129" s="150"/>
      <c r="HT129" s="150"/>
      <c r="HU129" s="150"/>
      <c r="HV129" s="150"/>
      <c r="HW129" s="150"/>
      <c r="HX129" s="150"/>
      <c r="HY129" s="150"/>
      <c r="HZ129" s="150"/>
      <c r="IA129" s="150"/>
      <c r="IB129" s="150"/>
      <c r="IC129" s="150"/>
      <c r="ID129" s="150"/>
      <c r="IE129" s="150"/>
      <c r="IF129" s="150"/>
      <c r="IG129" s="150"/>
      <c r="IH129" s="150"/>
      <c r="II129" s="150"/>
      <c r="IJ129" s="150"/>
      <c r="IK129" s="150"/>
      <c r="IL129" s="150"/>
      <c r="IM129" s="150"/>
      <c r="IN129" s="150"/>
      <c r="IO129" s="150"/>
      <c r="IP129" s="150"/>
      <c r="IQ129" s="150"/>
      <c r="IR129" s="150"/>
      <c r="IS129" s="150"/>
      <c r="IT129" s="150"/>
      <c r="IU129" s="150"/>
      <c r="IV129" s="150"/>
      <c r="IW129" s="150"/>
      <c r="IX129" s="150"/>
      <c r="IY129" s="150"/>
      <c r="IZ129" s="150"/>
      <c r="JA129" s="150"/>
      <c r="JB129" s="150"/>
      <c r="JC129" s="150"/>
      <c r="JD129" s="150"/>
      <c r="JE129" s="150"/>
      <c r="JF129" s="150"/>
      <c r="JG129" s="150"/>
      <c r="JH129" s="150"/>
      <c r="JI129" s="150"/>
      <c r="JJ129" s="150"/>
      <c r="JK129" s="150"/>
      <c r="JL129" s="150"/>
      <c r="JM129" s="150"/>
      <c r="JN129" s="150"/>
      <c r="JO129" s="150"/>
      <c r="JP129" s="150"/>
      <c r="JQ129" s="150"/>
      <c r="JR129" s="150"/>
      <c r="JS129" s="150"/>
      <c r="JT129" s="150"/>
      <c r="JU129" s="150"/>
      <c r="JV129" s="150"/>
      <c r="JW129" s="150"/>
      <c r="JX129" s="150"/>
      <c r="JY129" s="150"/>
      <c r="JZ129" s="150"/>
      <c r="KA129" s="150"/>
      <c r="KB129" s="150"/>
      <c r="KC129" s="150"/>
      <c r="KD129" s="150"/>
      <c r="KE129" s="150"/>
      <c r="KF129" s="150"/>
      <c r="KG129" s="150"/>
      <c r="KH129" s="150"/>
      <c r="KI129" s="150"/>
      <c r="KJ129" s="150"/>
      <c r="KK129" s="150"/>
      <c r="KL129" s="150"/>
      <c r="KM129" s="150"/>
      <c r="KN129" s="150"/>
      <c r="KO129" s="150"/>
      <c r="KP129" s="150"/>
      <c r="KQ129" s="150"/>
      <c r="KR129" s="150"/>
      <c r="KS129" s="150"/>
      <c r="KT129" s="150"/>
      <c r="KU129" s="150"/>
      <c r="KV129" s="150"/>
      <c r="KW129" s="150"/>
      <c r="KX129" s="150"/>
      <c r="KY129" s="150"/>
      <c r="KZ129" s="150"/>
      <c r="LA129" s="150"/>
      <c r="LB129" s="150"/>
      <c r="LC129" s="150"/>
      <c r="LD129" s="150"/>
      <c r="LE129" s="150"/>
      <c r="LF129" s="150"/>
      <c r="LG129" s="150"/>
      <c r="LH129" s="150"/>
      <c r="LI129" s="150"/>
      <c r="LJ129" s="150"/>
      <c r="LK129" s="150"/>
      <c r="LL129" s="150"/>
      <c r="LM129" s="150"/>
      <c r="LN129" s="150"/>
      <c r="LO129" s="150"/>
      <c r="LP129" s="150"/>
      <c r="LQ129" s="150"/>
      <c r="LR129" s="150"/>
      <c r="LS129" s="150"/>
      <c r="LT129" s="150"/>
      <c r="LU129" s="150"/>
      <c r="LV129" s="150"/>
      <c r="LW129" s="150"/>
      <c r="LX129" s="150"/>
      <c r="LY129" s="150"/>
      <c r="LZ129" s="150"/>
      <c r="MA129" s="150"/>
      <c r="MB129" s="150"/>
      <c r="MC129" s="150"/>
      <c r="MD129" s="150"/>
      <c r="ME129" s="150"/>
      <c r="MF129" s="150"/>
      <c r="MG129" s="150"/>
      <c r="MH129" s="150"/>
      <c r="MI129" s="150"/>
      <c r="MJ129" s="150"/>
      <c r="MK129" s="150"/>
      <c r="ML129" s="150"/>
      <c r="MM129" s="150"/>
      <c r="MN129" s="150"/>
      <c r="MO129" s="150"/>
      <c r="MP129" s="150"/>
      <c r="MQ129" s="150"/>
      <c r="MR129" s="150"/>
      <c r="MS129" s="150"/>
      <c r="MT129" s="150"/>
      <c r="MU129" s="150"/>
      <c r="MV129" s="150"/>
      <c r="MW129" s="150"/>
      <c r="MX129" s="150"/>
      <c r="MY129" s="150"/>
      <c r="MZ129" s="150"/>
      <c r="NA129" s="150"/>
      <c r="NB129" s="150"/>
      <c r="NC129" s="150"/>
      <c r="ND129" s="150"/>
      <c r="NE129" s="150"/>
      <c r="NF129" s="150"/>
      <c r="NG129" s="150"/>
      <c r="NH129" s="150"/>
      <c r="NI129" s="150"/>
      <c r="NJ129" s="150"/>
      <c r="NK129" s="150"/>
      <c r="NL129" s="150"/>
      <c r="NM129" s="150"/>
      <c r="NN129" s="150"/>
      <c r="NO129" s="150"/>
      <c r="NP129" s="150"/>
      <c r="NQ129" s="150"/>
      <c r="NR129" s="150"/>
      <c r="NS129" s="150"/>
      <c r="NT129" s="150"/>
      <c r="NU129" s="150"/>
      <c r="NV129" s="150"/>
      <c r="NW129" s="150"/>
      <c r="NX129" s="150"/>
      <c r="NY129" s="150"/>
      <c r="NZ129" s="150"/>
      <c r="OA129" s="150"/>
      <c r="OB129" s="150"/>
      <c r="OC129" s="150"/>
      <c r="OD129" s="150"/>
      <c r="OE129" s="150"/>
    </row>
    <row r="130" spans="1:395" ht="15">
      <c r="A130" s="19"/>
      <c r="B130" s="17"/>
      <c r="C130" s="187">
        <v>2039</v>
      </c>
      <c r="D130" s="187">
        <v>50</v>
      </c>
      <c r="E130" s="187">
        <v>81</v>
      </c>
      <c r="F130" s="187">
        <v>119</v>
      </c>
      <c r="G130" s="187">
        <v>115</v>
      </c>
      <c r="H130" s="187">
        <v>81</v>
      </c>
      <c r="I130" s="187">
        <v>178</v>
      </c>
      <c r="J130" s="187">
        <v>74</v>
      </c>
      <c r="K130" s="187">
        <v>71</v>
      </c>
      <c r="L130" s="187">
        <v>132</v>
      </c>
      <c r="M130" s="187">
        <v>73</v>
      </c>
      <c r="N130" s="187">
        <v>71</v>
      </c>
      <c r="O130" s="187">
        <v>131</v>
      </c>
      <c r="P130" s="187">
        <v>79</v>
      </c>
      <c r="Q130" s="187">
        <v>81</v>
      </c>
      <c r="R130" s="187">
        <v>146</v>
      </c>
      <c r="S130" s="187">
        <v>79</v>
      </c>
      <c r="T130" s="187">
        <v>81</v>
      </c>
      <c r="U130" s="187">
        <v>146</v>
      </c>
      <c r="V130" s="187">
        <v>93</v>
      </c>
      <c r="W130" s="187">
        <v>243</v>
      </c>
      <c r="X130" s="187">
        <v>306</v>
      </c>
      <c r="Y130" s="187">
        <v>81</v>
      </c>
      <c r="Z130" s="187">
        <v>172</v>
      </c>
      <c r="AA130" s="187">
        <v>230</v>
      </c>
      <c r="AB130" s="187">
        <v>85</v>
      </c>
      <c r="AC130" s="187">
        <v>121</v>
      </c>
      <c r="AD130" s="187">
        <v>187</v>
      </c>
      <c r="AE130" s="187">
        <v>90</v>
      </c>
      <c r="AF130" s="187">
        <v>51</v>
      </c>
      <c r="AG130" s="187">
        <v>127</v>
      </c>
      <c r="AH130" s="187">
        <v>77</v>
      </c>
      <c r="AI130" s="187">
        <v>202</v>
      </c>
      <c r="AJ130" s="187">
        <v>254</v>
      </c>
      <c r="AK130" s="187">
        <v>76</v>
      </c>
      <c r="AL130" s="187">
        <v>81</v>
      </c>
      <c r="AM130" s="187">
        <v>142</v>
      </c>
      <c r="AN130" s="187">
        <v>83</v>
      </c>
      <c r="AO130" s="187">
        <v>61</v>
      </c>
      <c r="AP130" s="187">
        <v>131</v>
      </c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/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  <c r="EC130" s="150"/>
      <c r="ED130" s="150"/>
      <c r="EE130" s="150"/>
      <c r="EF130" s="150"/>
      <c r="EG130" s="150"/>
      <c r="EH130" s="150"/>
      <c r="EI130" s="150"/>
      <c r="EJ130" s="150"/>
      <c r="EK130" s="150"/>
      <c r="EL130" s="150"/>
      <c r="EM130" s="150"/>
      <c r="EN130" s="150"/>
      <c r="EO130" s="150"/>
      <c r="EP130" s="150"/>
      <c r="EQ130" s="150"/>
      <c r="ER130" s="150"/>
      <c r="ES130" s="150"/>
      <c r="ET130" s="150"/>
      <c r="EU130" s="150"/>
      <c r="EV130" s="150"/>
      <c r="EW130" s="150"/>
      <c r="EX130" s="150"/>
      <c r="EY130" s="150"/>
      <c r="EZ130" s="150"/>
      <c r="FA130" s="150"/>
      <c r="FB130" s="150"/>
      <c r="FC130" s="150"/>
      <c r="FD130" s="150"/>
      <c r="FE130" s="150"/>
      <c r="FF130" s="150"/>
      <c r="FG130" s="150"/>
      <c r="FH130" s="150"/>
      <c r="FI130" s="150"/>
      <c r="FJ130" s="150"/>
      <c r="FK130" s="150"/>
      <c r="FL130" s="150"/>
      <c r="FM130" s="150"/>
      <c r="FN130" s="150"/>
      <c r="FO130" s="150"/>
      <c r="FP130" s="150"/>
      <c r="FQ130" s="150"/>
      <c r="FR130" s="150"/>
      <c r="FS130" s="150"/>
      <c r="FT130" s="150"/>
      <c r="FU130" s="150"/>
      <c r="FV130" s="150"/>
      <c r="FW130" s="150"/>
      <c r="FX130" s="150"/>
      <c r="FY130" s="150"/>
      <c r="FZ130" s="150"/>
      <c r="GA130" s="150"/>
      <c r="GB130" s="150"/>
      <c r="GC130" s="150"/>
      <c r="GD130" s="150"/>
      <c r="GE130" s="150"/>
      <c r="GF130" s="150"/>
      <c r="GG130" s="150"/>
      <c r="GH130" s="150"/>
      <c r="GI130" s="150"/>
      <c r="GJ130" s="150"/>
      <c r="GK130" s="150"/>
      <c r="GL130" s="150"/>
      <c r="GM130" s="150"/>
      <c r="GN130" s="150"/>
      <c r="GO130" s="150"/>
      <c r="GP130" s="150"/>
      <c r="GQ130" s="150"/>
      <c r="GR130" s="150"/>
      <c r="GS130" s="150"/>
      <c r="GT130" s="150"/>
      <c r="GU130" s="150"/>
      <c r="GV130" s="150"/>
      <c r="GW130" s="150"/>
      <c r="GX130" s="150"/>
      <c r="GY130" s="150"/>
      <c r="GZ130" s="150"/>
      <c r="HA130" s="150"/>
      <c r="HB130" s="150"/>
      <c r="HC130" s="150"/>
      <c r="HD130" s="150"/>
      <c r="HE130" s="150"/>
      <c r="HF130" s="150"/>
      <c r="HG130" s="150"/>
      <c r="HH130" s="150"/>
      <c r="HI130" s="150"/>
      <c r="HJ130" s="150"/>
      <c r="HK130" s="150"/>
      <c r="HL130" s="150"/>
      <c r="HM130" s="150"/>
      <c r="HN130" s="150"/>
      <c r="HO130" s="150"/>
      <c r="HP130" s="150"/>
      <c r="HQ130" s="150"/>
      <c r="HR130" s="150"/>
      <c r="HS130" s="150"/>
      <c r="HT130" s="150"/>
      <c r="HU130" s="150"/>
      <c r="HV130" s="150"/>
      <c r="HW130" s="150"/>
      <c r="HX130" s="150"/>
      <c r="HY130" s="150"/>
      <c r="HZ130" s="150"/>
      <c r="IA130" s="150"/>
      <c r="IB130" s="150"/>
      <c r="IC130" s="150"/>
      <c r="ID130" s="150"/>
      <c r="IE130" s="150"/>
      <c r="IF130" s="150"/>
      <c r="IG130" s="150"/>
      <c r="IH130" s="150"/>
      <c r="II130" s="150"/>
      <c r="IJ130" s="150"/>
      <c r="IK130" s="150"/>
      <c r="IL130" s="150"/>
      <c r="IM130" s="150"/>
      <c r="IN130" s="150"/>
      <c r="IO130" s="150"/>
      <c r="IP130" s="150"/>
      <c r="IQ130" s="150"/>
      <c r="IR130" s="150"/>
      <c r="IS130" s="150"/>
      <c r="IT130" s="150"/>
      <c r="IU130" s="150"/>
      <c r="IV130" s="150"/>
      <c r="IW130" s="150"/>
      <c r="IX130" s="150"/>
      <c r="IY130" s="150"/>
      <c r="IZ130" s="150"/>
      <c r="JA130" s="150"/>
      <c r="JB130" s="150"/>
      <c r="JC130" s="150"/>
      <c r="JD130" s="150"/>
      <c r="JE130" s="150"/>
      <c r="JF130" s="150"/>
      <c r="JG130" s="150"/>
      <c r="JH130" s="150"/>
      <c r="JI130" s="150"/>
      <c r="JJ130" s="150"/>
      <c r="JK130" s="150"/>
      <c r="JL130" s="150"/>
      <c r="JM130" s="150"/>
      <c r="JN130" s="150"/>
      <c r="JO130" s="150"/>
      <c r="JP130" s="150"/>
      <c r="JQ130" s="150"/>
      <c r="JR130" s="150"/>
      <c r="JS130" s="150"/>
      <c r="JT130" s="150"/>
      <c r="JU130" s="150"/>
      <c r="JV130" s="150"/>
      <c r="JW130" s="150"/>
      <c r="JX130" s="150"/>
      <c r="JY130" s="150"/>
      <c r="JZ130" s="150"/>
      <c r="KA130" s="150"/>
      <c r="KB130" s="150"/>
      <c r="KC130" s="150"/>
      <c r="KD130" s="150"/>
      <c r="KE130" s="150"/>
      <c r="KF130" s="150"/>
      <c r="KG130" s="150"/>
      <c r="KH130" s="150"/>
      <c r="KI130" s="150"/>
      <c r="KJ130" s="150"/>
      <c r="KK130" s="150"/>
      <c r="KL130" s="150"/>
      <c r="KM130" s="150"/>
      <c r="KN130" s="150"/>
      <c r="KO130" s="150"/>
      <c r="KP130" s="150"/>
      <c r="KQ130" s="150"/>
      <c r="KR130" s="150"/>
      <c r="KS130" s="150"/>
      <c r="KT130" s="150"/>
      <c r="KU130" s="150"/>
      <c r="KV130" s="150"/>
      <c r="KW130" s="150"/>
      <c r="KX130" s="150"/>
      <c r="KY130" s="150"/>
      <c r="KZ130" s="150"/>
      <c r="LA130" s="150"/>
      <c r="LB130" s="150"/>
      <c r="LC130" s="150"/>
      <c r="LD130" s="150"/>
      <c r="LE130" s="150"/>
      <c r="LF130" s="150"/>
      <c r="LG130" s="150"/>
      <c r="LH130" s="150"/>
      <c r="LI130" s="150"/>
      <c r="LJ130" s="150"/>
      <c r="LK130" s="150"/>
      <c r="LL130" s="150"/>
      <c r="LM130" s="150"/>
      <c r="LN130" s="150"/>
      <c r="LO130" s="150"/>
      <c r="LP130" s="150"/>
      <c r="LQ130" s="150"/>
      <c r="LR130" s="150"/>
      <c r="LS130" s="150"/>
      <c r="LT130" s="150"/>
      <c r="LU130" s="150"/>
      <c r="LV130" s="150"/>
      <c r="LW130" s="150"/>
      <c r="LX130" s="150"/>
      <c r="LY130" s="150"/>
      <c r="LZ130" s="150"/>
      <c r="MA130" s="150"/>
      <c r="MB130" s="150"/>
      <c r="MC130" s="150"/>
      <c r="MD130" s="150"/>
      <c r="ME130" s="150"/>
      <c r="MF130" s="150"/>
      <c r="MG130" s="150"/>
      <c r="MH130" s="150"/>
      <c r="MI130" s="150"/>
      <c r="MJ130" s="150"/>
      <c r="MK130" s="150"/>
      <c r="ML130" s="150"/>
      <c r="MM130" s="150"/>
      <c r="MN130" s="150"/>
      <c r="MO130" s="150"/>
      <c r="MP130" s="150"/>
      <c r="MQ130" s="150"/>
      <c r="MR130" s="150"/>
      <c r="MS130" s="150"/>
      <c r="MT130" s="150"/>
      <c r="MU130" s="150"/>
      <c r="MV130" s="150"/>
      <c r="MW130" s="150"/>
      <c r="MX130" s="150"/>
      <c r="MY130" s="150"/>
      <c r="MZ130" s="150"/>
      <c r="NA130" s="150"/>
      <c r="NB130" s="150"/>
      <c r="NC130" s="150"/>
      <c r="ND130" s="150"/>
      <c r="NE130" s="150"/>
      <c r="NF130" s="150"/>
      <c r="NG130" s="150"/>
      <c r="NH130" s="150"/>
      <c r="NI130" s="150"/>
      <c r="NJ130" s="150"/>
      <c r="NK130" s="150"/>
      <c r="NL130" s="150"/>
      <c r="NM130" s="150"/>
      <c r="NN130" s="150"/>
      <c r="NO130" s="150"/>
      <c r="NP130" s="150"/>
      <c r="NQ130" s="150"/>
      <c r="NR130" s="150"/>
      <c r="NS130" s="150"/>
      <c r="NT130" s="150"/>
      <c r="NU130" s="150"/>
      <c r="NV130" s="150"/>
      <c r="NW130" s="150"/>
      <c r="NX130" s="150"/>
      <c r="NY130" s="150"/>
      <c r="NZ130" s="150"/>
      <c r="OA130" s="150"/>
      <c r="OB130" s="150"/>
      <c r="OC130" s="150"/>
      <c r="OD130" s="150"/>
      <c r="OE130" s="150"/>
    </row>
    <row r="131" spans="1:395" ht="15">
      <c r="A131" s="19"/>
      <c r="B131" s="17"/>
      <c r="C131" s="187">
        <v>2040</v>
      </c>
      <c r="D131" s="187">
        <v>47</v>
      </c>
      <c r="E131" s="187">
        <v>76</v>
      </c>
      <c r="F131" s="187">
        <v>111</v>
      </c>
      <c r="G131" s="187">
        <v>108</v>
      </c>
      <c r="H131" s="187">
        <v>76</v>
      </c>
      <c r="I131" s="187">
        <v>167</v>
      </c>
      <c r="J131" s="187">
        <v>70</v>
      </c>
      <c r="K131" s="187">
        <v>66</v>
      </c>
      <c r="L131" s="187">
        <v>124</v>
      </c>
      <c r="M131" s="187">
        <v>68</v>
      </c>
      <c r="N131" s="187">
        <v>66</v>
      </c>
      <c r="O131" s="187">
        <v>122</v>
      </c>
      <c r="P131" s="187">
        <v>74</v>
      </c>
      <c r="Q131" s="187">
        <v>76</v>
      </c>
      <c r="R131" s="187">
        <v>136</v>
      </c>
      <c r="S131" s="187">
        <v>74</v>
      </c>
      <c r="T131" s="187">
        <v>76</v>
      </c>
      <c r="U131" s="187">
        <v>137</v>
      </c>
      <c r="V131" s="187">
        <v>88</v>
      </c>
      <c r="W131" s="187">
        <v>228</v>
      </c>
      <c r="X131" s="187">
        <v>286</v>
      </c>
      <c r="Y131" s="187">
        <v>76</v>
      </c>
      <c r="Z131" s="187">
        <v>161</v>
      </c>
      <c r="AA131" s="187">
        <v>215</v>
      </c>
      <c r="AB131" s="187">
        <v>79</v>
      </c>
      <c r="AC131" s="187">
        <v>114</v>
      </c>
      <c r="AD131" s="187">
        <v>176</v>
      </c>
      <c r="AE131" s="187">
        <v>84</v>
      </c>
      <c r="AF131" s="187">
        <v>47</v>
      </c>
      <c r="AG131" s="187">
        <v>119</v>
      </c>
      <c r="AH131" s="187">
        <v>72</v>
      </c>
      <c r="AI131" s="187">
        <v>190</v>
      </c>
      <c r="AJ131" s="187">
        <v>238</v>
      </c>
      <c r="AK131" s="187">
        <v>71</v>
      </c>
      <c r="AL131" s="187">
        <v>76</v>
      </c>
      <c r="AM131" s="187">
        <v>134</v>
      </c>
      <c r="AN131" s="187">
        <v>78</v>
      </c>
      <c r="AO131" s="187">
        <v>57</v>
      </c>
      <c r="AP131" s="187">
        <v>123</v>
      </c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  <c r="BI131" s="150"/>
      <c r="BJ131" s="150"/>
      <c r="BK131" s="150"/>
      <c r="BL131" s="150"/>
      <c r="BM131" s="150"/>
      <c r="BN131" s="150"/>
      <c r="BO131" s="150"/>
      <c r="BP131" s="150"/>
      <c r="BQ131" s="150"/>
      <c r="BR131" s="150"/>
      <c r="BS131" s="150"/>
      <c r="BT131" s="150"/>
      <c r="BU131" s="150"/>
      <c r="BV131" s="150"/>
      <c r="BW131" s="150"/>
      <c r="BX131" s="150"/>
      <c r="BY131" s="150"/>
      <c r="BZ131" s="150"/>
      <c r="CA131" s="150"/>
      <c r="CB131" s="150"/>
      <c r="CC131" s="150"/>
      <c r="CD131" s="150"/>
      <c r="CE131" s="150"/>
      <c r="CF131" s="150"/>
      <c r="CG131" s="150"/>
      <c r="CH131" s="150"/>
      <c r="CI131" s="150"/>
      <c r="CJ131" s="150"/>
      <c r="CK131" s="150"/>
      <c r="CL131" s="150"/>
      <c r="CM131" s="150"/>
      <c r="CN131" s="150"/>
      <c r="CO131" s="150"/>
      <c r="CP131" s="150"/>
      <c r="CQ131" s="150"/>
      <c r="CR131" s="150"/>
      <c r="CS131" s="150"/>
      <c r="CT131" s="150"/>
      <c r="CU131" s="150"/>
      <c r="CV131" s="150"/>
      <c r="CW131" s="150"/>
      <c r="CX131" s="150"/>
      <c r="CY131" s="150"/>
      <c r="CZ131" s="150"/>
      <c r="DA131" s="150"/>
      <c r="DB131" s="150"/>
      <c r="DC131" s="150"/>
      <c r="DD131" s="150"/>
      <c r="DE131" s="150"/>
      <c r="DF131" s="150"/>
      <c r="DG131" s="150"/>
      <c r="DH131" s="150"/>
      <c r="DI131" s="150"/>
      <c r="DJ131" s="150"/>
      <c r="DK131" s="150"/>
      <c r="DL131" s="150"/>
      <c r="DM131" s="150"/>
      <c r="DN131" s="150"/>
      <c r="DO131" s="150"/>
      <c r="DP131" s="150"/>
      <c r="DQ131" s="150"/>
      <c r="DR131" s="150"/>
      <c r="DS131" s="150"/>
      <c r="DT131" s="150"/>
      <c r="DU131" s="150"/>
      <c r="DV131" s="150"/>
      <c r="DW131" s="150"/>
      <c r="DX131" s="150"/>
      <c r="DY131" s="150"/>
      <c r="DZ131" s="150"/>
      <c r="EA131" s="150"/>
      <c r="EB131" s="150"/>
      <c r="EC131" s="150"/>
      <c r="ED131" s="150"/>
      <c r="EE131" s="150"/>
      <c r="EF131" s="150"/>
      <c r="EG131" s="150"/>
      <c r="EH131" s="150"/>
      <c r="EI131" s="150"/>
      <c r="EJ131" s="150"/>
      <c r="EK131" s="150"/>
      <c r="EL131" s="150"/>
      <c r="EM131" s="150"/>
      <c r="EN131" s="150"/>
      <c r="EO131" s="150"/>
      <c r="EP131" s="150"/>
      <c r="EQ131" s="150"/>
      <c r="ER131" s="150"/>
      <c r="ES131" s="150"/>
      <c r="ET131" s="150"/>
      <c r="EU131" s="150"/>
      <c r="EV131" s="150"/>
      <c r="EW131" s="150"/>
      <c r="EX131" s="150"/>
      <c r="EY131" s="150"/>
      <c r="EZ131" s="150"/>
      <c r="FA131" s="150"/>
      <c r="FB131" s="150"/>
      <c r="FC131" s="150"/>
      <c r="FD131" s="150"/>
      <c r="FE131" s="150"/>
      <c r="FF131" s="150"/>
      <c r="FG131" s="150"/>
      <c r="FH131" s="150"/>
      <c r="FI131" s="150"/>
      <c r="FJ131" s="150"/>
      <c r="FK131" s="150"/>
      <c r="FL131" s="150"/>
      <c r="FM131" s="150"/>
      <c r="FN131" s="150"/>
      <c r="FO131" s="150"/>
      <c r="FP131" s="150"/>
      <c r="FQ131" s="150"/>
      <c r="FR131" s="150"/>
      <c r="FS131" s="150"/>
      <c r="FT131" s="150"/>
      <c r="FU131" s="150"/>
      <c r="FV131" s="150"/>
      <c r="FW131" s="150"/>
      <c r="FX131" s="150"/>
      <c r="FY131" s="150"/>
      <c r="FZ131" s="150"/>
      <c r="GA131" s="150"/>
      <c r="GB131" s="150"/>
      <c r="GC131" s="150"/>
      <c r="GD131" s="150"/>
      <c r="GE131" s="150"/>
      <c r="GF131" s="150"/>
      <c r="GG131" s="150"/>
      <c r="GH131" s="150"/>
      <c r="GI131" s="150"/>
      <c r="GJ131" s="150"/>
      <c r="GK131" s="150"/>
      <c r="GL131" s="150"/>
      <c r="GM131" s="150"/>
      <c r="GN131" s="150"/>
      <c r="GO131" s="150"/>
      <c r="GP131" s="150"/>
      <c r="GQ131" s="150"/>
      <c r="GR131" s="150"/>
      <c r="GS131" s="150"/>
      <c r="GT131" s="150"/>
      <c r="GU131" s="150"/>
      <c r="GV131" s="150"/>
      <c r="GW131" s="150"/>
      <c r="GX131" s="150"/>
      <c r="GY131" s="150"/>
      <c r="GZ131" s="150"/>
      <c r="HA131" s="150"/>
      <c r="HB131" s="150"/>
      <c r="HC131" s="150"/>
      <c r="HD131" s="150"/>
      <c r="HE131" s="150"/>
      <c r="HF131" s="150"/>
      <c r="HG131" s="150"/>
      <c r="HH131" s="150"/>
      <c r="HI131" s="150"/>
      <c r="HJ131" s="150"/>
      <c r="HK131" s="150"/>
      <c r="HL131" s="150"/>
      <c r="HM131" s="150"/>
      <c r="HN131" s="150"/>
      <c r="HO131" s="150"/>
      <c r="HP131" s="150"/>
      <c r="HQ131" s="150"/>
      <c r="HR131" s="150"/>
      <c r="HS131" s="150"/>
      <c r="HT131" s="150"/>
      <c r="HU131" s="150"/>
      <c r="HV131" s="150"/>
      <c r="HW131" s="150"/>
      <c r="HX131" s="150"/>
      <c r="HY131" s="150"/>
      <c r="HZ131" s="150"/>
      <c r="IA131" s="150"/>
      <c r="IB131" s="150"/>
      <c r="IC131" s="150"/>
      <c r="ID131" s="150"/>
      <c r="IE131" s="150"/>
      <c r="IF131" s="150"/>
      <c r="IG131" s="150"/>
      <c r="IH131" s="150"/>
      <c r="II131" s="150"/>
      <c r="IJ131" s="150"/>
      <c r="IK131" s="150"/>
      <c r="IL131" s="150"/>
      <c r="IM131" s="150"/>
      <c r="IN131" s="150"/>
      <c r="IO131" s="150"/>
      <c r="IP131" s="150"/>
      <c r="IQ131" s="150"/>
      <c r="IR131" s="150"/>
      <c r="IS131" s="150"/>
      <c r="IT131" s="150"/>
      <c r="IU131" s="150"/>
      <c r="IV131" s="150"/>
      <c r="IW131" s="150"/>
      <c r="IX131" s="150"/>
      <c r="IY131" s="150"/>
      <c r="IZ131" s="150"/>
      <c r="JA131" s="150"/>
      <c r="JB131" s="150"/>
      <c r="JC131" s="150"/>
      <c r="JD131" s="150"/>
      <c r="JE131" s="150"/>
      <c r="JF131" s="150"/>
      <c r="JG131" s="150"/>
      <c r="JH131" s="150"/>
      <c r="JI131" s="150"/>
      <c r="JJ131" s="150"/>
      <c r="JK131" s="150"/>
      <c r="JL131" s="150"/>
      <c r="JM131" s="150"/>
      <c r="JN131" s="150"/>
      <c r="JO131" s="150"/>
      <c r="JP131" s="150"/>
      <c r="JQ131" s="150"/>
      <c r="JR131" s="150"/>
      <c r="JS131" s="150"/>
      <c r="JT131" s="150"/>
      <c r="JU131" s="150"/>
      <c r="JV131" s="150"/>
      <c r="JW131" s="150"/>
      <c r="JX131" s="150"/>
      <c r="JY131" s="150"/>
      <c r="JZ131" s="150"/>
      <c r="KA131" s="150"/>
      <c r="KB131" s="150"/>
      <c r="KC131" s="150"/>
      <c r="KD131" s="150"/>
      <c r="KE131" s="150"/>
      <c r="KF131" s="150"/>
      <c r="KG131" s="150"/>
      <c r="KH131" s="150"/>
      <c r="KI131" s="150"/>
      <c r="KJ131" s="150"/>
      <c r="KK131" s="150"/>
      <c r="KL131" s="150"/>
      <c r="KM131" s="150"/>
      <c r="KN131" s="150"/>
      <c r="KO131" s="150"/>
      <c r="KP131" s="150"/>
      <c r="KQ131" s="150"/>
      <c r="KR131" s="150"/>
      <c r="KS131" s="150"/>
      <c r="KT131" s="150"/>
      <c r="KU131" s="150"/>
      <c r="KV131" s="150"/>
      <c r="KW131" s="150"/>
      <c r="KX131" s="150"/>
      <c r="KY131" s="150"/>
      <c r="KZ131" s="150"/>
      <c r="LA131" s="150"/>
      <c r="LB131" s="150"/>
      <c r="LC131" s="150"/>
      <c r="LD131" s="150"/>
      <c r="LE131" s="150"/>
      <c r="LF131" s="150"/>
      <c r="LG131" s="150"/>
      <c r="LH131" s="150"/>
      <c r="LI131" s="150"/>
      <c r="LJ131" s="150"/>
      <c r="LK131" s="150"/>
      <c r="LL131" s="150"/>
      <c r="LM131" s="150"/>
      <c r="LN131" s="150"/>
      <c r="LO131" s="150"/>
      <c r="LP131" s="150"/>
      <c r="LQ131" s="150"/>
      <c r="LR131" s="150"/>
      <c r="LS131" s="150"/>
      <c r="LT131" s="150"/>
      <c r="LU131" s="150"/>
      <c r="LV131" s="150"/>
      <c r="LW131" s="150"/>
      <c r="LX131" s="150"/>
      <c r="LY131" s="150"/>
      <c r="LZ131" s="150"/>
      <c r="MA131" s="150"/>
      <c r="MB131" s="150"/>
      <c r="MC131" s="150"/>
      <c r="MD131" s="150"/>
      <c r="ME131" s="150"/>
      <c r="MF131" s="150"/>
      <c r="MG131" s="150"/>
      <c r="MH131" s="150"/>
      <c r="MI131" s="150"/>
      <c r="MJ131" s="150"/>
      <c r="MK131" s="150"/>
      <c r="ML131" s="150"/>
      <c r="MM131" s="150"/>
      <c r="MN131" s="150"/>
      <c r="MO131" s="150"/>
      <c r="MP131" s="150"/>
      <c r="MQ131" s="150"/>
      <c r="MR131" s="150"/>
      <c r="MS131" s="150"/>
      <c r="MT131" s="150"/>
      <c r="MU131" s="150"/>
      <c r="MV131" s="150"/>
      <c r="MW131" s="150"/>
      <c r="MX131" s="150"/>
      <c r="MY131" s="150"/>
      <c r="MZ131" s="150"/>
      <c r="NA131" s="150"/>
      <c r="NB131" s="150"/>
      <c r="NC131" s="150"/>
      <c r="ND131" s="150"/>
      <c r="NE131" s="150"/>
      <c r="NF131" s="150"/>
      <c r="NG131" s="150"/>
      <c r="NH131" s="150"/>
      <c r="NI131" s="150"/>
      <c r="NJ131" s="150"/>
      <c r="NK131" s="150"/>
      <c r="NL131" s="150"/>
      <c r="NM131" s="150"/>
      <c r="NN131" s="150"/>
      <c r="NO131" s="150"/>
      <c r="NP131" s="150"/>
      <c r="NQ131" s="150"/>
      <c r="NR131" s="150"/>
      <c r="NS131" s="150"/>
      <c r="NT131" s="150"/>
      <c r="NU131" s="150"/>
      <c r="NV131" s="150"/>
      <c r="NW131" s="150"/>
      <c r="NX131" s="150"/>
      <c r="NY131" s="150"/>
      <c r="NZ131" s="150"/>
      <c r="OA131" s="150"/>
      <c r="OB131" s="150"/>
      <c r="OC131" s="150"/>
      <c r="OD131" s="150"/>
      <c r="OE131" s="150"/>
    </row>
    <row r="132" spans="1:395" ht="15">
      <c r="A132" s="19"/>
      <c r="B132" s="17"/>
      <c r="C132" s="187">
        <v>2041</v>
      </c>
      <c r="D132" s="187">
        <v>44</v>
      </c>
      <c r="E132" s="187">
        <v>71</v>
      </c>
      <c r="F132" s="187">
        <v>104</v>
      </c>
      <c r="G132" s="187">
        <v>101</v>
      </c>
      <c r="H132" s="187">
        <v>71</v>
      </c>
      <c r="I132" s="187">
        <v>156</v>
      </c>
      <c r="J132" s="187">
        <v>65</v>
      </c>
      <c r="K132" s="187">
        <v>62</v>
      </c>
      <c r="L132" s="187">
        <v>115</v>
      </c>
      <c r="M132" s="187">
        <v>64</v>
      </c>
      <c r="N132" s="187">
        <v>62</v>
      </c>
      <c r="O132" s="187">
        <v>114</v>
      </c>
      <c r="P132" s="187">
        <v>69</v>
      </c>
      <c r="Q132" s="187">
        <v>71</v>
      </c>
      <c r="R132" s="187">
        <v>127</v>
      </c>
      <c r="S132" s="187">
        <v>69</v>
      </c>
      <c r="T132" s="187">
        <v>71</v>
      </c>
      <c r="U132" s="187">
        <v>128</v>
      </c>
      <c r="V132" s="187">
        <v>82</v>
      </c>
      <c r="W132" s="187">
        <v>212</v>
      </c>
      <c r="X132" s="187">
        <v>267</v>
      </c>
      <c r="Y132" s="187">
        <v>70</v>
      </c>
      <c r="Z132" s="187">
        <v>150</v>
      </c>
      <c r="AA132" s="187">
        <v>201</v>
      </c>
      <c r="AB132" s="187">
        <v>74</v>
      </c>
      <c r="AC132" s="187">
        <v>106</v>
      </c>
      <c r="AD132" s="187">
        <v>164</v>
      </c>
      <c r="AE132" s="187">
        <v>78</v>
      </c>
      <c r="AF132" s="187">
        <v>44</v>
      </c>
      <c r="AG132" s="187">
        <v>111</v>
      </c>
      <c r="AH132" s="187">
        <v>67</v>
      </c>
      <c r="AI132" s="187">
        <v>177</v>
      </c>
      <c r="AJ132" s="187">
        <v>222</v>
      </c>
      <c r="AK132" s="187">
        <v>66</v>
      </c>
      <c r="AL132" s="187">
        <v>71</v>
      </c>
      <c r="AM132" s="187">
        <v>125</v>
      </c>
      <c r="AN132" s="187">
        <v>73</v>
      </c>
      <c r="AO132" s="187">
        <v>53</v>
      </c>
      <c r="AP132" s="187">
        <v>114</v>
      </c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  <c r="BI132" s="150"/>
      <c r="BJ132" s="150"/>
      <c r="BK132" s="150"/>
      <c r="BL132" s="150"/>
      <c r="BM132" s="150"/>
      <c r="BN132" s="150"/>
      <c r="BO132" s="150"/>
      <c r="BP132" s="150"/>
      <c r="BQ132" s="150"/>
      <c r="BR132" s="150"/>
      <c r="BS132" s="150"/>
      <c r="BT132" s="150"/>
      <c r="BU132" s="150"/>
      <c r="BV132" s="150"/>
      <c r="BW132" s="150"/>
      <c r="BX132" s="150"/>
      <c r="BY132" s="150"/>
      <c r="BZ132" s="150"/>
      <c r="CA132" s="150"/>
      <c r="CB132" s="150"/>
      <c r="CC132" s="150"/>
      <c r="CD132" s="150"/>
      <c r="CE132" s="150"/>
      <c r="CF132" s="150"/>
      <c r="CG132" s="150"/>
      <c r="CH132" s="150"/>
      <c r="CI132" s="150"/>
      <c r="CJ132" s="150"/>
      <c r="CK132" s="150"/>
      <c r="CL132" s="150"/>
      <c r="CM132" s="150"/>
      <c r="CN132" s="150"/>
      <c r="CO132" s="150"/>
      <c r="CP132" s="150"/>
      <c r="CQ132" s="150"/>
      <c r="CR132" s="150"/>
      <c r="CS132" s="150"/>
      <c r="CT132" s="150"/>
      <c r="CU132" s="150"/>
      <c r="CV132" s="150"/>
      <c r="CW132" s="150"/>
      <c r="CX132" s="150"/>
      <c r="CY132" s="150"/>
      <c r="CZ132" s="150"/>
      <c r="DA132" s="150"/>
      <c r="DB132" s="150"/>
      <c r="DC132" s="150"/>
      <c r="DD132" s="150"/>
      <c r="DE132" s="150"/>
      <c r="DF132" s="150"/>
      <c r="DG132" s="150"/>
      <c r="DH132" s="150"/>
      <c r="DI132" s="150"/>
      <c r="DJ132" s="150"/>
      <c r="DK132" s="150"/>
      <c r="DL132" s="150"/>
      <c r="DM132" s="150"/>
      <c r="DN132" s="150"/>
      <c r="DO132" s="150"/>
      <c r="DP132" s="150"/>
      <c r="DQ132" s="150"/>
      <c r="DR132" s="150"/>
      <c r="DS132" s="150"/>
      <c r="DT132" s="150"/>
      <c r="DU132" s="150"/>
      <c r="DV132" s="150"/>
      <c r="DW132" s="150"/>
      <c r="DX132" s="150"/>
      <c r="DY132" s="150"/>
      <c r="DZ132" s="150"/>
      <c r="EA132" s="150"/>
      <c r="EB132" s="150"/>
      <c r="EC132" s="150"/>
      <c r="ED132" s="150"/>
      <c r="EE132" s="150"/>
      <c r="EF132" s="150"/>
      <c r="EG132" s="150"/>
      <c r="EH132" s="150"/>
      <c r="EI132" s="150"/>
      <c r="EJ132" s="150"/>
      <c r="EK132" s="150"/>
      <c r="EL132" s="150"/>
      <c r="EM132" s="150"/>
      <c r="EN132" s="150"/>
      <c r="EO132" s="150"/>
      <c r="EP132" s="150"/>
      <c r="EQ132" s="150"/>
      <c r="ER132" s="150"/>
      <c r="ES132" s="150"/>
      <c r="ET132" s="150"/>
      <c r="EU132" s="150"/>
      <c r="EV132" s="150"/>
      <c r="EW132" s="150"/>
      <c r="EX132" s="150"/>
      <c r="EY132" s="150"/>
      <c r="EZ132" s="150"/>
      <c r="FA132" s="150"/>
      <c r="FB132" s="150"/>
      <c r="FC132" s="150"/>
      <c r="FD132" s="150"/>
      <c r="FE132" s="150"/>
      <c r="FF132" s="150"/>
      <c r="FG132" s="150"/>
      <c r="FH132" s="150"/>
      <c r="FI132" s="150"/>
      <c r="FJ132" s="150"/>
      <c r="FK132" s="150"/>
      <c r="FL132" s="150"/>
      <c r="FM132" s="150"/>
      <c r="FN132" s="150"/>
      <c r="FO132" s="150"/>
      <c r="FP132" s="150"/>
      <c r="FQ132" s="150"/>
      <c r="FR132" s="150"/>
      <c r="FS132" s="150"/>
      <c r="FT132" s="150"/>
      <c r="FU132" s="150"/>
      <c r="FV132" s="150"/>
      <c r="FW132" s="150"/>
      <c r="FX132" s="150"/>
      <c r="FY132" s="150"/>
      <c r="FZ132" s="150"/>
      <c r="GA132" s="150"/>
      <c r="GB132" s="150"/>
      <c r="GC132" s="150"/>
      <c r="GD132" s="150"/>
      <c r="GE132" s="150"/>
      <c r="GF132" s="150"/>
      <c r="GG132" s="150"/>
      <c r="GH132" s="150"/>
      <c r="GI132" s="150"/>
      <c r="GJ132" s="150"/>
      <c r="GK132" s="150"/>
      <c r="GL132" s="150"/>
      <c r="GM132" s="150"/>
      <c r="GN132" s="150"/>
      <c r="GO132" s="150"/>
      <c r="GP132" s="150"/>
      <c r="GQ132" s="150"/>
      <c r="GR132" s="150"/>
      <c r="GS132" s="150"/>
      <c r="GT132" s="150"/>
      <c r="GU132" s="150"/>
      <c r="GV132" s="150"/>
      <c r="GW132" s="150"/>
      <c r="GX132" s="150"/>
      <c r="GY132" s="150"/>
      <c r="GZ132" s="150"/>
      <c r="HA132" s="150"/>
      <c r="HB132" s="150"/>
      <c r="HC132" s="150"/>
      <c r="HD132" s="150"/>
      <c r="HE132" s="150"/>
      <c r="HF132" s="150"/>
      <c r="HG132" s="150"/>
      <c r="HH132" s="150"/>
      <c r="HI132" s="150"/>
      <c r="HJ132" s="150"/>
      <c r="HK132" s="150"/>
      <c r="HL132" s="150"/>
      <c r="HM132" s="150"/>
      <c r="HN132" s="150"/>
      <c r="HO132" s="150"/>
      <c r="HP132" s="150"/>
      <c r="HQ132" s="150"/>
      <c r="HR132" s="150"/>
      <c r="HS132" s="150"/>
      <c r="HT132" s="150"/>
      <c r="HU132" s="150"/>
      <c r="HV132" s="150"/>
      <c r="HW132" s="150"/>
      <c r="HX132" s="150"/>
      <c r="HY132" s="150"/>
      <c r="HZ132" s="150"/>
      <c r="IA132" s="150"/>
      <c r="IB132" s="150"/>
      <c r="IC132" s="150"/>
      <c r="ID132" s="150"/>
      <c r="IE132" s="150"/>
      <c r="IF132" s="150"/>
      <c r="IG132" s="150"/>
      <c r="IH132" s="150"/>
      <c r="II132" s="150"/>
      <c r="IJ132" s="150"/>
      <c r="IK132" s="150"/>
      <c r="IL132" s="150"/>
      <c r="IM132" s="150"/>
      <c r="IN132" s="150"/>
      <c r="IO132" s="150"/>
      <c r="IP132" s="150"/>
      <c r="IQ132" s="150"/>
      <c r="IR132" s="150"/>
      <c r="IS132" s="150"/>
      <c r="IT132" s="150"/>
      <c r="IU132" s="150"/>
      <c r="IV132" s="150"/>
      <c r="IW132" s="150"/>
      <c r="IX132" s="150"/>
      <c r="IY132" s="150"/>
      <c r="IZ132" s="150"/>
      <c r="JA132" s="150"/>
      <c r="JB132" s="150"/>
      <c r="JC132" s="150"/>
      <c r="JD132" s="150"/>
      <c r="JE132" s="150"/>
      <c r="JF132" s="150"/>
      <c r="JG132" s="150"/>
      <c r="JH132" s="150"/>
      <c r="JI132" s="150"/>
      <c r="JJ132" s="150"/>
      <c r="JK132" s="150"/>
      <c r="JL132" s="150"/>
      <c r="JM132" s="150"/>
      <c r="JN132" s="150"/>
      <c r="JO132" s="150"/>
      <c r="JP132" s="150"/>
      <c r="JQ132" s="150"/>
      <c r="JR132" s="150"/>
      <c r="JS132" s="150"/>
      <c r="JT132" s="150"/>
      <c r="JU132" s="150"/>
      <c r="JV132" s="150"/>
      <c r="JW132" s="150"/>
      <c r="JX132" s="150"/>
      <c r="JY132" s="150"/>
      <c r="JZ132" s="150"/>
      <c r="KA132" s="150"/>
      <c r="KB132" s="150"/>
      <c r="KC132" s="150"/>
      <c r="KD132" s="150"/>
      <c r="KE132" s="150"/>
      <c r="KF132" s="150"/>
      <c r="KG132" s="150"/>
      <c r="KH132" s="150"/>
      <c r="KI132" s="150"/>
      <c r="KJ132" s="150"/>
      <c r="KK132" s="150"/>
      <c r="KL132" s="150"/>
      <c r="KM132" s="150"/>
      <c r="KN132" s="150"/>
      <c r="KO132" s="150"/>
      <c r="KP132" s="150"/>
      <c r="KQ132" s="150"/>
      <c r="KR132" s="150"/>
      <c r="KS132" s="150"/>
      <c r="KT132" s="150"/>
      <c r="KU132" s="150"/>
      <c r="KV132" s="150"/>
      <c r="KW132" s="150"/>
      <c r="KX132" s="150"/>
      <c r="KY132" s="150"/>
      <c r="KZ132" s="150"/>
      <c r="LA132" s="150"/>
      <c r="LB132" s="150"/>
      <c r="LC132" s="150"/>
      <c r="LD132" s="150"/>
      <c r="LE132" s="150"/>
      <c r="LF132" s="150"/>
      <c r="LG132" s="150"/>
      <c r="LH132" s="150"/>
      <c r="LI132" s="150"/>
      <c r="LJ132" s="150"/>
      <c r="LK132" s="150"/>
      <c r="LL132" s="150"/>
      <c r="LM132" s="150"/>
      <c r="LN132" s="150"/>
      <c r="LO132" s="150"/>
      <c r="LP132" s="150"/>
      <c r="LQ132" s="150"/>
      <c r="LR132" s="150"/>
      <c r="LS132" s="150"/>
      <c r="LT132" s="150"/>
      <c r="LU132" s="150"/>
      <c r="LV132" s="150"/>
      <c r="LW132" s="150"/>
      <c r="LX132" s="150"/>
      <c r="LY132" s="150"/>
      <c r="LZ132" s="150"/>
      <c r="MA132" s="150"/>
      <c r="MB132" s="150"/>
      <c r="MC132" s="150"/>
      <c r="MD132" s="150"/>
      <c r="ME132" s="150"/>
      <c r="MF132" s="150"/>
      <c r="MG132" s="150"/>
      <c r="MH132" s="150"/>
      <c r="MI132" s="150"/>
      <c r="MJ132" s="150"/>
      <c r="MK132" s="150"/>
      <c r="ML132" s="150"/>
      <c r="MM132" s="150"/>
      <c r="MN132" s="150"/>
      <c r="MO132" s="150"/>
      <c r="MP132" s="150"/>
      <c r="MQ132" s="150"/>
      <c r="MR132" s="150"/>
      <c r="MS132" s="150"/>
      <c r="MT132" s="150"/>
      <c r="MU132" s="150"/>
      <c r="MV132" s="150"/>
      <c r="MW132" s="150"/>
      <c r="MX132" s="150"/>
      <c r="MY132" s="150"/>
      <c r="MZ132" s="150"/>
      <c r="NA132" s="150"/>
      <c r="NB132" s="150"/>
      <c r="NC132" s="150"/>
      <c r="ND132" s="150"/>
      <c r="NE132" s="150"/>
      <c r="NF132" s="150"/>
      <c r="NG132" s="150"/>
      <c r="NH132" s="150"/>
      <c r="NI132" s="150"/>
      <c r="NJ132" s="150"/>
      <c r="NK132" s="150"/>
      <c r="NL132" s="150"/>
      <c r="NM132" s="150"/>
      <c r="NN132" s="150"/>
      <c r="NO132" s="150"/>
      <c r="NP132" s="150"/>
      <c r="NQ132" s="150"/>
      <c r="NR132" s="150"/>
      <c r="NS132" s="150"/>
      <c r="NT132" s="150"/>
      <c r="NU132" s="150"/>
      <c r="NV132" s="150"/>
      <c r="NW132" s="150"/>
      <c r="NX132" s="150"/>
      <c r="NY132" s="150"/>
      <c r="NZ132" s="150"/>
      <c r="OA132" s="150"/>
      <c r="OB132" s="150"/>
      <c r="OC132" s="150"/>
      <c r="OD132" s="150"/>
      <c r="OE132" s="150"/>
    </row>
    <row r="133" spans="1:395" ht="15">
      <c r="A133" s="19"/>
      <c r="B133" s="17"/>
      <c r="C133" s="187">
        <v>2042</v>
      </c>
      <c r="D133" s="187">
        <v>40</v>
      </c>
      <c r="E133" s="187">
        <v>66</v>
      </c>
      <c r="F133" s="187">
        <v>96</v>
      </c>
      <c r="G133" s="187">
        <v>94</v>
      </c>
      <c r="H133" s="187">
        <v>66</v>
      </c>
      <c r="I133" s="187">
        <v>145</v>
      </c>
      <c r="J133" s="187">
        <v>60</v>
      </c>
      <c r="K133" s="187">
        <v>58</v>
      </c>
      <c r="L133" s="187">
        <v>107</v>
      </c>
      <c r="M133" s="187">
        <v>59</v>
      </c>
      <c r="N133" s="187">
        <v>58</v>
      </c>
      <c r="O133" s="187">
        <v>106</v>
      </c>
      <c r="P133" s="187">
        <v>64</v>
      </c>
      <c r="Q133" s="187">
        <v>66</v>
      </c>
      <c r="R133" s="187">
        <v>118</v>
      </c>
      <c r="S133" s="187">
        <v>64</v>
      </c>
      <c r="T133" s="187">
        <v>66</v>
      </c>
      <c r="U133" s="187">
        <v>118</v>
      </c>
      <c r="V133" s="187">
        <v>76</v>
      </c>
      <c r="W133" s="187">
        <v>197</v>
      </c>
      <c r="X133" s="187">
        <v>248</v>
      </c>
      <c r="Y133" s="187">
        <v>66</v>
      </c>
      <c r="Z133" s="187">
        <v>140</v>
      </c>
      <c r="AA133" s="187">
        <v>187</v>
      </c>
      <c r="AB133" s="187">
        <v>69</v>
      </c>
      <c r="AC133" s="187">
        <v>99</v>
      </c>
      <c r="AD133" s="187">
        <v>152</v>
      </c>
      <c r="AE133" s="187">
        <v>73</v>
      </c>
      <c r="AF133" s="187">
        <v>41</v>
      </c>
      <c r="AG133" s="187">
        <v>104</v>
      </c>
      <c r="AH133" s="187">
        <v>62</v>
      </c>
      <c r="AI133" s="187">
        <v>164</v>
      </c>
      <c r="AJ133" s="187">
        <v>206</v>
      </c>
      <c r="AK133" s="187">
        <v>62</v>
      </c>
      <c r="AL133" s="187">
        <v>66</v>
      </c>
      <c r="AM133" s="187">
        <v>116</v>
      </c>
      <c r="AN133" s="187">
        <v>68</v>
      </c>
      <c r="AO133" s="187">
        <v>49</v>
      </c>
      <c r="AP133" s="187">
        <v>106</v>
      </c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  <c r="BI133" s="150"/>
      <c r="BJ133" s="150"/>
      <c r="BK133" s="150"/>
      <c r="BL133" s="150"/>
      <c r="BM133" s="150"/>
      <c r="BN133" s="150"/>
      <c r="BO133" s="150"/>
      <c r="BP133" s="150"/>
      <c r="BQ133" s="150"/>
      <c r="BR133" s="150"/>
      <c r="BS133" s="150"/>
      <c r="BT133" s="150"/>
      <c r="BU133" s="150"/>
      <c r="BV133" s="150"/>
      <c r="BW133" s="150"/>
      <c r="BX133" s="150"/>
      <c r="BY133" s="150"/>
      <c r="BZ133" s="150"/>
      <c r="CA133" s="150"/>
      <c r="CB133" s="150"/>
      <c r="CC133" s="150"/>
      <c r="CD133" s="150"/>
      <c r="CE133" s="150"/>
      <c r="CF133" s="150"/>
      <c r="CG133" s="150"/>
      <c r="CH133" s="150"/>
      <c r="CI133" s="150"/>
      <c r="CJ133" s="150"/>
      <c r="CK133" s="150"/>
      <c r="CL133" s="150"/>
      <c r="CM133" s="150"/>
      <c r="CN133" s="150"/>
      <c r="CO133" s="150"/>
      <c r="CP133" s="150"/>
      <c r="CQ133" s="150"/>
      <c r="CR133" s="150"/>
      <c r="CS133" s="150"/>
      <c r="CT133" s="150"/>
      <c r="CU133" s="150"/>
      <c r="CV133" s="150"/>
      <c r="CW133" s="150"/>
      <c r="CX133" s="150"/>
      <c r="CY133" s="150"/>
      <c r="CZ133" s="150"/>
      <c r="DA133" s="150"/>
      <c r="DB133" s="150"/>
      <c r="DC133" s="150"/>
      <c r="DD133" s="150"/>
      <c r="DE133" s="150"/>
      <c r="DF133" s="150"/>
      <c r="DG133" s="150"/>
      <c r="DH133" s="150"/>
      <c r="DI133" s="150"/>
      <c r="DJ133" s="150"/>
      <c r="DK133" s="150"/>
      <c r="DL133" s="150"/>
      <c r="DM133" s="150"/>
      <c r="DN133" s="150"/>
      <c r="DO133" s="150"/>
      <c r="DP133" s="150"/>
      <c r="DQ133" s="150"/>
      <c r="DR133" s="150"/>
      <c r="DS133" s="150"/>
      <c r="DT133" s="150"/>
      <c r="DU133" s="150"/>
      <c r="DV133" s="150"/>
      <c r="DW133" s="150"/>
      <c r="DX133" s="150"/>
      <c r="DY133" s="150"/>
      <c r="DZ133" s="150"/>
      <c r="EA133" s="150"/>
      <c r="EB133" s="150"/>
      <c r="EC133" s="150"/>
      <c r="ED133" s="150"/>
      <c r="EE133" s="150"/>
      <c r="EF133" s="150"/>
      <c r="EG133" s="150"/>
      <c r="EH133" s="150"/>
      <c r="EI133" s="150"/>
      <c r="EJ133" s="150"/>
      <c r="EK133" s="150"/>
      <c r="EL133" s="150"/>
      <c r="EM133" s="150"/>
      <c r="EN133" s="150"/>
      <c r="EO133" s="150"/>
      <c r="EP133" s="150"/>
      <c r="EQ133" s="150"/>
      <c r="ER133" s="150"/>
      <c r="ES133" s="150"/>
      <c r="ET133" s="150"/>
      <c r="EU133" s="150"/>
      <c r="EV133" s="150"/>
      <c r="EW133" s="150"/>
      <c r="EX133" s="150"/>
      <c r="EY133" s="150"/>
      <c r="EZ133" s="150"/>
      <c r="FA133" s="150"/>
      <c r="FB133" s="150"/>
      <c r="FC133" s="150"/>
      <c r="FD133" s="150"/>
      <c r="FE133" s="150"/>
      <c r="FF133" s="150"/>
      <c r="FG133" s="150"/>
      <c r="FH133" s="150"/>
      <c r="FI133" s="150"/>
      <c r="FJ133" s="150"/>
      <c r="FK133" s="150"/>
      <c r="FL133" s="150"/>
      <c r="FM133" s="150"/>
      <c r="FN133" s="150"/>
      <c r="FO133" s="150"/>
      <c r="FP133" s="150"/>
      <c r="FQ133" s="150"/>
      <c r="FR133" s="150"/>
      <c r="FS133" s="150"/>
      <c r="FT133" s="150"/>
      <c r="FU133" s="150"/>
      <c r="FV133" s="150"/>
      <c r="FW133" s="150"/>
      <c r="FX133" s="150"/>
      <c r="FY133" s="150"/>
      <c r="FZ133" s="150"/>
      <c r="GA133" s="150"/>
      <c r="GB133" s="150"/>
      <c r="GC133" s="150"/>
      <c r="GD133" s="150"/>
      <c r="GE133" s="150"/>
      <c r="GF133" s="150"/>
      <c r="GG133" s="150"/>
      <c r="GH133" s="150"/>
      <c r="GI133" s="150"/>
      <c r="GJ133" s="150"/>
      <c r="GK133" s="150"/>
      <c r="GL133" s="150"/>
      <c r="GM133" s="150"/>
      <c r="GN133" s="150"/>
      <c r="GO133" s="150"/>
      <c r="GP133" s="150"/>
      <c r="GQ133" s="150"/>
      <c r="GR133" s="150"/>
      <c r="GS133" s="150"/>
      <c r="GT133" s="150"/>
      <c r="GU133" s="150"/>
      <c r="GV133" s="150"/>
      <c r="GW133" s="150"/>
      <c r="GX133" s="150"/>
      <c r="GY133" s="150"/>
      <c r="GZ133" s="150"/>
      <c r="HA133" s="150"/>
      <c r="HB133" s="150"/>
      <c r="HC133" s="150"/>
      <c r="HD133" s="150"/>
      <c r="HE133" s="150"/>
      <c r="HF133" s="150"/>
      <c r="HG133" s="150"/>
      <c r="HH133" s="150"/>
      <c r="HI133" s="150"/>
      <c r="HJ133" s="150"/>
      <c r="HK133" s="150"/>
      <c r="HL133" s="150"/>
      <c r="HM133" s="150"/>
      <c r="HN133" s="150"/>
      <c r="HO133" s="150"/>
      <c r="HP133" s="150"/>
      <c r="HQ133" s="150"/>
      <c r="HR133" s="150"/>
      <c r="HS133" s="150"/>
      <c r="HT133" s="150"/>
      <c r="HU133" s="150"/>
      <c r="HV133" s="150"/>
      <c r="HW133" s="150"/>
      <c r="HX133" s="150"/>
      <c r="HY133" s="150"/>
      <c r="HZ133" s="150"/>
      <c r="IA133" s="150"/>
      <c r="IB133" s="150"/>
      <c r="IC133" s="150"/>
      <c r="ID133" s="150"/>
      <c r="IE133" s="150"/>
      <c r="IF133" s="150"/>
      <c r="IG133" s="150"/>
      <c r="IH133" s="150"/>
      <c r="II133" s="150"/>
      <c r="IJ133" s="150"/>
      <c r="IK133" s="150"/>
      <c r="IL133" s="150"/>
      <c r="IM133" s="150"/>
      <c r="IN133" s="150"/>
      <c r="IO133" s="150"/>
      <c r="IP133" s="150"/>
      <c r="IQ133" s="150"/>
      <c r="IR133" s="150"/>
      <c r="IS133" s="150"/>
      <c r="IT133" s="150"/>
      <c r="IU133" s="150"/>
      <c r="IV133" s="150"/>
      <c r="IW133" s="150"/>
      <c r="IX133" s="150"/>
      <c r="IY133" s="150"/>
      <c r="IZ133" s="150"/>
      <c r="JA133" s="150"/>
      <c r="JB133" s="150"/>
      <c r="JC133" s="150"/>
      <c r="JD133" s="150"/>
      <c r="JE133" s="150"/>
      <c r="JF133" s="150"/>
      <c r="JG133" s="150"/>
      <c r="JH133" s="150"/>
      <c r="JI133" s="150"/>
      <c r="JJ133" s="150"/>
      <c r="JK133" s="150"/>
      <c r="JL133" s="150"/>
      <c r="JM133" s="150"/>
      <c r="JN133" s="150"/>
      <c r="JO133" s="150"/>
      <c r="JP133" s="150"/>
      <c r="JQ133" s="150"/>
      <c r="JR133" s="150"/>
      <c r="JS133" s="150"/>
      <c r="JT133" s="150"/>
      <c r="JU133" s="150"/>
      <c r="JV133" s="150"/>
      <c r="JW133" s="150"/>
      <c r="JX133" s="150"/>
      <c r="JY133" s="150"/>
      <c r="JZ133" s="150"/>
      <c r="KA133" s="150"/>
      <c r="KB133" s="150"/>
      <c r="KC133" s="150"/>
      <c r="KD133" s="150"/>
      <c r="KE133" s="150"/>
      <c r="KF133" s="150"/>
      <c r="KG133" s="150"/>
      <c r="KH133" s="150"/>
      <c r="KI133" s="150"/>
      <c r="KJ133" s="150"/>
      <c r="KK133" s="150"/>
      <c r="KL133" s="150"/>
      <c r="KM133" s="150"/>
      <c r="KN133" s="150"/>
      <c r="KO133" s="150"/>
      <c r="KP133" s="150"/>
      <c r="KQ133" s="150"/>
      <c r="KR133" s="150"/>
      <c r="KS133" s="150"/>
      <c r="KT133" s="150"/>
      <c r="KU133" s="150"/>
      <c r="KV133" s="150"/>
      <c r="KW133" s="150"/>
      <c r="KX133" s="150"/>
      <c r="KY133" s="150"/>
      <c r="KZ133" s="150"/>
      <c r="LA133" s="150"/>
      <c r="LB133" s="150"/>
      <c r="LC133" s="150"/>
      <c r="LD133" s="150"/>
      <c r="LE133" s="150"/>
      <c r="LF133" s="150"/>
      <c r="LG133" s="150"/>
      <c r="LH133" s="150"/>
      <c r="LI133" s="150"/>
      <c r="LJ133" s="150"/>
      <c r="LK133" s="150"/>
      <c r="LL133" s="150"/>
      <c r="LM133" s="150"/>
      <c r="LN133" s="150"/>
      <c r="LO133" s="150"/>
      <c r="LP133" s="150"/>
      <c r="LQ133" s="150"/>
      <c r="LR133" s="150"/>
      <c r="LS133" s="150"/>
      <c r="LT133" s="150"/>
      <c r="LU133" s="150"/>
      <c r="LV133" s="150"/>
      <c r="LW133" s="150"/>
      <c r="LX133" s="150"/>
      <c r="LY133" s="150"/>
      <c r="LZ133" s="150"/>
      <c r="MA133" s="150"/>
      <c r="MB133" s="150"/>
      <c r="MC133" s="150"/>
      <c r="MD133" s="150"/>
      <c r="ME133" s="150"/>
      <c r="MF133" s="150"/>
      <c r="MG133" s="150"/>
      <c r="MH133" s="150"/>
      <c r="MI133" s="150"/>
      <c r="MJ133" s="150"/>
      <c r="MK133" s="150"/>
      <c r="ML133" s="150"/>
      <c r="MM133" s="150"/>
      <c r="MN133" s="150"/>
      <c r="MO133" s="150"/>
      <c r="MP133" s="150"/>
      <c r="MQ133" s="150"/>
      <c r="MR133" s="150"/>
      <c r="MS133" s="150"/>
      <c r="MT133" s="150"/>
      <c r="MU133" s="150"/>
      <c r="MV133" s="150"/>
      <c r="MW133" s="150"/>
      <c r="MX133" s="150"/>
      <c r="MY133" s="150"/>
      <c r="MZ133" s="150"/>
      <c r="NA133" s="150"/>
      <c r="NB133" s="150"/>
      <c r="NC133" s="150"/>
      <c r="ND133" s="150"/>
      <c r="NE133" s="150"/>
      <c r="NF133" s="150"/>
      <c r="NG133" s="150"/>
      <c r="NH133" s="150"/>
      <c r="NI133" s="150"/>
      <c r="NJ133" s="150"/>
      <c r="NK133" s="150"/>
      <c r="NL133" s="150"/>
      <c r="NM133" s="150"/>
      <c r="NN133" s="150"/>
      <c r="NO133" s="150"/>
      <c r="NP133" s="150"/>
      <c r="NQ133" s="150"/>
      <c r="NR133" s="150"/>
      <c r="NS133" s="150"/>
      <c r="NT133" s="150"/>
      <c r="NU133" s="150"/>
      <c r="NV133" s="150"/>
      <c r="NW133" s="150"/>
      <c r="NX133" s="150"/>
      <c r="NY133" s="150"/>
      <c r="NZ133" s="150"/>
      <c r="OA133" s="150"/>
      <c r="OB133" s="150"/>
      <c r="OC133" s="150"/>
      <c r="OD133" s="150"/>
      <c r="OE133" s="150"/>
    </row>
    <row r="134" spans="1:395" ht="15">
      <c r="A134" s="19"/>
      <c r="B134" s="17"/>
      <c r="C134" s="187">
        <v>2043</v>
      </c>
      <c r="D134" s="187">
        <v>37</v>
      </c>
      <c r="E134" s="187">
        <v>61</v>
      </c>
      <c r="F134" s="187">
        <v>89</v>
      </c>
      <c r="G134" s="187">
        <v>86</v>
      </c>
      <c r="H134" s="187">
        <v>61</v>
      </c>
      <c r="I134" s="187">
        <v>134</v>
      </c>
      <c r="J134" s="187">
        <v>56</v>
      </c>
      <c r="K134" s="187">
        <v>53</v>
      </c>
      <c r="L134" s="187">
        <v>99</v>
      </c>
      <c r="M134" s="187">
        <v>55</v>
      </c>
      <c r="N134" s="187">
        <v>53</v>
      </c>
      <c r="O134" s="187">
        <v>98</v>
      </c>
      <c r="P134" s="187">
        <v>59</v>
      </c>
      <c r="Q134" s="187">
        <v>61</v>
      </c>
      <c r="R134" s="187">
        <v>109</v>
      </c>
      <c r="S134" s="187">
        <v>60</v>
      </c>
      <c r="T134" s="187">
        <v>61</v>
      </c>
      <c r="U134" s="187">
        <v>109</v>
      </c>
      <c r="V134" s="187">
        <v>70</v>
      </c>
      <c r="W134" s="187">
        <v>182</v>
      </c>
      <c r="X134" s="187">
        <v>229</v>
      </c>
      <c r="Y134" s="187">
        <v>60</v>
      </c>
      <c r="Z134" s="187">
        <v>129</v>
      </c>
      <c r="AA134" s="187">
        <v>172</v>
      </c>
      <c r="AB134" s="187">
        <v>64</v>
      </c>
      <c r="AC134" s="187">
        <v>91</v>
      </c>
      <c r="AD134" s="187">
        <v>141</v>
      </c>
      <c r="AE134" s="187">
        <v>67</v>
      </c>
      <c r="AF134" s="187">
        <v>38</v>
      </c>
      <c r="AG134" s="187">
        <v>96</v>
      </c>
      <c r="AH134" s="187">
        <v>58</v>
      </c>
      <c r="AI134" s="187">
        <v>152</v>
      </c>
      <c r="AJ134" s="187">
        <v>190</v>
      </c>
      <c r="AK134" s="187">
        <v>57</v>
      </c>
      <c r="AL134" s="187">
        <v>61</v>
      </c>
      <c r="AM134" s="187">
        <v>107</v>
      </c>
      <c r="AN134" s="187">
        <v>62</v>
      </c>
      <c r="AO134" s="187">
        <v>46</v>
      </c>
      <c r="AP134" s="187">
        <v>98</v>
      </c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  <c r="BI134" s="150"/>
      <c r="BJ134" s="150"/>
      <c r="BK134" s="150"/>
      <c r="BL134" s="150"/>
      <c r="BM134" s="150"/>
      <c r="BN134" s="150"/>
      <c r="BO134" s="150"/>
      <c r="BP134" s="150"/>
      <c r="BQ134" s="150"/>
      <c r="BR134" s="150"/>
      <c r="BS134" s="150"/>
      <c r="BT134" s="150"/>
      <c r="BU134" s="150"/>
      <c r="BV134" s="150"/>
      <c r="BW134" s="150"/>
      <c r="BX134" s="150"/>
      <c r="BY134" s="150"/>
      <c r="BZ134" s="150"/>
      <c r="CA134" s="150"/>
      <c r="CB134" s="150"/>
      <c r="CC134" s="150"/>
      <c r="CD134" s="150"/>
      <c r="CE134" s="150"/>
      <c r="CF134" s="150"/>
      <c r="CG134" s="150"/>
      <c r="CH134" s="150"/>
      <c r="CI134" s="150"/>
      <c r="CJ134" s="150"/>
      <c r="CK134" s="150"/>
      <c r="CL134" s="150"/>
      <c r="CM134" s="150"/>
      <c r="CN134" s="150"/>
      <c r="CO134" s="150"/>
      <c r="CP134" s="150"/>
      <c r="CQ134" s="150"/>
      <c r="CR134" s="150"/>
      <c r="CS134" s="150"/>
      <c r="CT134" s="150"/>
      <c r="CU134" s="150"/>
      <c r="CV134" s="150"/>
      <c r="CW134" s="150"/>
      <c r="CX134" s="150"/>
      <c r="CY134" s="150"/>
      <c r="CZ134" s="150"/>
      <c r="DA134" s="150"/>
      <c r="DB134" s="150"/>
      <c r="DC134" s="150"/>
      <c r="DD134" s="150"/>
      <c r="DE134" s="150"/>
      <c r="DF134" s="150"/>
      <c r="DG134" s="150"/>
      <c r="DH134" s="150"/>
      <c r="DI134" s="150"/>
      <c r="DJ134" s="150"/>
      <c r="DK134" s="150"/>
      <c r="DL134" s="150"/>
      <c r="DM134" s="150"/>
      <c r="DN134" s="150"/>
      <c r="DO134" s="150"/>
      <c r="DP134" s="150"/>
      <c r="DQ134" s="150"/>
      <c r="DR134" s="150"/>
      <c r="DS134" s="150"/>
      <c r="DT134" s="150"/>
      <c r="DU134" s="150"/>
      <c r="DV134" s="150"/>
      <c r="DW134" s="150"/>
      <c r="DX134" s="150"/>
      <c r="DY134" s="150"/>
      <c r="DZ134" s="150"/>
      <c r="EA134" s="150"/>
      <c r="EB134" s="150"/>
      <c r="EC134" s="150"/>
      <c r="ED134" s="150"/>
      <c r="EE134" s="150"/>
      <c r="EF134" s="150"/>
      <c r="EG134" s="150"/>
      <c r="EH134" s="150"/>
      <c r="EI134" s="150"/>
      <c r="EJ134" s="150"/>
      <c r="EK134" s="150"/>
      <c r="EL134" s="150"/>
      <c r="EM134" s="150"/>
      <c r="EN134" s="150"/>
      <c r="EO134" s="150"/>
      <c r="EP134" s="150"/>
      <c r="EQ134" s="150"/>
      <c r="ER134" s="150"/>
      <c r="ES134" s="150"/>
      <c r="ET134" s="150"/>
      <c r="EU134" s="150"/>
      <c r="EV134" s="150"/>
      <c r="EW134" s="150"/>
      <c r="EX134" s="150"/>
      <c r="EY134" s="150"/>
      <c r="EZ134" s="150"/>
      <c r="FA134" s="150"/>
      <c r="FB134" s="150"/>
      <c r="FC134" s="150"/>
      <c r="FD134" s="150"/>
      <c r="FE134" s="150"/>
      <c r="FF134" s="150"/>
      <c r="FG134" s="150"/>
      <c r="FH134" s="150"/>
      <c r="FI134" s="150"/>
      <c r="FJ134" s="150"/>
      <c r="FK134" s="150"/>
      <c r="FL134" s="150"/>
      <c r="FM134" s="150"/>
      <c r="FN134" s="150"/>
      <c r="FO134" s="150"/>
      <c r="FP134" s="150"/>
      <c r="FQ134" s="150"/>
      <c r="FR134" s="150"/>
      <c r="FS134" s="150"/>
      <c r="FT134" s="150"/>
      <c r="FU134" s="150"/>
      <c r="FV134" s="150"/>
      <c r="FW134" s="150"/>
      <c r="FX134" s="150"/>
      <c r="FY134" s="150"/>
      <c r="FZ134" s="150"/>
      <c r="GA134" s="150"/>
      <c r="GB134" s="150"/>
      <c r="GC134" s="150"/>
      <c r="GD134" s="150"/>
      <c r="GE134" s="150"/>
      <c r="GF134" s="150"/>
      <c r="GG134" s="150"/>
      <c r="GH134" s="150"/>
      <c r="GI134" s="150"/>
      <c r="GJ134" s="150"/>
      <c r="GK134" s="150"/>
      <c r="GL134" s="150"/>
      <c r="GM134" s="150"/>
      <c r="GN134" s="150"/>
      <c r="GO134" s="150"/>
      <c r="GP134" s="150"/>
      <c r="GQ134" s="150"/>
      <c r="GR134" s="150"/>
      <c r="GS134" s="150"/>
      <c r="GT134" s="150"/>
      <c r="GU134" s="150"/>
      <c r="GV134" s="150"/>
      <c r="GW134" s="150"/>
      <c r="GX134" s="150"/>
      <c r="GY134" s="150"/>
      <c r="GZ134" s="150"/>
      <c r="HA134" s="150"/>
      <c r="HB134" s="150"/>
      <c r="HC134" s="150"/>
      <c r="HD134" s="150"/>
      <c r="HE134" s="150"/>
      <c r="HF134" s="150"/>
      <c r="HG134" s="150"/>
      <c r="HH134" s="150"/>
      <c r="HI134" s="150"/>
      <c r="HJ134" s="150"/>
      <c r="HK134" s="150"/>
      <c r="HL134" s="150"/>
      <c r="HM134" s="150"/>
      <c r="HN134" s="150"/>
      <c r="HO134" s="150"/>
      <c r="HP134" s="150"/>
      <c r="HQ134" s="150"/>
      <c r="HR134" s="150"/>
      <c r="HS134" s="150"/>
      <c r="HT134" s="150"/>
      <c r="HU134" s="150"/>
      <c r="HV134" s="150"/>
      <c r="HW134" s="150"/>
      <c r="HX134" s="150"/>
      <c r="HY134" s="150"/>
      <c r="HZ134" s="150"/>
      <c r="IA134" s="150"/>
      <c r="IB134" s="150"/>
      <c r="IC134" s="150"/>
      <c r="ID134" s="150"/>
      <c r="IE134" s="150"/>
      <c r="IF134" s="150"/>
      <c r="IG134" s="150"/>
      <c r="IH134" s="150"/>
      <c r="II134" s="150"/>
      <c r="IJ134" s="150"/>
      <c r="IK134" s="150"/>
      <c r="IL134" s="150"/>
      <c r="IM134" s="150"/>
      <c r="IN134" s="150"/>
      <c r="IO134" s="150"/>
      <c r="IP134" s="150"/>
      <c r="IQ134" s="150"/>
      <c r="IR134" s="150"/>
      <c r="IS134" s="150"/>
      <c r="IT134" s="150"/>
      <c r="IU134" s="150"/>
      <c r="IV134" s="150"/>
      <c r="IW134" s="150"/>
      <c r="IX134" s="150"/>
      <c r="IY134" s="150"/>
      <c r="IZ134" s="150"/>
      <c r="JA134" s="150"/>
      <c r="JB134" s="150"/>
      <c r="JC134" s="150"/>
      <c r="JD134" s="150"/>
      <c r="JE134" s="150"/>
      <c r="JF134" s="150"/>
      <c r="JG134" s="150"/>
      <c r="JH134" s="150"/>
      <c r="JI134" s="150"/>
      <c r="JJ134" s="150"/>
      <c r="JK134" s="150"/>
      <c r="JL134" s="150"/>
      <c r="JM134" s="150"/>
      <c r="JN134" s="150"/>
      <c r="JO134" s="150"/>
      <c r="JP134" s="150"/>
      <c r="JQ134" s="150"/>
      <c r="JR134" s="150"/>
      <c r="JS134" s="150"/>
      <c r="JT134" s="150"/>
      <c r="JU134" s="150"/>
      <c r="JV134" s="150"/>
      <c r="JW134" s="150"/>
      <c r="JX134" s="150"/>
      <c r="JY134" s="150"/>
      <c r="JZ134" s="150"/>
      <c r="KA134" s="150"/>
      <c r="KB134" s="150"/>
      <c r="KC134" s="150"/>
      <c r="KD134" s="150"/>
      <c r="KE134" s="150"/>
      <c r="KF134" s="150"/>
      <c r="KG134" s="150"/>
      <c r="KH134" s="150"/>
      <c r="KI134" s="150"/>
      <c r="KJ134" s="150"/>
      <c r="KK134" s="150"/>
      <c r="KL134" s="150"/>
      <c r="KM134" s="150"/>
      <c r="KN134" s="150"/>
      <c r="KO134" s="150"/>
      <c r="KP134" s="150"/>
      <c r="KQ134" s="150"/>
      <c r="KR134" s="150"/>
      <c r="KS134" s="150"/>
      <c r="KT134" s="150"/>
      <c r="KU134" s="150"/>
      <c r="KV134" s="150"/>
      <c r="KW134" s="150"/>
      <c r="KX134" s="150"/>
      <c r="KY134" s="150"/>
      <c r="KZ134" s="150"/>
      <c r="LA134" s="150"/>
      <c r="LB134" s="150"/>
      <c r="LC134" s="150"/>
      <c r="LD134" s="150"/>
      <c r="LE134" s="150"/>
      <c r="LF134" s="150"/>
      <c r="LG134" s="150"/>
      <c r="LH134" s="150"/>
      <c r="LI134" s="150"/>
      <c r="LJ134" s="150"/>
      <c r="LK134" s="150"/>
      <c r="LL134" s="150"/>
      <c r="LM134" s="150"/>
      <c r="LN134" s="150"/>
      <c r="LO134" s="150"/>
      <c r="LP134" s="150"/>
      <c r="LQ134" s="150"/>
      <c r="LR134" s="150"/>
      <c r="LS134" s="150"/>
      <c r="LT134" s="150"/>
      <c r="LU134" s="150"/>
      <c r="LV134" s="150"/>
      <c r="LW134" s="150"/>
      <c r="LX134" s="150"/>
      <c r="LY134" s="150"/>
      <c r="LZ134" s="150"/>
      <c r="MA134" s="150"/>
      <c r="MB134" s="150"/>
      <c r="MC134" s="150"/>
      <c r="MD134" s="150"/>
      <c r="ME134" s="150"/>
      <c r="MF134" s="150"/>
      <c r="MG134" s="150"/>
      <c r="MH134" s="150"/>
      <c r="MI134" s="150"/>
      <c r="MJ134" s="150"/>
      <c r="MK134" s="150"/>
      <c r="ML134" s="150"/>
      <c r="MM134" s="150"/>
      <c r="MN134" s="150"/>
      <c r="MO134" s="150"/>
      <c r="MP134" s="150"/>
      <c r="MQ134" s="150"/>
      <c r="MR134" s="150"/>
      <c r="MS134" s="150"/>
      <c r="MT134" s="150"/>
      <c r="MU134" s="150"/>
      <c r="MV134" s="150"/>
      <c r="MW134" s="150"/>
      <c r="MX134" s="150"/>
      <c r="MY134" s="150"/>
      <c r="MZ134" s="150"/>
      <c r="NA134" s="150"/>
      <c r="NB134" s="150"/>
      <c r="NC134" s="150"/>
      <c r="ND134" s="150"/>
      <c r="NE134" s="150"/>
      <c r="NF134" s="150"/>
      <c r="NG134" s="150"/>
      <c r="NH134" s="150"/>
      <c r="NI134" s="150"/>
      <c r="NJ134" s="150"/>
      <c r="NK134" s="150"/>
      <c r="NL134" s="150"/>
      <c r="NM134" s="150"/>
      <c r="NN134" s="150"/>
      <c r="NO134" s="150"/>
      <c r="NP134" s="150"/>
      <c r="NQ134" s="150"/>
      <c r="NR134" s="150"/>
      <c r="NS134" s="150"/>
      <c r="NT134" s="150"/>
      <c r="NU134" s="150"/>
      <c r="NV134" s="150"/>
      <c r="NW134" s="150"/>
      <c r="NX134" s="150"/>
      <c r="NY134" s="150"/>
      <c r="NZ134" s="150"/>
      <c r="OA134" s="150"/>
      <c r="OB134" s="150"/>
      <c r="OC134" s="150"/>
      <c r="OD134" s="150"/>
      <c r="OE134" s="150"/>
    </row>
    <row r="135" spans="1:395" ht="15">
      <c r="A135" s="19"/>
      <c r="B135" s="17"/>
      <c r="C135" s="187">
        <v>2044</v>
      </c>
      <c r="D135" s="187">
        <v>34</v>
      </c>
      <c r="E135" s="187">
        <v>56</v>
      </c>
      <c r="F135" s="187">
        <v>82</v>
      </c>
      <c r="G135" s="187">
        <v>79</v>
      </c>
      <c r="H135" s="187">
        <v>56</v>
      </c>
      <c r="I135" s="187">
        <v>123</v>
      </c>
      <c r="J135" s="187">
        <v>51</v>
      </c>
      <c r="K135" s="187">
        <v>49</v>
      </c>
      <c r="L135" s="187">
        <v>91</v>
      </c>
      <c r="M135" s="187">
        <v>50</v>
      </c>
      <c r="N135" s="187">
        <v>49</v>
      </c>
      <c r="O135" s="187">
        <v>90</v>
      </c>
      <c r="P135" s="187">
        <v>54</v>
      </c>
      <c r="Q135" s="187">
        <v>56</v>
      </c>
      <c r="R135" s="187">
        <v>100</v>
      </c>
      <c r="S135" s="187">
        <v>54</v>
      </c>
      <c r="T135" s="187">
        <v>56</v>
      </c>
      <c r="U135" s="187">
        <v>100</v>
      </c>
      <c r="V135" s="187">
        <v>64</v>
      </c>
      <c r="W135" s="187">
        <v>167</v>
      </c>
      <c r="X135" s="187">
        <v>210</v>
      </c>
      <c r="Y135" s="187">
        <v>55</v>
      </c>
      <c r="Z135" s="187">
        <v>118</v>
      </c>
      <c r="AA135" s="187">
        <v>158</v>
      </c>
      <c r="AB135" s="187">
        <v>58</v>
      </c>
      <c r="AC135" s="187">
        <v>84</v>
      </c>
      <c r="AD135" s="187">
        <v>129</v>
      </c>
      <c r="AE135" s="187">
        <v>62</v>
      </c>
      <c r="AF135" s="187">
        <v>35</v>
      </c>
      <c r="AG135" s="187">
        <v>88</v>
      </c>
      <c r="AH135" s="187">
        <v>53</v>
      </c>
      <c r="AI135" s="187">
        <v>139</v>
      </c>
      <c r="AJ135" s="187">
        <v>175</v>
      </c>
      <c r="AK135" s="187">
        <v>52</v>
      </c>
      <c r="AL135" s="187">
        <v>56</v>
      </c>
      <c r="AM135" s="187">
        <v>98</v>
      </c>
      <c r="AN135" s="187">
        <v>57</v>
      </c>
      <c r="AO135" s="187">
        <v>42</v>
      </c>
      <c r="AP135" s="187">
        <v>90</v>
      </c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  <c r="BI135" s="150"/>
      <c r="BJ135" s="150"/>
      <c r="BK135" s="150"/>
      <c r="BL135" s="150"/>
      <c r="BM135" s="150"/>
      <c r="BN135" s="150"/>
      <c r="BO135" s="150"/>
      <c r="BP135" s="150"/>
      <c r="BQ135" s="150"/>
      <c r="BR135" s="150"/>
      <c r="BS135" s="150"/>
      <c r="BT135" s="150"/>
      <c r="BU135" s="150"/>
      <c r="BV135" s="150"/>
      <c r="BW135" s="150"/>
      <c r="BX135" s="150"/>
      <c r="BY135" s="150"/>
      <c r="BZ135" s="150"/>
      <c r="CA135" s="150"/>
      <c r="CB135" s="150"/>
      <c r="CC135" s="150"/>
      <c r="CD135" s="150"/>
      <c r="CE135" s="150"/>
      <c r="CF135" s="150"/>
      <c r="CG135" s="150"/>
      <c r="CH135" s="150"/>
      <c r="CI135" s="150"/>
      <c r="CJ135" s="150"/>
      <c r="CK135" s="150"/>
      <c r="CL135" s="150"/>
      <c r="CM135" s="150"/>
      <c r="CN135" s="150"/>
      <c r="CO135" s="150"/>
      <c r="CP135" s="150"/>
      <c r="CQ135" s="150"/>
      <c r="CR135" s="150"/>
      <c r="CS135" s="150"/>
      <c r="CT135" s="150"/>
      <c r="CU135" s="150"/>
      <c r="CV135" s="150"/>
      <c r="CW135" s="150"/>
      <c r="CX135" s="150"/>
      <c r="CY135" s="150"/>
      <c r="CZ135" s="150"/>
      <c r="DA135" s="150"/>
      <c r="DB135" s="150"/>
      <c r="DC135" s="150"/>
      <c r="DD135" s="150"/>
      <c r="DE135" s="150"/>
      <c r="DF135" s="150"/>
      <c r="DG135" s="150"/>
      <c r="DH135" s="150"/>
      <c r="DI135" s="150"/>
      <c r="DJ135" s="150"/>
      <c r="DK135" s="150"/>
      <c r="DL135" s="150"/>
      <c r="DM135" s="150"/>
      <c r="DN135" s="150"/>
      <c r="DO135" s="150"/>
      <c r="DP135" s="150"/>
      <c r="DQ135" s="150"/>
      <c r="DR135" s="150"/>
      <c r="DS135" s="150"/>
      <c r="DT135" s="150"/>
      <c r="DU135" s="150"/>
      <c r="DV135" s="150"/>
      <c r="DW135" s="150"/>
      <c r="DX135" s="150"/>
      <c r="DY135" s="150"/>
      <c r="DZ135" s="150"/>
      <c r="EA135" s="150"/>
      <c r="EB135" s="150"/>
      <c r="EC135" s="150"/>
      <c r="ED135" s="150"/>
      <c r="EE135" s="150"/>
      <c r="EF135" s="150"/>
      <c r="EG135" s="150"/>
      <c r="EH135" s="150"/>
      <c r="EI135" s="150"/>
      <c r="EJ135" s="150"/>
      <c r="EK135" s="150"/>
      <c r="EL135" s="150"/>
      <c r="EM135" s="150"/>
      <c r="EN135" s="150"/>
      <c r="EO135" s="150"/>
      <c r="EP135" s="150"/>
      <c r="EQ135" s="150"/>
      <c r="ER135" s="150"/>
      <c r="ES135" s="150"/>
      <c r="ET135" s="150"/>
      <c r="EU135" s="150"/>
      <c r="EV135" s="150"/>
      <c r="EW135" s="150"/>
      <c r="EX135" s="150"/>
      <c r="EY135" s="150"/>
      <c r="EZ135" s="150"/>
      <c r="FA135" s="150"/>
      <c r="FB135" s="150"/>
      <c r="FC135" s="150"/>
      <c r="FD135" s="150"/>
      <c r="FE135" s="150"/>
      <c r="FF135" s="150"/>
      <c r="FG135" s="150"/>
      <c r="FH135" s="150"/>
      <c r="FI135" s="150"/>
      <c r="FJ135" s="150"/>
      <c r="FK135" s="150"/>
      <c r="FL135" s="150"/>
      <c r="FM135" s="150"/>
      <c r="FN135" s="150"/>
      <c r="FO135" s="150"/>
      <c r="FP135" s="150"/>
      <c r="FQ135" s="150"/>
      <c r="FR135" s="150"/>
      <c r="FS135" s="150"/>
      <c r="FT135" s="150"/>
      <c r="FU135" s="150"/>
      <c r="FV135" s="150"/>
      <c r="FW135" s="150"/>
      <c r="FX135" s="150"/>
      <c r="FY135" s="150"/>
      <c r="FZ135" s="150"/>
      <c r="GA135" s="150"/>
      <c r="GB135" s="150"/>
      <c r="GC135" s="150"/>
      <c r="GD135" s="150"/>
      <c r="GE135" s="150"/>
      <c r="GF135" s="150"/>
      <c r="GG135" s="150"/>
      <c r="GH135" s="150"/>
      <c r="GI135" s="150"/>
      <c r="GJ135" s="150"/>
      <c r="GK135" s="150"/>
      <c r="GL135" s="150"/>
      <c r="GM135" s="150"/>
      <c r="GN135" s="150"/>
      <c r="GO135" s="150"/>
      <c r="GP135" s="150"/>
      <c r="GQ135" s="150"/>
      <c r="GR135" s="150"/>
      <c r="GS135" s="150"/>
      <c r="GT135" s="150"/>
      <c r="GU135" s="150"/>
      <c r="GV135" s="150"/>
      <c r="GW135" s="150"/>
      <c r="GX135" s="150"/>
      <c r="GY135" s="150"/>
      <c r="GZ135" s="150"/>
      <c r="HA135" s="150"/>
      <c r="HB135" s="150"/>
      <c r="HC135" s="150"/>
      <c r="HD135" s="150"/>
      <c r="HE135" s="150"/>
      <c r="HF135" s="150"/>
      <c r="HG135" s="150"/>
      <c r="HH135" s="150"/>
      <c r="HI135" s="150"/>
      <c r="HJ135" s="150"/>
      <c r="HK135" s="150"/>
      <c r="HL135" s="150"/>
      <c r="HM135" s="150"/>
      <c r="HN135" s="150"/>
      <c r="HO135" s="150"/>
      <c r="HP135" s="150"/>
      <c r="HQ135" s="150"/>
      <c r="HR135" s="150"/>
      <c r="HS135" s="150"/>
      <c r="HT135" s="150"/>
      <c r="HU135" s="150"/>
      <c r="HV135" s="150"/>
      <c r="HW135" s="150"/>
      <c r="HX135" s="150"/>
      <c r="HY135" s="150"/>
      <c r="HZ135" s="150"/>
      <c r="IA135" s="150"/>
      <c r="IB135" s="150"/>
      <c r="IC135" s="150"/>
      <c r="ID135" s="150"/>
      <c r="IE135" s="150"/>
      <c r="IF135" s="150"/>
      <c r="IG135" s="150"/>
      <c r="IH135" s="150"/>
      <c r="II135" s="150"/>
      <c r="IJ135" s="150"/>
      <c r="IK135" s="150"/>
      <c r="IL135" s="150"/>
      <c r="IM135" s="150"/>
      <c r="IN135" s="150"/>
      <c r="IO135" s="150"/>
      <c r="IP135" s="150"/>
      <c r="IQ135" s="150"/>
      <c r="IR135" s="150"/>
      <c r="IS135" s="150"/>
      <c r="IT135" s="150"/>
      <c r="IU135" s="150"/>
      <c r="IV135" s="150"/>
      <c r="IW135" s="150"/>
      <c r="IX135" s="150"/>
      <c r="IY135" s="150"/>
      <c r="IZ135" s="150"/>
      <c r="JA135" s="150"/>
      <c r="JB135" s="150"/>
      <c r="JC135" s="150"/>
      <c r="JD135" s="150"/>
      <c r="JE135" s="150"/>
      <c r="JF135" s="150"/>
      <c r="JG135" s="150"/>
      <c r="JH135" s="150"/>
      <c r="JI135" s="150"/>
      <c r="JJ135" s="150"/>
      <c r="JK135" s="150"/>
      <c r="JL135" s="150"/>
      <c r="JM135" s="150"/>
      <c r="JN135" s="150"/>
      <c r="JO135" s="150"/>
      <c r="JP135" s="150"/>
      <c r="JQ135" s="150"/>
      <c r="JR135" s="150"/>
      <c r="JS135" s="150"/>
      <c r="JT135" s="150"/>
      <c r="JU135" s="150"/>
      <c r="JV135" s="150"/>
      <c r="JW135" s="150"/>
      <c r="JX135" s="150"/>
      <c r="JY135" s="150"/>
      <c r="JZ135" s="150"/>
      <c r="KA135" s="150"/>
      <c r="KB135" s="150"/>
      <c r="KC135" s="150"/>
      <c r="KD135" s="150"/>
      <c r="KE135" s="150"/>
      <c r="KF135" s="150"/>
      <c r="KG135" s="150"/>
      <c r="KH135" s="150"/>
      <c r="KI135" s="150"/>
      <c r="KJ135" s="150"/>
      <c r="KK135" s="150"/>
      <c r="KL135" s="150"/>
      <c r="KM135" s="150"/>
      <c r="KN135" s="150"/>
      <c r="KO135" s="150"/>
      <c r="KP135" s="150"/>
      <c r="KQ135" s="150"/>
      <c r="KR135" s="150"/>
      <c r="KS135" s="150"/>
      <c r="KT135" s="150"/>
      <c r="KU135" s="150"/>
      <c r="KV135" s="150"/>
      <c r="KW135" s="150"/>
      <c r="KX135" s="150"/>
      <c r="KY135" s="150"/>
      <c r="KZ135" s="150"/>
      <c r="LA135" s="150"/>
      <c r="LB135" s="150"/>
      <c r="LC135" s="150"/>
      <c r="LD135" s="150"/>
      <c r="LE135" s="150"/>
      <c r="LF135" s="150"/>
      <c r="LG135" s="150"/>
      <c r="LH135" s="150"/>
      <c r="LI135" s="150"/>
      <c r="LJ135" s="150"/>
      <c r="LK135" s="150"/>
      <c r="LL135" s="150"/>
      <c r="LM135" s="150"/>
      <c r="LN135" s="150"/>
      <c r="LO135" s="150"/>
      <c r="LP135" s="150"/>
      <c r="LQ135" s="150"/>
      <c r="LR135" s="150"/>
      <c r="LS135" s="150"/>
      <c r="LT135" s="150"/>
      <c r="LU135" s="150"/>
      <c r="LV135" s="150"/>
      <c r="LW135" s="150"/>
      <c r="LX135" s="150"/>
      <c r="LY135" s="150"/>
      <c r="LZ135" s="150"/>
      <c r="MA135" s="150"/>
      <c r="MB135" s="150"/>
      <c r="MC135" s="150"/>
      <c r="MD135" s="150"/>
      <c r="ME135" s="150"/>
      <c r="MF135" s="150"/>
      <c r="MG135" s="150"/>
      <c r="MH135" s="150"/>
      <c r="MI135" s="150"/>
      <c r="MJ135" s="150"/>
      <c r="MK135" s="150"/>
      <c r="ML135" s="150"/>
      <c r="MM135" s="150"/>
      <c r="MN135" s="150"/>
      <c r="MO135" s="150"/>
      <c r="MP135" s="150"/>
      <c r="MQ135" s="150"/>
      <c r="MR135" s="150"/>
      <c r="MS135" s="150"/>
      <c r="MT135" s="150"/>
      <c r="MU135" s="150"/>
      <c r="MV135" s="150"/>
      <c r="MW135" s="150"/>
      <c r="MX135" s="150"/>
      <c r="MY135" s="150"/>
      <c r="MZ135" s="150"/>
      <c r="NA135" s="150"/>
      <c r="NB135" s="150"/>
      <c r="NC135" s="150"/>
      <c r="ND135" s="150"/>
      <c r="NE135" s="150"/>
      <c r="NF135" s="150"/>
      <c r="NG135" s="150"/>
      <c r="NH135" s="150"/>
      <c r="NI135" s="150"/>
      <c r="NJ135" s="150"/>
      <c r="NK135" s="150"/>
      <c r="NL135" s="150"/>
      <c r="NM135" s="150"/>
      <c r="NN135" s="150"/>
      <c r="NO135" s="150"/>
      <c r="NP135" s="150"/>
      <c r="NQ135" s="150"/>
      <c r="NR135" s="150"/>
      <c r="NS135" s="150"/>
      <c r="NT135" s="150"/>
      <c r="NU135" s="150"/>
      <c r="NV135" s="150"/>
      <c r="NW135" s="150"/>
      <c r="NX135" s="150"/>
      <c r="NY135" s="150"/>
      <c r="NZ135" s="150"/>
      <c r="OA135" s="150"/>
      <c r="OB135" s="150"/>
      <c r="OC135" s="150"/>
      <c r="OD135" s="150"/>
      <c r="OE135" s="150"/>
    </row>
    <row r="136" spans="1:395" ht="15">
      <c r="A136" s="19"/>
      <c r="B136" s="17"/>
      <c r="C136" s="187">
        <v>2045</v>
      </c>
      <c r="D136" s="187">
        <v>31</v>
      </c>
      <c r="E136" s="187">
        <v>51</v>
      </c>
      <c r="F136" s="187">
        <v>74</v>
      </c>
      <c r="G136" s="187">
        <v>72</v>
      </c>
      <c r="H136" s="187">
        <v>51</v>
      </c>
      <c r="I136" s="187">
        <v>112</v>
      </c>
      <c r="J136" s="187">
        <v>46</v>
      </c>
      <c r="K136" s="187">
        <v>44</v>
      </c>
      <c r="L136" s="187">
        <v>82</v>
      </c>
      <c r="M136" s="187">
        <v>46</v>
      </c>
      <c r="N136" s="187">
        <v>44</v>
      </c>
      <c r="O136" s="187">
        <v>82</v>
      </c>
      <c r="P136" s="187">
        <v>50</v>
      </c>
      <c r="Q136" s="187">
        <v>51</v>
      </c>
      <c r="R136" s="187">
        <v>91</v>
      </c>
      <c r="S136" s="187">
        <v>50</v>
      </c>
      <c r="T136" s="187">
        <v>51</v>
      </c>
      <c r="U136" s="187">
        <v>91</v>
      </c>
      <c r="V136" s="187">
        <v>58</v>
      </c>
      <c r="W136" s="187">
        <v>152</v>
      </c>
      <c r="X136" s="187">
        <v>191</v>
      </c>
      <c r="Y136" s="187">
        <v>50</v>
      </c>
      <c r="Z136" s="187">
        <v>108</v>
      </c>
      <c r="AA136" s="187">
        <v>144</v>
      </c>
      <c r="AB136" s="187">
        <v>53</v>
      </c>
      <c r="AC136" s="187">
        <v>76</v>
      </c>
      <c r="AD136" s="187">
        <v>117</v>
      </c>
      <c r="AE136" s="187">
        <v>56</v>
      </c>
      <c r="AF136" s="187">
        <v>32</v>
      </c>
      <c r="AG136" s="187">
        <v>80</v>
      </c>
      <c r="AH136" s="187">
        <v>48</v>
      </c>
      <c r="AI136" s="187">
        <v>126</v>
      </c>
      <c r="AJ136" s="187">
        <v>159</v>
      </c>
      <c r="AK136" s="187">
        <v>47</v>
      </c>
      <c r="AL136" s="187">
        <v>51</v>
      </c>
      <c r="AM136" s="187">
        <v>89</v>
      </c>
      <c r="AN136" s="187">
        <v>52</v>
      </c>
      <c r="AO136" s="187">
        <v>38</v>
      </c>
      <c r="AP136" s="187">
        <v>82</v>
      </c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  <c r="CA136" s="150"/>
      <c r="CB136" s="150"/>
      <c r="CC136" s="150"/>
      <c r="CD136" s="150"/>
      <c r="CE136" s="150"/>
      <c r="CF136" s="150"/>
      <c r="CG136" s="150"/>
      <c r="CH136" s="150"/>
      <c r="CI136" s="150"/>
      <c r="CJ136" s="150"/>
      <c r="CK136" s="150"/>
      <c r="CL136" s="150"/>
      <c r="CM136" s="150"/>
      <c r="CN136" s="150"/>
      <c r="CO136" s="150"/>
      <c r="CP136" s="150"/>
      <c r="CQ136" s="150"/>
      <c r="CR136" s="150"/>
      <c r="CS136" s="150"/>
      <c r="CT136" s="150"/>
      <c r="CU136" s="150"/>
      <c r="CV136" s="150"/>
      <c r="CW136" s="150"/>
      <c r="CX136" s="150"/>
      <c r="CY136" s="150"/>
      <c r="CZ136" s="150"/>
      <c r="DA136" s="150"/>
      <c r="DB136" s="150"/>
      <c r="DC136" s="150"/>
      <c r="DD136" s="150"/>
      <c r="DE136" s="150"/>
      <c r="DF136" s="150"/>
      <c r="DG136" s="150"/>
      <c r="DH136" s="150"/>
      <c r="DI136" s="150"/>
      <c r="DJ136" s="150"/>
      <c r="DK136" s="150"/>
      <c r="DL136" s="150"/>
      <c r="DM136" s="150"/>
      <c r="DN136" s="150"/>
      <c r="DO136" s="150"/>
      <c r="DP136" s="150"/>
      <c r="DQ136" s="150"/>
      <c r="DR136" s="150"/>
      <c r="DS136" s="150"/>
      <c r="DT136" s="150"/>
      <c r="DU136" s="150"/>
      <c r="DV136" s="150"/>
      <c r="DW136" s="150"/>
      <c r="DX136" s="150"/>
      <c r="DY136" s="150"/>
      <c r="DZ136" s="150"/>
      <c r="EA136" s="150"/>
      <c r="EB136" s="150"/>
      <c r="EC136" s="150"/>
      <c r="ED136" s="150"/>
      <c r="EE136" s="150"/>
      <c r="EF136" s="150"/>
      <c r="EG136" s="150"/>
      <c r="EH136" s="150"/>
      <c r="EI136" s="150"/>
      <c r="EJ136" s="150"/>
      <c r="EK136" s="150"/>
      <c r="EL136" s="150"/>
      <c r="EM136" s="150"/>
      <c r="EN136" s="150"/>
      <c r="EO136" s="150"/>
      <c r="EP136" s="150"/>
      <c r="EQ136" s="150"/>
      <c r="ER136" s="150"/>
      <c r="ES136" s="150"/>
      <c r="ET136" s="150"/>
      <c r="EU136" s="150"/>
      <c r="EV136" s="150"/>
      <c r="EW136" s="150"/>
      <c r="EX136" s="150"/>
      <c r="EY136" s="150"/>
      <c r="EZ136" s="150"/>
      <c r="FA136" s="150"/>
      <c r="FB136" s="150"/>
      <c r="FC136" s="150"/>
      <c r="FD136" s="150"/>
      <c r="FE136" s="150"/>
      <c r="FF136" s="150"/>
      <c r="FG136" s="150"/>
      <c r="FH136" s="150"/>
      <c r="FI136" s="150"/>
      <c r="FJ136" s="150"/>
      <c r="FK136" s="150"/>
      <c r="FL136" s="150"/>
      <c r="FM136" s="150"/>
      <c r="FN136" s="150"/>
      <c r="FO136" s="150"/>
      <c r="FP136" s="150"/>
      <c r="FQ136" s="150"/>
      <c r="FR136" s="150"/>
      <c r="FS136" s="150"/>
      <c r="FT136" s="150"/>
      <c r="FU136" s="150"/>
      <c r="FV136" s="150"/>
      <c r="FW136" s="150"/>
      <c r="FX136" s="150"/>
      <c r="FY136" s="150"/>
      <c r="FZ136" s="150"/>
      <c r="GA136" s="150"/>
      <c r="GB136" s="150"/>
      <c r="GC136" s="150"/>
      <c r="GD136" s="150"/>
      <c r="GE136" s="150"/>
      <c r="GF136" s="150"/>
      <c r="GG136" s="150"/>
      <c r="GH136" s="150"/>
      <c r="GI136" s="150"/>
      <c r="GJ136" s="150"/>
      <c r="GK136" s="150"/>
      <c r="GL136" s="150"/>
      <c r="GM136" s="150"/>
      <c r="GN136" s="150"/>
      <c r="GO136" s="150"/>
      <c r="GP136" s="150"/>
      <c r="GQ136" s="150"/>
      <c r="GR136" s="150"/>
      <c r="GS136" s="150"/>
      <c r="GT136" s="150"/>
      <c r="GU136" s="150"/>
      <c r="GV136" s="150"/>
      <c r="GW136" s="150"/>
      <c r="GX136" s="150"/>
      <c r="GY136" s="150"/>
      <c r="GZ136" s="150"/>
      <c r="HA136" s="150"/>
      <c r="HB136" s="150"/>
      <c r="HC136" s="150"/>
      <c r="HD136" s="150"/>
      <c r="HE136" s="150"/>
      <c r="HF136" s="150"/>
      <c r="HG136" s="150"/>
      <c r="HH136" s="150"/>
      <c r="HI136" s="150"/>
      <c r="HJ136" s="150"/>
      <c r="HK136" s="150"/>
      <c r="HL136" s="150"/>
      <c r="HM136" s="150"/>
      <c r="HN136" s="150"/>
      <c r="HO136" s="150"/>
      <c r="HP136" s="150"/>
      <c r="HQ136" s="150"/>
      <c r="HR136" s="150"/>
      <c r="HS136" s="150"/>
      <c r="HT136" s="150"/>
      <c r="HU136" s="150"/>
      <c r="HV136" s="150"/>
      <c r="HW136" s="150"/>
      <c r="HX136" s="150"/>
      <c r="HY136" s="150"/>
      <c r="HZ136" s="150"/>
      <c r="IA136" s="150"/>
      <c r="IB136" s="150"/>
      <c r="IC136" s="150"/>
      <c r="ID136" s="150"/>
      <c r="IE136" s="150"/>
      <c r="IF136" s="150"/>
      <c r="IG136" s="150"/>
      <c r="IH136" s="150"/>
      <c r="II136" s="150"/>
      <c r="IJ136" s="150"/>
      <c r="IK136" s="150"/>
      <c r="IL136" s="150"/>
      <c r="IM136" s="150"/>
      <c r="IN136" s="150"/>
      <c r="IO136" s="150"/>
      <c r="IP136" s="150"/>
      <c r="IQ136" s="150"/>
      <c r="IR136" s="150"/>
      <c r="IS136" s="150"/>
      <c r="IT136" s="150"/>
      <c r="IU136" s="150"/>
      <c r="IV136" s="150"/>
      <c r="IW136" s="150"/>
      <c r="IX136" s="150"/>
      <c r="IY136" s="150"/>
      <c r="IZ136" s="150"/>
      <c r="JA136" s="150"/>
      <c r="JB136" s="150"/>
      <c r="JC136" s="150"/>
      <c r="JD136" s="150"/>
      <c r="JE136" s="150"/>
      <c r="JF136" s="150"/>
      <c r="JG136" s="150"/>
      <c r="JH136" s="150"/>
      <c r="JI136" s="150"/>
      <c r="JJ136" s="150"/>
      <c r="JK136" s="150"/>
      <c r="JL136" s="150"/>
      <c r="JM136" s="150"/>
      <c r="JN136" s="150"/>
      <c r="JO136" s="150"/>
      <c r="JP136" s="150"/>
      <c r="JQ136" s="150"/>
      <c r="JR136" s="150"/>
      <c r="JS136" s="150"/>
      <c r="JT136" s="150"/>
      <c r="JU136" s="150"/>
      <c r="JV136" s="150"/>
      <c r="JW136" s="150"/>
      <c r="JX136" s="150"/>
      <c r="JY136" s="150"/>
      <c r="JZ136" s="150"/>
      <c r="KA136" s="150"/>
      <c r="KB136" s="150"/>
      <c r="KC136" s="150"/>
      <c r="KD136" s="150"/>
      <c r="KE136" s="150"/>
      <c r="KF136" s="150"/>
      <c r="KG136" s="150"/>
      <c r="KH136" s="150"/>
      <c r="KI136" s="150"/>
      <c r="KJ136" s="150"/>
      <c r="KK136" s="150"/>
      <c r="KL136" s="150"/>
      <c r="KM136" s="150"/>
      <c r="KN136" s="150"/>
      <c r="KO136" s="150"/>
      <c r="KP136" s="150"/>
      <c r="KQ136" s="150"/>
      <c r="KR136" s="150"/>
      <c r="KS136" s="150"/>
      <c r="KT136" s="150"/>
      <c r="KU136" s="150"/>
      <c r="KV136" s="150"/>
      <c r="KW136" s="150"/>
      <c r="KX136" s="150"/>
      <c r="KY136" s="150"/>
      <c r="KZ136" s="150"/>
      <c r="LA136" s="150"/>
      <c r="LB136" s="150"/>
      <c r="LC136" s="150"/>
      <c r="LD136" s="150"/>
      <c r="LE136" s="150"/>
      <c r="LF136" s="150"/>
      <c r="LG136" s="150"/>
      <c r="LH136" s="150"/>
      <c r="LI136" s="150"/>
      <c r="LJ136" s="150"/>
      <c r="LK136" s="150"/>
      <c r="LL136" s="150"/>
      <c r="LM136" s="150"/>
      <c r="LN136" s="150"/>
      <c r="LO136" s="150"/>
      <c r="LP136" s="150"/>
      <c r="LQ136" s="150"/>
      <c r="LR136" s="150"/>
      <c r="LS136" s="150"/>
      <c r="LT136" s="150"/>
      <c r="LU136" s="150"/>
      <c r="LV136" s="150"/>
      <c r="LW136" s="150"/>
      <c r="LX136" s="150"/>
      <c r="LY136" s="150"/>
      <c r="LZ136" s="150"/>
      <c r="MA136" s="150"/>
      <c r="MB136" s="150"/>
      <c r="MC136" s="150"/>
      <c r="MD136" s="150"/>
      <c r="ME136" s="150"/>
      <c r="MF136" s="150"/>
      <c r="MG136" s="150"/>
      <c r="MH136" s="150"/>
      <c r="MI136" s="150"/>
      <c r="MJ136" s="150"/>
      <c r="MK136" s="150"/>
      <c r="ML136" s="150"/>
      <c r="MM136" s="150"/>
      <c r="MN136" s="150"/>
      <c r="MO136" s="150"/>
      <c r="MP136" s="150"/>
      <c r="MQ136" s="150"/>
      <c r="MR136" s="150"/>
      <c r="MS136" s="150"/>
      <c r="MT136" s="150"/>
      <c r="MU136" s="150"/>
      <c r="MV136" s="150"/>
      <c r="MW136" s="150"/>
      <c r="MX136" s="150"/>
      <c r="MY136" s="150"/>
      <c r="MZ136" s="150"/>
      <c r="NA136" s="150"/>
      <c r="NB136" s="150"/>
      <c r="NC136" s="150"/>
      <c r="ND136" s="150"/>
      <c r="NE136" s="150"/>
      <c r="NF136" s="150"/>
      <c r="NG136" s="150"/>
      <c r="NH136" s="150"/>
      <c r="NI136" s="150"/>
      <c r="NJ136" s="150"/>
      <c r="NK136" s="150"/>
      <c r="NL136" s="150"/>
      <c r="NM136" s="150"/>
      <c r="NN136" s="150"/>
      <c r="NO136" s="150"/>
      <c r="NP136" s="150"/>
      <c r="NQ136" s="150"/>
      <c r="NR136" s="150"/>
      <c r="NS136" s="150"/>
      <c r="NT136" s="150"/>
      <c r="NU136" s="150"/>
      <c r="NV136" s="150"/>
      <c r="NW136" s="150"/>
      <c r="NX136" s="150"/>
      <c r="NY136" s="150"/>
      <c r="NZ136" s="150"/>
      <c r="OA136" s="150"/>
      <c r="OB136" s="150"/>
      <c r="OC136" s="150"/>
      <c r="OD136" s="150"/>
      <c r="OE136" s="150"/>
    </row>
    <row r="137" spans="1:395" ht="15">
      <c r="A137" s="19"/>
      <c r="B137" s="17"/>
      <c r="C137" s="187">
        <v>2046</v>
      </c>
      <c r="D137" s="187">
        <v>28</v>
      </c>
      <c r="E137" s="187">
        <v>46</v>
      </c>
      <c r="F137" s="187">
        <v>67</v>
      </c>
      <c r="G137" s="187">
        <v>65</v>
      </c>
      <c r="H137" s="187">
        <v>46</v>
      </c>
      <c r="I137" s="187">
        <v>100</v>
      </c>
      <c r="J137" s="187">
        <v>42</v>
      </c>
      <c r="K137" s="187">
        <v>40</v>
      </c>
      <c r="L137" s="187">
        <v>74</v>
      </c>
      <c r="M137" s="187">
        <v>41</v>
      </c>
      <c r="N137" s="187">
        <v>40</v>
      </c>
      <c r="O137" s="187">
        <v>74</v>
      </c>
      <c r="P137" s="187">
        <v>44</v>
      </c>
      <c r="Q137" s="187">
        <v>46</v>
      </c>
      <c r="R137" s="187">
        <v>82</v>
      </c>
      <c r="S137" s="187">
        <v>45</v>
      </c>
      <c r="T137" s="187">
        <v>46</v>
      </c>
      <c r="U137" s="187">
        <v>82</v>
      </c>
      <c r="V137" s="187">
        <v>52</v>
      </c>
      <c r="W137" s="187">
        <v>137</v>
      </c>
      <c r="X137" s="187">
        <v>172</v>
      </c>
      <c r="Y137" s="187">
        <v>45</v>
      </c>
      <c r="Z137" s="187">
        <v>97</v>
      </c>
      <c r="AA137" s="187">
        <v>129</v>
      </c>
      <c r="AB137" s="187">
        <v>48</v>
      </c>
      <c r="AC137" s="187">
        <v>68</v>
      </c>
      <c r="AD137" s="187">
        <v>105</v>
      </c>
      <c r="AE137" s="187">
        <v>50</v>
      </c>
      <c r="AF137" s="187">
        <v>28</v>
      </c>
      <c r="AG137" s="187">
        <v>72</v>
      </c>
      <c r="AH137" s="187">
        <v>43</v>
      </c>
      <c r="AI137" s="187">
        <v>114</v>
      </c>
      <c r="AJ137" s="187">
        <v>143</v>
      </c>
      <c r="AK137" s="187">
        <v>43</v>
      </c>
      <c r="AL137" s="187">
        <v>46</v>
      </c>
      <c r="AM137" s="187">
        <v>80</v>
      </c>
      <c r="AN137" s="187">
        <v>47</v>
      </c>
      <c r="AO137" s="187">
        <v>34</v>
      </c>
      <c r="AP137" s="187">
        <v>74</v>
      </c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  <c r="BI137" s="150"/>
      <c r="BJ137" s="150"/>
      <c r="BK137" s="150"/>
      <c r="BL137" s="150"/>
      <c r="BM137" s="150"/>
      <c r="BN137" s="150"/>
      <c r="BO137" s="150"/>
      <c r="BP137" s="150"/>
      <c r="BQ137" s="150"/>
      <c r="BR137" s="150"/>
      <c r="BS137" s="150"/>
      <c r="BT137" s="150"/>
      <c r="BU137" s="150"/>
      <c r="BV137" s="150"/>
      <c r="BW137" s="150"/>
      <c r="BX137" s="150"/>
      <c r="BY137" s="150"/>
      <c r="BZ137" s="150"/>
      <c r="CA137" s="150"/>
      <c r="CB137" s="150"/>
      <c r="CC137" s="150"/>
      <c r="CD137" s="150"/>
      <c r="CE137" s="150"/>
      <c r="CF137" s="150"/>
      <c r="CG137" s="150"/>
      <c r="CH137" s="150"/>
      <c r="CI137" s="150"/>
      <c r="CJ137" s="150"/>
      <c r="CK137" s="150"/>
      <c r="CL137" s="150"/>
      <c r="CM137" s="150"/>
      <c r="CN137" s="150"/>
      <c r="CO137" s="150"/>
      <c r="CP137" s="150"/>
      <c r="CQ137" s="150"/>
      <c r="CR137" s="150"/>
      <c r="CS137" s="150"/>
      <c r="CT137" s="150"/>
      <c r="CU137" s="150"/>
      <c r="CV137" s="150"/>
      <c r="CW137" s="150"/>
      <c r="CX137" s="150"/>
      <c r="CY137" s="150"/>
      <c r="CZ137" s="150"/>
      <c r="DA137" s="150"/>
      <c r="DB137" s="150"/>
      <c r="DC137" s="150"/>
      <c r="DD137" s="150"/>
      <c r="DE137" s="150"/>
      <c r="DF137" s="150"/>
      <c r="DG137" s="150"/>
      <c r="DH137" s="150"/>
      <c r="DI137" s="150"/>
      <c r="DJ137" s="150"/>
      <c r="DK137" s="150"/>
      <c r="DL137" s="150"/>
      <c r="DM137" s="150"/>
      <c r="DN137" s="150"/>
      <c r="DO137" s="150"/>
      <c r="DP137" s="150"/>
      <c r="DQ137" s="150"/>
      <c r="DR137" s="150"/>
      <c r="DS137" s="150"/>
      <c r="DT137" s="150"/>
      <c r="DU137" s="150"/>
      <c r="DV137" s="150"/>
      <c r="DW137" s="150"/>
      <c r="DX137" s="150"/>
      <c r="DY137" s="150"/>
      <c r="DZ137" s="150"/>
      <c r="EA137" s="150"/>
      <c r="EB137" s="150"/>
      <c r="EC137" s="150"/>
      <c r="ED137" s="150"/>
      <c r="EE137" s="150"/>
      <c r="EF137" s="150"/>
      <c r="EG137" s="150"/>
      <c r="EH137" s="150"/>
      <c r="EI137" s="150"/>
      <c r="EJ137" s="150"/>
      <c r="EK137" s="150"/>
      <c r="EL137" s="150"/>
      <c r="EM137" s="150"/>
      <c r="EN137" s="150"/>
      <c r="EO137" s="150"/>
      <c r="EP137" s="150"/>
      <c r="EQ137" s="150"/>
      <c r="ER137" s="150"/>
      <c r="ES137" s="150"/>
      <c r="ET137" s="150"/>
      <c r="EU137" s="150"/>
      <c r="EV137" s="150"/>
      <c r="EW137" s="150"/>
      <c r="EX137" s="150"/>
      <c r="EY137" s="150"/>
      <c r="EZ137" s="150"/>
      <c r="FA137" s="150"/>
      <c r="FB137" s="150"/>
      <c r="FC137" s="150"/>
      <c r="FD137" s="150"/>
      <c r="FE137" s="150"/>
      <c r="FF137" s="150"/>
      <c r="FG137" s="150"/>
      <c r="FH137" s="150"/>
      <c r="FI137" s="150"/>
      <c r="FJ137" s="150"/>
      <c r="FK137" s="150"/>
      <c r="FL137" s="150"/>
      <c r="FM137" s="150"/>
      <c r="FN137" s="150"/>
      <c r="FO137" s="150"/>
      <c r="FP137" s="150"/>
      <c r="FQ137" s="150"/>
      <c r="FR137" s="150"/>
      <c r="FS137" s="150"/>
      <c r="FT137" s="150"/>
      <c r="FU137" s="150"/>
      <c r="FV137" s="150"/>
      <c r="FW137" s="150"/>
      <c r="FX137" s="150"/>
      <c r="FY137" s="150"/>
      <c r="FZ137" s="150"/>
      <c r="GA137" s="150"/>
      <c r="GB137" s="150"/>
      <c r="GC137" s="150"/>
      <c r="GD137" s="150"/>
      <c r="GE137" s="150"/>
      <c r="GF137" s="150"/>
      <c r="GG137" s="150"/>
      <c r="GH137" s="150"/>
      <c r="GI137" s="150"/>
      <c r="GJ137" s="150"/>
      <c r="GK137" s="150"/>
      <c r="GL137" s="150"/>
      <c r="GM137" s="150"/>
      <c r="GN137" s="150"/>
      <c r="GO137" s="150"/>
      <c r="GP137" s="150"/>
      <c r="GQ137" s="150"/>
      <c r="GR137" s="150"/>
      <c r="GS137" s="150"/>
      <c r="GT137" s="150"/>
      <c r="GU137" s="150"/>
      <c r="GV137" s="150"/>
      <c r="GW137" s="150"/>
      <c r="GX137" s="150"/>
      <c r="GY137" s="150"/>
      <c r="GZ137" s="150"/>
      <c r="HA137" s="150"/>
      <c r="HB137" s="150"/>
      <c r="HC137" s="150"/>
      <c r="HD137" s="150"/>
      <c r="HE137" s="150"/>
      <c r="HF137" s="150"/>
      <c r="HG137" s="150"/>
      <c r="HH137" s="150"/>
      <c r="HI137" s="150"/>
      <c r="HJ137" s="150"/>
      <c r="HK137" s="150"/>
      <c r="HL137" s="150"/>
      <c r="HM137" s="150"/>
      <c r="HN137" s="150"/>
      <c r="HO137" s="150"/>
      <c r="HP137" s="150"/>
      <c r="HQ137" s="150"/>
      <c r="HR137" s="150"/>
      <c r="HS137" s="150"/>
      <c r="HT137" s="150"/>
      <c r="HU137" s="150"/>
      <c r="HV137" s="150"/>
      <c r="HW137" s="150"/>
      <c r="HX137" s="150"/>
      <c r="HY137" s="150"/>
      <c r="HZ137" s="150"/>
      <c r="IA137" s="150"/>
      <c r="IB137" s="150"/>
      <c r="IC137" s="150"/>
      <c r="ID137" s="150"/>
      <c r="IE137" s="150"/>
      <c r="IF137" s="150"/>
      <c r="IG137" s="150"/>
      <c r="IH137" s="150"/>
      <c r="II137" s="150"/>
      <c r="IJ137" s="150"/>
      <c r="IK137" s="150"/>
      <c r="IL137" s="150"/>
      <c r="IM137" s="150"/>
      <c r="IN137" s="150"/>
      <c r="IO137" s="150"/>
      <c r="IP137" s="150"/>
      <c r="IQ137" s="150"/>
      <c r="IR137" s="150"/>
      <c r="IS137" s="150"/>
      <c r="IT137" s="150"/>
      <c r="IU137" s="150"/>
      <c r="IV137" s="150"/>
      <c r="IW137" s="150"/>
      <c r="IX137" s="150"/>
      <c r="IY137" s="150"/>
      <c r="IZ137" s="150"/>
      <c r="JA137" s="150"/>
      <c r="JB137" s="150"/>
      <c r="JC137" s="150"/>
      <c r="JD137" s="150"/>
      <c r="JE137" s="150"/>
      <c r="JF137" s="150"/>
      <c r="JG137" s="150"/>
      <c r="JH137" s="150"/>
      <c r="JI137" s="150"/>
      <c r="JJ137" s="150"/>
      <c r="JK137" s="150"/>
      <c r="JL137" s="150"/>
      <c r="JM137" s="150"/>
      <c r="JN137" s="150"/>
      <c r="JO137" s="150"/>
      <c r="JP137" s="150"/>
      <c r="JQ137" s="150"/>
      <c r="JR137" s="150"/>
      <c r="JS137" s="150"/>
      <c r="JT137" s="150"/>
      <c r="JU137" s="150"/>
      <c r="JV137" s="150"/>
      <c r="JW137" s="150"/>
      <c r="JX137" s="150"/>
      <c r="JY137" s="150"/>
      <c r="JZ137" s="150"/>
      <c r="KA137" s="150"/>
      <c r="KB137" s="150"/>
      <c r="KC137" s="150"/>
      <c r="KD137" s="150"/>
      <c r="KE137" s="150"/>
      <c r="KF137" s="150"/>
      <c r="KG137" s="150"/>
      <c r="KH137" s="150"/>
      <c r="KI137" s="150"/>
      <c r="KJ137" s="150"/>
      <c r="KK137" s="150"/>
      <c r="KL137" s="150"/>
      <c r="KM137" s="150"/>
      <c r="KN137" s="150"/>
      <c r="KO137" s="150"/>
      <c r="KP137" s="150"/>
      <c r="KQ137" s="150"/>
      <c r="KR137" s="150"/>
      <c r="KS137" s="150"/>
      <c r="KT137" s="150"/>
      <c r="KU137" s="150"/>
      <c r="KV137" s="150"/>
      <c r="KW137" s="150"/>
      <c r="KX137" s="150"/>
      <c r="KY137" s="150"/>
      <c r="KZ137" s="150"/>
      <c r="LA137" s="150"/>
      <c r="LB137" s="150"/>
      <c r="LC137" s="150"/>
      <c r="LD137" s="150"/>
      <c r="LE137" s="150"/>
      <c r="LF137" s="150"/>
      <c r="LG137" s="150"/>
      <c r="LH137" s="150"/>
      <c r="LI137" s="150"/>
      <c r="LJ137" s="150"/>
      <c r="LK137" s="150"/>
      <c r="LL137" s="150"/>
      <c r="LM137" s="150"/>
      <c r="LN137" s="150"/>
      <c r="LO137" s="150"/>
      <c r="LP137" s="150"/>
      <c r="LQ137" s="150"/>
      <c r="LR137" s="150"/>
      <c r="LS137" s="150"/>
      <c r="LT137" s="150"/>
      <c r="LU137" s="150"/>
      <c r="LV137" s="150"/>
      <c r="LW137" s="150"/>
      <c r="LX137" s="150"/>
      <c r="LY137" s="150"/>
      <c r="LZ137" s="150"/>
      <c r="MA137" s="150"/>
      <c r="MB137" s="150"/>
      <c r="MC137" s="150"/>
      <c r="MD137" s="150"/>
      <c r="ME137" s="150"/>
      <c r="MF137" s="150"/>
      <c r="MG137" s="150"/>
      <c r="MH137" s="150"/>
      <c r="MI137" s="150"/>
      <c r="MJ137" s="150"/>
      <c r="MK137" s="150"/>
      <c r="ML137" s="150"/>
      <c r="MM137" s="150"/>
      <c r="MN137" s="150"/>
      <c r="MO137" s="150"/>
      <c r="MP137" s="150"/>
      <c r="MQ137" s="150"/>
      <c r="MR137" s="150"/>
      <c r="MS137" s="150"/>
      <c r="MT137" s="150"/>
      <c r="MU137" s="150"/>
      <c r="MV137" s="150"/>
      <c r="MW137" s="150"/>
      <c r="MX137" s="150"/>
      <c r="MY137" s="150"/>
      <c r="MZ137" s="150"/>
      <c r="NA137" s="150"/>
      <c r="NB137" s="150"/>
      <c r="NC137" s="150"/>
      <c r="ND137" s="150"/>
      <c r="NE137" s="150"/>
      <c r="NF137" s="150"/>
      <c r="NG137" s="150"/>
      <c r="NH137" s="150"/>
      <c r="NI137" s="150"/>
      <c r="NJ137" s="150"/>
      <c r="NK137" s="150"/>
      <c r="NL137" s="150"/>
      <c r="NM137" s="150"/>
      <c r="NN137" s="150"/>
      <c r="NO137" s="150"/>
      <c r="NP137" s="150"/>
      <c r="NQ137" s="150"/>
      <c r="NR137" s="150"/>
      <c r="NS137" s="150"/>
      <c r="NT137" s="150"/>
      <c r="NU137" s="150"/>
      <c r="NV137" s="150"/>
      <c r="NW137" s="150"/>
      <c r="NX137" s="150"/>
      <c r="NY137" s="150"/>
      <c r="NZ137" s="150"/>
      <c r="OA137" s="150"/>
      <c r="OB137" s="150"/>
      <c r="OC137" s="150"/>
      <c r="OD137" s="150"/>
      <c r="OE137" s="150"/>
    </row>
    <row r="138" spans="1:395" ht="15">
      <c r="A138" s="19"/>
      <c r="B138" s="17"/>
      <c r="C138" s="187">
        <v>2047</v>
      </c>
      <c r="D138" s="187">
        <v>25</v>
      </c>
      <c r="E138" s="187">
        <v>40</v>
      </c>
      <c r="F138" s="187">
        <v>59</v>
      </c>
      <c r="G138" s="187">
        <v>58</v>
      </c>
      <c r="H138" s="187">
        <v>40</v>
      </c>
      <c r="I138" s="187">
        <v>89</v>
      </c>
      <c r="J138" s="187">
        <v>37</v>
      </c>
      <c r="K138" s="187">
        <v>35</v>
      </c>
      <c r="L138" s="187">
        <v>66</v>
      </c>
      <c r="M138" s="187">
        <v>36</v>
      </c>
      <c r="N138" s="187">
        <v>35</v>
      </c>
      <c r="O138" s="187">
        <v>65</v>
      </c>
      <c r="P138" s="187">
        <v>40</v>
      </c>
      <c r="Q138" s="187">
        <v>40</v>
      </c>
      <c r="R138" s="187">
        <v>73</v>
      </c>
      <c r="S138" s="187">
        <v>40</v>
      </c>
      <c r="T138" s="187">
        <v>40</v>
      </c>
      <c r="U138" s="187">
        <v>73</v>
      </c>
      <c r="V138" s="187">
        <v>47</v>
      </c>
      <c r="W138" s="187">
        <v>121</v>
      </c>
      <c r="X138" s="187">
        <v>153</v>
      </c>
      <c r="Y138" s="187">
        <v>40</v>
      </c>
      <c r="Z138" s="187">
        <v>86</v>
      </c>
      <c r="AA138" s="187">
        <v>115</v>
      </c>
      <c r="AB138" s="187">
        <v>42</v>
      </c>
      <c r="AC138" s="187">
        <v>61</v>
      </c>
      <c r="AD138" s="187">
        <v>94</v>
      </c>
      <c r="AE138" s="187">
        <v>45</v>
      </c>
      <c r="AF138" s="187">
        <v>25</v>
      </c>
      <c r="AG138" s="187">
        <v>64</v>
      </c>
      <c r="AH138" s="187">
        <v>38</v>
      </c>
      <c r="AI138" s="187">
        <v>101</v>
      </c>
      <c r="AJ138" s="187">
        <v>127</v>
      </c>
      <c r="AK138" s="187">
        <v>38</v>
      </c>
      <c r="AL138" s="187">
        <v>40</v>
      </c>
      <c r="AM138" s="187">
        <v>71</v>
      </c>
      <c r="AN138" s="187">
        <v>42</v>
      </c>
      <c r="AO138" s="187">
        <v>30</v>
      </c>
      <c r="AP138" s="187">
        <v>65</v>
      </c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  <c r="BI138" s="150"/>
      <c r="BJ138" s="150"/>
      <c r="BK138" s="150"/>
      <c r="BL138" s="150"/>
      <c r="BM138" s="150"/>
      <c r="BN138" s="150"/>
      <c r="BO138" s="150"/>
      <c r="BP138" s="150"/>
      <c r="BQ138" s="150"/>
      <c r="BR138" s="150"/>
      <c r="BS138" s="150"/>
      <c r="BT138" s="150"/>
      <c r="BU138" s="150"/>
      <c r="BV138" s="150"/>
      <c r="BW138" s="150"/>
      <c r="BX138" s="150"/>
      <c r="BY138" s="150"/>
      <c r="BZ138" s="150"/>
      <c r="CA138" s="150"/>
      <c r="CB138" s="150"/>
      <c r="CC138" s="150"/>
      <c r="CD138" s="150"/>
      <c r="CE138" s="150"/>
      <c r="CF138" s="150"/>
      <c r="CG138" s="150"/>
      <c r="CH138" s="150"/>
      <c r="CI138" s="150"/>
      <c r="CJ138" s="150"/>
      <c r="CK138" s="150"/>
      <c r="CL138" s="150"/>
      <c r="CM138" s="150"/>
      <c r="CN138" s="150"/>
      <c r="CO138" s="150"/>
      <c r="CP138" s="150"/>
      <c r="CQ138" s="150"/>
      <c r="CR138" s="150"/>
      <c r="CS138" s="150"/>
      <c r="CT138" s="150"/>
      <c r="CU138" s="150"/>
      <c r="CV138" s="150"/>
      <c r="CW138" s="150"/>
      <c r="CX138" s="150"/>
      <c r="CY138" s="150"/>
      <c r="CZ138" s="150"/>
      <c r="DA138" s="150"/>
      <c r="DB138" s="150"/>
      <c r="DC138" s="150"/>
      <c r="DD138" s="150"/>
      <c r="DE138" s="150"/>
      <c r="DF138" s="150"/>
      <c r="DG138" s="150"/>
      <c r="DH138" s="150"/>
      <c r="DI138" s="150"/>
      <c r="DJ138" s="150"/>
      <c r="DK138" s="150"/>
      <c r="DL138" s="150"/>
      <c r="DM138" s="150"/>
      <c r="DN138" s="150"/>
      <c r="DO138" s="150"/>
      <c r="DP138" s="150"/>
      <c r="DQ138" s="150"/>
      <c r="DR138" s="150"/>
      <c r="DS138" s="150"/>
      <c r="DT138" s="150"/>
      <c r="DU138" s="150"/>
      <c r="DV138" s="150"/>
      <c r="DW138" s="150"/>
      <c r="DX138" s="150"/>
      <c r="DY138" s="150"/>
      <c r="DZ138" s="150"/>
      <c r="EA138" s="150"/>
      <c r="EB138" s="150"/>
      <c r="EC138" s="150"/>
      <c r="ED138" s="150"/>
      <c r="EE138" s="150"/>
      <c r="EF138" s="150"/>
      <c r="EG138" s="150"/>
      <c r="EH138" s="150"/>
      <c r="EI138" s="150"/>
      <c r="EJ138" s="150"/>
      <c r="EK138" s="150"/>
      <c r="EL138" s="150"/>
      <c r="EM138" s="150"/>
      <c r="EN138" s="150"/>
      <c r="EO138" s="150"/>
      <c r="EP138" s="150"/>
      <c r="EQ138" s="150"/>
      <c r="ER138" s="150"/>
      <c r="ES138" s="150"/>
      <c r="ET138" s="150"/>
      <c r="EU138" s="150"/>
      <c r="EV138" s="150"/>
      <c r="EW138" s="150"/>
      <c r="EX138" s="150"/>
      <c r="EY138" s="150"/>
      <c r="EZ138" s="150"/>
      <c r="FA138" s="150"/>
      <c r="FB138" s="150"/>
      <c r="FC138" s="150"/>
      <c r="FD138" s="150"/>
      <c r="FE138" s="150"/>
      <c r="FF138" s="150"/>
      <c r="FG138" s="150"/>
      <c r="FH138" s="150"/>
      <c r="FI138" s="150"/>
      <c r="FJ138" s="150"/>
      <c r="FK138" s="150"/>
      <c r="FL138" s="150"/>
      <c r="FM138" s="150"/>
      <c r="FN138" s="150"/>
      <c r="FO138" s="150"/>
      <c r="FP138" s="150"/>
      <c r="FQ138" s="150"/>
      <c r="FR138" s="150"/>
      <c r="FS138" s="150"/>
      <c r="FT138" s="150"/>
      <c r="FU138" s="150"/>
      <c r="FV138" s="150"/>
      <c r="FW138" s="150"/>
      <c r="FX138" s="150"/>
      <c r="FY138" s="150"/>
      <c r="FZ138" s="150"/>
      <c r="GA138" s="150"/>
      <c r="GB138" s="150"/>
      <c r="GC138" s="150"/>
      <c r="GD138" s="150"/>
      <c r="GE138" s="150"/>
      <c r="GF138" s="150"/>
      <c r="GG138" s="150"/>
      <c r="GH138" s="150"/>
      <c r="GI138" s="150"/>
      <c r="GJ138" s="150"/>
      <c r="GK138" s="150"/>
      <c r="GL138" s="150"/>
      <c r="GM138" s="150"/>
      <c r="GN138" s="150"/>
      <c r="GO138" s="150"/>
      <c r="GP138" s="150"/>
      <c r="GQ138" s="150"/>
      <c r="GR138" s="150"/>
      <c r="GS138" s="150"/>
      <c r="GT138" s="150"/>
      <c r="GU138" s="150"/>
      <c r="GV138" s="150"/>
      <c r="GW138" s="150"/>
      <c r="GX138" s="150"/>
      <c r="GY138" s="150"/>
      <c r="GZ138" s="150"/>
      <c r="HA138" s="150"/>
      <c r="HB138" s="150"/>
      <c r="HC138" s="150"/>
      <c r="HD138" s="150"/>
      <c r="HE138" s="150"/>
      <c r="HF138" s="150"/>
      <c r="HG138" s="150"/>
      <c r="HH138" s="150"/>
      <c r="HI138" s="150"/>
      <c r="HJ138" s="150"/>
      <c r="HK138" s="150"/>
      <c r="HL138" s="150"/>
      <c r="HM138" s="150"/>
      <c r="HN138" s="150"/>
      <c r="HO138" s="150"/>
      <c r="HP138" s="150"/>
      <c r="HQ138" s="150"/>
      <c r="HR138" s="150"/>
      <c r="HS138" s="150"/>
      <c r="HT138" s="150"/>
      <c r="HU138" s="150"/>
      <c r="HV138" s="150"/>
      <c r="HW138" s="150"/>
      <c r="HX138" s="150"/>
      <c r="HY138" s="150"/>
      <c r="HZ138" s="150"/>
      <c r="IA138" s="150"/>
      <c r="IB138" s="150"/>
      <c r="IC138" s="150"/>
      <c r="ID138" s="150"/>
      <c r="IE138" s="150"/>
      <c r="IF138" s="150"/>
      <c r="IG138" s="150"/>
      <c r="IH138" s="150"/>
      <c r="II138" s="150"/>
      <c r="IJ138" s="150"/>
      <c r="IK138" s="150"/>
      <c r="IL138" s="150"/>
      <c r="IM138" s="150"/>
      <c r="IN138" s="150"/>
      <c r="IO138" s="150"/>
      <c r="IP138" s="150"/>
      <c r="IQ138" s="150"/>
      <c r="IR138" s="150"/>
      <c r="IS138" s="150"/>
      <c r="IT138" s="150"/>
      <c r="IU138" s="150"/>
      <c r="IV138" s="150"/>
      <c r="IW138" s="150"/>
      <c r="IX138" s="150"/>
      <c r="IY138" s="150"/>
      <c r="IZ138" s="150"/>
      <c r="JA138" s="150"/>
      <c r="JB138" s="150"/>
      <c r="JC138" s="150"/>
      <c r="JD138" s="150"/>
      <c r="JE138" s="150"/>
      <c r="JF138" s="150"/>
      <c r="JG138" s="150"/>
      <c r="JH138" s="150"/>
      <c r="JI138" s="150"/>
      <c r="JJ138" s="150"/>
      <c r="JK138" s="150"/>
      <c r="JL138" s="150"/>
      <c r="JM138" s="150"/>
      <c r="JN138" s="150"/>
      <c r="JO138" s="150"/>
      <c r="JP138" s="150"/>
      <c r="JQ138" s="150"/>
      <c r="JR138" s="150"/>
      <c r="JS138" s="150"/>
      <c r="JT138" s="150"/>
      <c r="JU138" s="150"/>
      <c r="JV138" s="150"/>
      <c r="JW138" s="150"/>
      <c r="JX138" s="150"/>
      <c r="JY138" s="150"/>
      <c r="JZ138" s="150"/>
      <c r="KA138" s="150"/>
      <c r="KB138" s="150"/>
      <c r="KC138" s="150"/>
      <c r="KD138" s="150"/>
      <c r="KE138" s="150"/>
      <c r="KF138" s="150"/>
      <c r="KG138" s="150"/>
      <c r="KH138" s="150"/>
      <c r="KI138" s="150"/>
      <c r="KJ138" s="150"/>
      <c r="KK138" s="150"/>
      <c r="KL138" s="150"/>
      <c r="KM138" s="150"/>
      <c r="KN138" s="150"/>
      <c r="KO138" s="150"/>
      <c r="KP138" s="150"/>
      <c r="KQ138" s="150"/>
      <c r="KR138" s="150"/>
      <c r="KS138" s="150"/>
      <c r="KT138" s="150"/>
      <c r="KU138" s="150"/>
      <c r="KV138" s="150"/>
      <c r="KW138" s="150"/>
      <c r="KX138" s="150"/>
      <c r="KY138" s="150"/>
      <c r="KZ138" s="150"/>
      <c r="LA138" s="150"/>
      <c r="LB138" s="150"/>
      <c r="LC138" s="150"/>
      <c r="LD138" s="150"/>
      <c r="LE138" s="150"/>
      <c r="LF138" s="150"/>
      <c r="LG138" s="150"/>
      <c r="LH138" s="150"/>
      <c r="LI138" s="150"/>
      <c r="LJ138" s="150"/>
      <c r="LK138" s="150"/>
      <c r="LL138" s="150"/>
      <c r="LM138" s="150"/>
      <c r="LN138" s="150"/>
      <c r="LO138" s="150"/>
      <c r="LP138" s="150"/>
      <c r="LQ138" s="150"/>
      <c r="LR138" s="150"/>
      <c r="LS138" s="150"/>
      <c r="LT138" s="150"/>
      <c r="LU138" s="150"/>
      <c r="LV138" s="150"/>
      <c r="LW138" s="150"/>
      <c r="LX138" s="150"/>
      <c r="LY138" s="150"/>
      <c r="LZ138" s="150"/>
      <c r="MA138" s="150"/>
      <c r="MB138" s="150"/>
      <c r="MC138" s="150"/>
      <c r="MD138" s="150"/>
      <c r="ME138" s="150"/>
      <c r="MF138" s="150"/>
      <c r="MG138" s="150"/>
      <c r="MH138" s="150"/>
      <c r="MI138" s="150"/>
      <c r="MJ138" s="150"/>
      <c r="MK138" s="150"/>
      <c r="ML138" s="150"/>
      <c r="MM138" s="150"/>
      <c r="MN138" s="150"/>
      <c r="MO138" s="150"/>
      <c r="MP138" s="150"/>
      <c r="MQ138" s="150"/>
      <c r="MR138" s="150"/>
      <c r="MS138" s="150"/>
      <c r="MT138" s="150"/>
      <c r="MU138" s="150"/>
      <c r="MV138" s="150"/>
      <c r="MW138" s="150"/>
      <c r="MX138" s="150"/>
      <c r="MY138" s="150"/>
      <c r="MZ138" s="150"/>
      <c r="NA138" s="150"/>
      <c r="NB138" s="150"/>
      <c r="NC138" s="150"/>
      <c r="ND138" s="150"/>
      <c r="NE138" s="150"/>
      <c r="NF138" s="150"/>
      <c r="NG138" s="150"/>
      <c r="NH138" s="150"/>
      <c r="NI138" s="150"/>
      <c r="NJ138" s="150"/>
      <c r="NK138" s="150"/>
      <c r="NL138" s="150"/>
      <c r="NM138" s="150"/>
      <c r="NN138" s="150"/>
      <c r="NO138" s="150"/>
      <c r="NP138" s="150"/>
      <c r="NQ138" s="150"/>
      <c r="NR138" s="150"/>
      <c r="NS138" s="150"/>
      <c r="NT138" s="150"/>
      <c r="NU138" s="150"/>
      <c r="NV138" s="150"/>
      <c r="NW138" s="150"/>
      <c r="NX138" s="150"/>
      <c r="NY138" s="150"/>
      <c r="NZ138" s="150"/>
      <c r="OA138" s="150"/>
      <c r="OB138" s="150"/>
      <c r="OC138" s="150"/>
      <c r="OD138" s="150"/>
      <c r="OE138" s="150"/>
    </row>
    <row r="139" spans="1:395" ht="15">
      <c r="A139" s="19"/>
      <c r="B139" s="17"/>
      <c r="C139" s="187">
        <v>2048</v>
      </c>
      <c r="D139" s="187">
        <v>22</v>
      </c>
      <c r="E139" s="187">
        <v>35</v>
      </c>
      <c r="F139" s="187">
        <v>52</v>
      </c>
      <c r="G139" s="187">
        <v>50</v>
      </c>
      <c r="H139" s="187">
        <v>35</v>
      </c>
      <c r="I139" s="187">
        <v>78</v>
      </c>
      <c r="J139" s="187">
        <v>32</v>
      </c>
      <c r="K139" s="187">
        <v>31</v>
      </c>
      <c r="L139" s="187">
        <v>58</v>
      </c>
      <c r="M139" s="187">
        <v>32</v>
      </c>
      <c r="N139" s="187">
        <v>31</v>
      </c>
      <c r="O139" s="187">
        <v>57</v>
      </c>
      <c r="P139" s="187">
        <v>35</v>
      </c>
      <c r="Q139" s="187">
        <v>35</v>
      </c>
      <c r="R139" s="187">
        <v>64</v>
      </c>
      <c r="S139" s="187">
        <v>35</v>
      </c>
      <c r="T139" s="187">
        <v>35</v>
      </c>
      <c r="U139" s="187">
        <v>64</v>
      </c>
      <c r="V139" s="187">
        <v>41</v>
      </c>
      <c r="W139" s="187">
        <v>106</v>
      </c>
      <c r="X139" s="187">
        <v>134</v>
      </c>
      <c r="Y139" s="187">
        <v>35</v>
      </c>
      <c r="Z139" s="187">
        <v>75</v>
      </c>
      <c r="AA139" s="187">
        <v>100</v>
      </c>
      <c r="AB139" s="187">
        <v>37</v>
      </c>
      <c r="AC139" s="187">
        <v>53</v>
      </c>
      <c r="AD139" s="187">
        <v>82</v>
      </c>
      <c r="AE139" s="187">
        <v>39</v>
      </c>
      <c r="AF139" s="187">
        <v>22</v>
      </c>
      <c r="AG139" s="187">
        <v>56</v>
      </c>
      <c r="AH139" s="187">
        <v>34</v>
      </c>
      <c r="AI139" s="187">
        <v>88</v>
      </c>
      <c r="AJ139" s="187">
        <v>111</v>
      </c>
      <c r="AK139" s="187">
        <v>33</v>
      </c>
      <c r="AL139" s="187">
        <v>35</v>
      </c>
      <c r="AM139" s="187">
        <v>62</v>
      </c>
      <c r="AN139" s="187">
        <v>36</v>
      </c>
      <c r="AO139" s="187">
        <v>27</v>
      </c>
      <c r="AP139" s="187">
        <v>57</v>
      </c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  <c r="BI139" s="150"/>
      <c r="BJ139" s="150"/>
      <c r="BK139" s="150"/>
      <c r="BL139" s="150"/>
      <c r="BM139" s="150"/>
      <c r="BN139" s="150"/>
      <c r="BO139" s="150"/>
      <c r="BP139" s="150"/>
      <c r="BQ139" s="150"/>
      <c r="BR139" s="150"/>
      <c r="BS139" s="150"/>
      <c r="BT139" s="150"/>
      <c r="BU139" s="150"/>
      <c r="BV139" s="150"/>
      <c r="BW139" s="150"/>
      <c r="BX139" s="150"/>
      <c r="BY139" s="150"/>
      <c r="BZ139" s="150"/>
      <c r="CA139" s="150"/>
      <c r="CB139" s="150"/>
      <c r="CC139" s="150"/>
      <c r="CD139" s="150"/>
      <c r="CE139" s="150"/>
      <c r="CF139" s="150"/>
      <c r="CG139" s="150"/>
      <c r="CH139" s="150"/>
      <c r="CI139" s="150"/>
      <c r="CJ139" s="150"/>
      <c r="CK139" s="150"/>
      <c r="CL139" s="150"/>
      <c r="CM139" s="150"/>
      <c r="CN139" s="150"/>
      <c r="CO139" s="150"/>
      <c r="CP139" s="150"/>
      <c r="CQ139" s="150"/>
      <c r="CR139" s="150"/>
      <c r="CS139" s="150"/>
      <c r="CT139" s="150"/>
      <c r="CU139" s="150"/>
      <c r="CV139" s="150"/>
      <c r="CW139" s="150"/>
      <c r="CX139" s="150"/>
      <c r="CY139" s="150"/>
      <c r="CZ139" s="150"/>
      <c r="DA139" s="150"/>
      <c r="DB139" s="150"/>
      <c r="DC139" s="150"/>
      <c r="DD139" s="150"/>
      <c r="DE139" s="150"/>
      <c r="DF139" s="150"/>
      <c r="DG139" s="150"/>
      <c r="DH139" s="150"/>
      <c r="DI139" s="150"/>
      <c r="DJ139" s="150"/>
      <c r="DK139" s="150"/>
      <c r="DL139" s="150"/>
      <c r="DM139" s="150"/>
      <c r="DN139" s="150"/>
      <c r="DO139" s="150"/>
      <c r="DP139" s="150"/>
      <c r="DQ139" s="150"/>
      <c r="DR139" s="150"/>
      <c r="DS139" s="150"/>
      <c r="DT139" s="150"/>
      <c r="DU139" s="150"/>
      <c r="DV139" s="150"/>
      <c r="DW139" s="150"/>
      <c r="DX139" s="150"/>
      <c r="DY139" s="150"/>
      <c r="DZ139" s="150"/>
      <c r="EA139" s="150"/>
      <c r="EB139" s="150"/>
      <c r="EC139" s="150"/>
      <c r="ED139" s="150"/>
      <c r="EE139" s="150"/>
      <c r="EF139" s="150"/>
      <c r="EG139" s="150"/>
      <c r="EH139" s="150"/>
      <c r="EI139" s="150"/>
      <c r="EJ139" s="150"/>
      <c r="EK139" s="150"/>
      <c r="EL139" s="150"/>
      <c r="EM139" s="150"/>
      <c r="EN139" s="150"/>
      <c r="EO139" s="150"/>
      <c r="EP139" s="150"/>
      <c r="EQ139" s="150"/>
      <c r="ER139" s="150"/>
      <c r="ES139" s="150"/>
      <c r="ET139" s="150"/>
      <c r="EU139" s="150"/>
      <c r="EV139" s="150"/>
      <c r="EW139" s="150"/>
      <c r="EX139" s="150"/>
      <c r="EY139" s="150"/>
      <c r="EZ139" s="150"/>
      <c r="FA139" s="150"/>
      <c r="FB139" s="150"/>
      <c r="FC139" s="150"/>
      <c r="FD139" s="150"/>
      <c r="FE139" s="150"/>
      <c r="FF139" s="150"/>
      <c r="FG139" s="150"/>
      <c r="FH139" s="150"/>
      <c r="FI139" s="150"/>
      <c r="FJ139" s="150"/>
      <c r="FK139" s="150"/>
      <c r="FL139" s="150"/>
      <c r="FM139" s="150"/>
      <c r="FN139" s="150"/>
      <c r="FO139" s="150"/>
      <c r="FP139" s="150"/>
      <c r="FQ139" s="150"/>
      <c r="FR139" s="150"/>
      <c r="FS139" s="150"/>
      <c r="FT139" s="150"/>
      <c r="FU139" s="150"/>
      <c r="FV139" s="150"/>
      <c r="FW139" s="150"/>
      <c r="FX139" s="150"/>
      <c r="FY139" s="150"/>
      <c r="FZ139" s="150"/>
      <c r="GA139" s="150"/>
      <c r="GB139" s="150"/>
      <c r="GC139" s="150"/>
      <c r="GD139" s="150"/>
      <c r="GE139" s="150"/>
      <c r="GF139" s="150"/>
      <c r="GG139" s="150"/>
      <c r="GH139" s="150"/>
      <c r="GI139" s="150"/>
      <c r="GJ139" s="150"/>
      <c r="GK139" s="150"/>
      <c r="GL139" s="150"/>
      <c r="GM139" s="150"/>
      <c r="GN139" s="150"/>
      <c r="GO139" s="150"/>
      <c r="GP139" s="150"/>
      <c r="GQ139" s="150"/>
      <c r="GR139" s="150"/>
      <c r="GS139" s="150"/>
      <c r="GT139" s="150"/>
      <c r="GU139" s="150"/>
      <c r="GV139" s="150"/>
      <c r="GW139" s="150"/>
      <c r="GX139" s="150"/>
      <c r="GY139" s="150"/>
      <c r="GZ139" s="150"/>
      <c r="HA139" s="150"/>
      <c r="HB139" s="150"/>
      <c r="HC139" s="150"/>
      <c r="HD139" s="150"/>
      <c r="HE139" s="150"/>
      <c r="HF139" s="150"/>
      <c r="HG139" s="150"/>
      <c r="HH139" s="150"/>
      <c r="HI139" s="150"/>
      <c r="HJ139" s="150"/>
      <c r="HK139" s="150"/>
      <c r="HL139" s="150"/>
      <c r="HM139" s="150"/>
      <c r="HN139" s="150"/>
      <c r="HO139" s="150"/>
      <c r="HP139" s="150"/>
      <c r="HQ139" s="150"/>
      <c r="HR139" s="150"/>
      <c r="HS139" s="150"/>
      <c r="HT139" s="150"/>
      <c r="HU139" s="150"/>
      <c r="HV139" s="150"/>
      <c r="HW139" s="150"/>
      <c r="HX139" s="150"/>
      <c r="HY139" s="150"/>
      <c r="HZ139" s="150"/>
      <c r="IA139" s="150"/>
      <c r="IB139" s="150"/>
      <c r="IC139" s="150"/>
      <c r="ID139" s="150"/>
      <c r="IE139" s="150"/>
      <c r="IF139" s="150"/>
      <c r="IG139" s="150"/>
      <c r="IH139" s="150"/>
      <c r="II139" s="150"/>
      <c r="IJ139" s="150"/>
      <c r="IK139" s="150"/>
      <c r="IL139" s="150"/>
      <c r="IM139" s="150"/>
      <c r="IN139" s="150"/>
      <c r="IO139" s="150"/>
      <c r="IP139" s="150"/>
      <c r="IQ139" s="150"/>
      <c r="IR139" s="150"/>
      <c r="IS139" s="150"/>
      <c r="IT139" s="150"/>
      <c r="IU139" s="150"/>
      <c r="IV139" s="150"/>
      <c r="IW139" s="150"/>
      <c r="IX139" s="150"/>
      <c r="IY139" s="150"/>
      <c r="IZ139" s="150"/>
      <c r="JA139" s="150"/>
      <c r="JB139" s="150"/>
      <c r="JC139" s="150"/>
      <c r="JD139" s="150"/>
      <c r="JE139" s="150"/>
      <c r="JF139" s="150"/>
      <c r="JG139" s="150"/>
      <c r="JH139" s="150"/>
      <c r="JI139" s="150"/>
      <c r="JJ139" s="150"/>
      <c r="JK139" s="150"/>
      <c r="JL139" s="150"/>
      <c r="JM139" s="150"/>
      <c r="JN139" s="150"/>
      <c r="JO139" s="150"/>
      <c r="JP139" s="150"/>
      <c r="JQ139" s="150"/>
      <c r="JR139" s="150"/>
      <c r="JS139" s="150"/>
      <c r="JT139" s="150"/>
      <c r="JU139" s="150"/>
      <c r="JV139" s="150"/>
      <c r="JW139" s="150"/>
      <c r="JX139" s="150"/>
      <c r="JY139" s="150"/>
      <c r="JZ139" s="150"/>
      <c r="KA139" s="150"/>
      <c r="KB139" s="150"/>
      <c r="KC139" s="150"/>
      <c r="KD139" s="150"/>
      <c r="KE139" s="150"/>
      <c r="KF139" s="150"/>
      <c r="KG139" s="150"/>
      <c r="KH139" s="150"/>
      <c r="KI139" s="150"/>
      <c r="KJ139" s="150"/>
      <c r="KK139" s="150"/>
      <c r="KL139" s="150"/>
      <c r="KM139" s="150"/>
      <c r="KN139" s="150"/>
      <c r="KO139" s="150"/>
      <c r="KP139" s="150"/>
      <c r="KQ139" s="150"/>
      <c r="KR139" s="150"/>
      <c r="KS139" s="150"/>
      <c r="KT139" s="150"/>
      <c r="KU139" s="150"/>
      <c r="KV139" s="150"/>
      <c r="KW139" s="150"/>
      <c r="KX139" s="150"/>
      <c r="KY139" s="150"/>
      <c r="KZ139" s="150"/>
      <c r="LA139" s="150"/>
      <c r="LB139" s="150"/>
      <c r="LC139" s="150"/>
      <c r="LD139" s="150"/>
      <c r="LE139" s="150"/>
      <c r="LF139" s="150"/>
      <c r="LG139" s="150"/>
      <c r="LH139" s="150"/>
      <c r="LI139" s="150"/>
      <c r="LJ139" s="150"/>
      <c r="LK139" s="150"/>
      <c r="LL139" s="150"/>
      <c r="LM139" s="150"/>
      <c r="LN139" s="150"/>
      <c r="LO139" s="150"/>
      <c r="LP139" s="150"/>
      <c r="LQ139" s="150"/>
      <c r="LR139" s="150"/>
      <c r="LS139" s="150"/>
      <c r="LT139" s="150"/>
      <c r="LU139" s="150"/>
      <c r="LV139" s="150"/>
      <c r="LW139" s="150"/>
      <c r="LX139" s="150"/>
      <c r="LY139" s="150"/>
      <c r="LZ139" s="150"/>
      <c r="MA139" s="150"/>
      <c r="MB139" s="150"/>
      <c r="MC139" s="150"/>
      <c r="MD139" s="150"/>
      <c r="ME139" s="150"/>
      <c r="MF139" s="150"/>
      <c r="MG139" s="150"/>
      <c r="MH139" s="150"/>
      <c r="MI139" s="150"/>
      <c r="MJ139" s="150"/>
      <c r="MK139" s="150"/>
      <c r="ML139" s="150"/>
      <c r="MM139" s="150"/>
      <c r="MN139" s="150"/>
      <c r="MO139" s="150"/>
      <c r="MP139" s="150"/>
      <c r="MQ139" s="150"/>
      <c r="MR139" s="150"/>
      <c r="MS139" s="150"/>
      <c r="MT139" s="150"/>
      <c r="MU139" s="150"/>
      <c r="MV139" s="150"/>
      <c r="MW139" s="150"/>
      <c r="MX139" s="150"/>
      <c r="MY139" s="150"/>
      <c r="MZ139" s="150"/>
      <c r="NA139" s="150"/>
      <c r="NB139" s="150"/>
      <c r="NC139" s="150"/>
      <c r="ND139" s="150"/>
      <c r="NE139" s="150"/>
      <c r="NF139" s="150"/>
      <c r="NG139" s="150"/>
      <c r="NH139" s="150"/>
      <c r="NI139" s="150"/>
      <c r="NJ139" s="150"/>
      <c r="NK139" s="150"/>
      <c r="NL139" s="150"/>
      <c r="NM139" s="150"/>
      <c r="NN139" s="150"/>
      <c r="NO139" s="150"/>
      <c r="NP139" s="150"/>
      <c r="NQ139" s="150"/>
      <c r="NR139" s="150"/>
      <c r="NS139" s="150"/>
      <c r="NT139" s="150"/>
      <c r="NU139" s="150"/>
      <c r="NV139" s="150"/>
      <c r="NW139" s="150"/>
      <c r="NX139" s="150"/>
      <c r="NY139" s="150"/>
      <c r="NZ139" s="150"/>
      <c r="OA139" s="150"/>
      <c r="OB139" s="150"/>
      <c r="OC139" s="150"/>
      <c r="OD139" s="150"/>
      <c r="OE139" s="150"/>
    </row>
    <row r="140" spans="1:395" ht="15">
      <c r="A140" s="19"/>
      <c r="B140" s="17"/>
      <c r="C140" s="187">
        <v>2049</v>
      </c>
      <c r="D140" s="187">
        <v>19</v>
      </c>
      <c r="E140" s="187">
        <v>30</v>
      </c>
      <c r="F140" s="187">
        <v>44</v>
      </c>
      <c r="G140" s="187">
        <v>43</v>
      </c>
      <c r="H140" s="187">
        <v>30</v>
      </c>
      <c r="I140" s="187">
        <v>67</v>
      </c>
      <c r="J140" s="187">
        <v>28</v>
      </c>
      <c r="K140" s="187">
        <v>27</v>
      </c>
      <c r="L140" s="187">
        <v>49</v>
      </c>
      <c r="M140" s="187">
        <v>27</v>
      </c>
      <c r="N140" s="187">
        <v>27</v>
      </c>
      <c r="O140" s="187">
        <v>49</v>
      </c>
      <c r="P140" s="187">
        <v>30</v>
      </c>
      <c r="Q140" s="187">
        <v>30</v>
      </c>
      <c r="R140" s="187">
        <v>55</v>
      </c>
      <c r="S140" s="187">
        <v>30</v>
      </c>
      <c r="T140" s="187">
        <v>30</v>
      </c>
      <c r="U140" s="187">
        <v>55</v>
      </c>
      <c r="V140" s="187">
        <v>35</v>
      </c>
      <c r="W140" s="187">
        <v>91</v>
      </c>
      <c r="X140" s="187">
        <v>115</v>
      </c>
      <c r="Y140" s="187">
        <v>30</v>
      </c>
      <c r="Z140" s="187">
        <v>64</v>
      </c>
      <c r="AA140" s="187">
        <v>86</v>
      </c>
      <c r="AB140" s="187">
        <v>32</v>
      </c>
      <c r="AC140" s="187">
        <v>46</v>
      </c>
      <c r="AD140" s="187">
        <v>70</v>
      </c>
      <c r="AE140" s="187">
        <v>34</v>
      </c>
      <c r="AF140" s="187">
        <v>19</v>
      </c>
      <c r="AG140" s="187">
        <v>48</v>
      </c>
      <c r="AH140" s="187">
        <v>29</v>
      </c>
      <c r="AI140" s="187">
        <v>76</v>
      </c>
      <c r="AJ140" s="187">
        <v>95</v>
      </c>
      <c r="AK140" s="187">
        <v>28</v>
      </c>
      <c r="AL140" s="187">
        <v>30</v>
      </c>
      <c r="AM140" s="187">
        <v>53</v>
      </c>
      <c r="AN140" s="187">
        <v>31</v>
      </c>
      <c r="AO140" s="187">
        <v>23</v>
      </c>
      <c r="AP140" s="187">
        <v>49</v>
      </c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  <c r="BI140" s="150"/>
      <c r="BJ140" s="150"/>
      <c r="BK140" s="150"/>
      <c r="BL140" s="150"/>
      <c r="BM140" s="150"/>
      <c r="BN140" s="150"/>
      <c r="BO140" s="150"/>
      <c r="BP140" s="150"/>
      <c r="BQ140" s="150"/>
      <c r="BR140" s="150"/>
      <c r="BS140" s="150"/>
      <c r="BT140" s="150"/>
      <c r="BU140" s="150"/>
      <c r="BV140" s="150"/>
      <c r="BW140" s="150"/>
      <c r="BX140" s="150"/>
      <c r="BY140" s="150"/>
      <c r="BZ140" s="150"/>
      <c r="CA140" s="150"/>
      <c r="CB140" s="150"/>
      <c r="CC140" s="150"/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50"/>
      <c r="CO140" s="150"/>
      <c r="CP140" s="150"/>
      <c r="CQ140" s="150"/>
      <c r="CR140" s="150"/>
      <c r="CS140" s="150"/>
      <c r="CT140" s="150"/>
      <c r="CU140" s="150"/>
      <c r="CV140" s="150"/>
      <c r="CW140" s="150"/>
      <c r="CX140" s="150"/>
      <c r="CY140" s="150"/>
      <c r="CZ140" s="150"/>
      <c r="DA140" s="150"/>
      <c r="DB140" s="150"/>
      <c r="DC140" s="150"/>
      <c r="DD140" s="150"/>
      <c r="DE140" s="150"/>
      <c r="DF140" s="150"/>
      <c r="DG140" s="150"/>
      <c r="DH140" s="150"/>
      <c r="DI140" s="150"/>
      <c r="DJ140" s="150"/>
      <c r="DK140" s="150"/>
      <c r="DL140" s="150"/>
      <c r="DM140" s="150"/>
      <c r="DN140" s="150"/>
      <c r="DO140" s="150"/>
      <c r="DP140" s="150"/>
      <c r="DQ140" s="150"/>
      <c r="DR140" s="150"/>
      <c r="DS140" s="150"/>
      <c r="DT140" s="150"/>
      <c r="DU140" s="150"/>
      <c r="DV140" s="150"/>
      <c r="DW140" s="150"/>
      <c r="DX140" s="150"/>
      <c r="DY140" s="150"/>
      <c r="DZ140" s="150"/>
      <c r="EA140" s="150"/>
      <c r="EB140" s="150"/>
      <c r="EC140" s="150"/>
      <c r="ED140" s="150"/>
      <c r="EE140" s="150"/>
      <c r="EF140" s="150"/>
      <c r="EG140" s="150"/>
      <c r="EH140" s="150"/>
      <c r="EI140" s="150"/>
      <c r="EJ140" s="150"/>
      <c r="EK140" s="150"/>
      <c r="EL140" s="150"/>
      <c r="EM140" s="150"/>
      <c r="EN140" s="150"/>
      <c r="EO140" s="150"/>
      <c r="EP140" s="150"/>
      <c r="EQ140" s="150"/>
      <c r="ER140" s="150"/>
      <c r="ES140" s="150"/>
      <c r="ET140" s="150"/>
      <c r="EU140" s="150"/>
      <c r="EV140" s="150"/>
      <c r="EW140" s="150"/>
      <c r="EX140" s="150"/>
      <c r="EY140" s="150"/>
      <c r="EZ140" s="150"/>
      <c r="FA140" s="150"/>
      <c r="FB140" s="150"/>
      <c r="FC140" s="150"/>
      <c r="FD140" s="150"/>
      <c r="FE140" s="150"/>
      <c r="FF140" s="150"/>
      <c r="FG140" s="150"/>
      <c r="FH140" s="150"/>
      <c r="FI140" s="150"/>
      <c r="FJ140" s="150"/>
      <c r="FK140" s="150"/>
      <c r="FL140" s="150"/>
      <c r="FM140" s="150"/>
      <c r="FN140" s="150"/>
      <c r="FO140" s="150"/>
      <c r="FP140" s="150"/>
      <c r="FQ140" s="150"/>
      <c r="FR140" s="150"/>
      <c r="FS140" s="150"/>
      <c r="FT140" s="150"/>
      <c r="FU140" s="150"/>
      <c r="FV140" s="150"/>
      <c r="FW140" s="150"/>
      <c r="FX140" s="150"/>
      <c r="FY140" s="150"/>
      <c r="FZ140" s="150"/>
      <c r="GA140" s="150"/>
      <c r="GB140" s="150"/>
      <c r="GC140" s="150"/>
      <c r="GD140" s="150"/>
      <c r="GE140" s="150"/>
      <c r="GF140" s="150"/>
      <c r="GG140" s="150"/>
      <c r="GH140" s="150"/>
      <c r="GI140" s="150"/>
      <c r="GJ140" s="150"/>
      <c r="GK140" s="150"/>
      <c r="GL140" s="150"/>
      <c r="GM140" s="150"/>
      <c r="GN140" s="150"/>
      <c r="GO140" s="150"/>
      <c r="GP140" s="150"/>
      <c r="GQ140" s="150"/>
      <c r="GR140" s="150"/>
      <c r="GS140" s="150"/>
      <c r="GT140" s="150"/>
      <c r="GU140" s="150"/>
      <c r="GV140" s="150"/>
      <c r="GW140" s="150"/>
      <c r="GX140" s="150"/>
      <c r="GY140" s="150"/>
      <c r="GZ140" s="150"/>
      <c r="HA140" s="150"/>
      <c r="HB140" s="150"/>
      <c r="HC140" s="150"/>
      <c r="HD140" s="150"/>
      <c r="HE140" s="150"/>
      <c r="HF140" s="150"/>
      <c r="HG140" s="150"/>
      <c r="HH140" s="150"/>
      <c r="HI140" s="150"/>
      <c r="HJ140" s="150"/>
      <c r="HK140" s="150"/>
      <c r="HL140" s="150"/>
      <c r="HM140" s="150"/>
      <c r="HN140" s="150"/>
      <c r="HO140" s="150"/>
      <c r="HP140" s="150"/>
      <c r="HQ140" s="150"/>
      <c r="HR140" s="150"/>
      <c r="HS140" s="150"/>
      <c r="HT140" s="150"/>
      <c r="HU140" s="150"/>
      <c r="HV140" s="150"/>
      <c r="HW140" s="150"/>
      <c r="HX140" s="150"/>
      <c r="HY140" s="150"/>
      <c r="HZ140" s="150"/>
      <c r="IA140" s="150"/>
      <c r="IB140" s="150"/>
      <c r="IC140" s="150"/>
      <c r="ID140" s="150"/>
      <c r="IE140" s="150"/>
      <c r="IF140" s="150"/>
      <c r="IG140" s="150"/>
      <c r="IH140" s="150"/>
      <c r="II140" s="150"/>
      <c r="IJ140" s="150"/>
      <c r="IK140" s="150"/>
      <c r="IL140" s="150"/>
      <c r="IM140" s="150"/>
      <c r="IN140" s="150"/>
      <c r="IO140" s="150"/>
      <c r="IP140" s="150"/>
      <c r="IQ140" s="150"/>
      <c r="IR140" s="150"/>
      <c r="IS140" s="150"/>
      <c r="IT140" s="150"/>
      <c r="IU140" s="150"/>
      <c r="IV140" s="150"/>
      <c r="IW140" s="150"/>
      <c r="IX140" s="150"/>
      <c r="IY140" s="150"/>
      <c r="IZ140" s="150"/>
      <c r="JA140" s="150"/>
      <c r="JB140" s="150"/>
      <c r="JC140" s="150"/>
      <c r="JD140" s="150"/>
      <c r="JE140" s="150"/>
      <c r="JF140" s="150"/>
      <c r="JG140" s="150"/>
      <c r="JH140" s="150"/>
      <c r="JI140" s="150"/>
      <c r="JJ140" s="150"/>
      <c r="JK140" s="150"/>
      <c r="JL140" s="150"/>
      <c r="JM140" s="150"/>
      <c r="JN140" s="150"/>
      <c r="JO140" s="150"/>
      <c r="JP140" s="150"/>
      <c r="JQ140" s="150"/>
      <c r="JR140" s="150"/>
      <c r="JS140" s="150"/>
      <c r="JT140" s="150"/>
      <c r="JU140" s="150"/>
      <c r="JV140" s="150"/>
      <c r="JW140" s="150"/>
      <c r="JX140" s="150"/>
      <c r="JY140" s="150"/>
      <c r="JZ140" s="150"/>
      <c r="KA140" s="150"/>
      <c r="KB140" s="150"/>
      <c r="KC140" s="150"/>
      <c r="KD140" s="150"/>
      <c r="KE140" s="150"/>
      <c r="KF140" s="150"/>
      <c r="KG140" s="150"/>
      <c r="KH140" s="150"/>
      <c r="KI140" s="150"/>
      <c r="KJ140" s="150"/>
      <c r="KK140" s="150"/>
      <c r="KL140" s="150"/>
      <c r="KM140" s="150"/>
      <c r="KN140" s="150"/>
      <c r="KO140" s="150"/>
      <c r="KP140" s="150"/>
      <c r="KQ140" s="150"/>
      <c r="KR140" s="150"/>
      <c r="KS140" s="150"/>
      <c r="KT140" s="150"/>
      <c r="KU140" s="150"/>
      <c r="KV140" s="150"/>
      <c r="KW140" s="150"/>
      <c r="KX140" s="150"/>
      <c r="KY140" s="150"/>
      <c r="KZ140" s="150"/>
      <c r="LA140" s="150"/>
      <c r="LB140" s="150"/>
      <c r="LC140" s="150"/>
      <c r="LD140" s="150"/>
      <c r="LE140" s="150"/>
      <c r="LF140" s="150"/>
      <c r="LG140" s="150"/>
      <c r="LH140" s="150"/>
      <c r="LI140" s="150"/>
      <c r="LJ140" s="150"/>
      <c r="LK140" s="150"/>
      <c r="LL140" s="150"/>
      <c r="LM140" s="150"/>
      <c r="LN140" s="150"/>
      <c r="LO140" s="150"/>
      <c r="LP140" s="150"/>
      <c r="LQ140" s="150"/>
      <c r="LR140" s="150"/>
      <c r="LS140" s="150"/>
      <c r="LT140" s="150"/>
      <c r="LU140" s="150"/>
      <c r="LV140" s="150"/>
      <c r="LW140" s="150"/>
      <c r="LX140" s="150"/>
      <c r="LY140" s="150"/>
      <c r="LZ140" s="150"/>
      <c r="MA140" s="150"/>
      <c r="MB140" s="150"/>
      <c r="MC140" s="150"/>
      <c r="MD140" s="150"/>
      <c r="ME140" s="150"/>
      <c r="MF140" s="150"/>
      <c r="MG140" s="150"/>
      <c r="MH140" s="150"/>
      <c r="MI140" s="150"/>
      <c r="MJ140" s="150"/>
      <c r="MK140" s="150"/>
      <c r="ML140" s="150"/>
      <c r="MM140" s="150"/>
      <c r="MN140" s="150"/>
      <c r="MO140" s="150"/>
      <c r="MP140" s="150"/>
      <c r="MQ140" s="150"/>
      <c r="MR140" s="150"/>
      <c r="MS140" s="150"/>
      <c r="MT140" s="150"/>
      <c r="MU140" s="150"/>
      <c r="MV140" s="150"/>
      <c r="MW140" s="150"/>
      <c r="MX140" s="150"/>
      <c r="MY140" s="150"/>
      <c r="MZ140" s="150"/>
      <c r="NA140" s="150"/>
      <c r="NB140" s="150"/>
      <c r="NC140" s="150"/>
      <c r="ND140" s="150"/>
      <c r="NE140" s="150"/>
      <c r="NF140" s="150"/>
      <c r="NG140" s="150"/>
      <c r="NH140" s="150"/>
      <c r="NI140" s="150"/>
      <c r="NJ140" s="150"/>
      <c r="NK140" s="150"/>
      <c r="NL140" s="150"/>
      <c r="NM140" s="150"/>
      <c r="NN140" s="150"/>
      <c r="NO140" s="150"/>
      <c r="NP140" s="150"/>
      <c r="NQ140" s="150"/>
      <c r="NR140" s="150"/>
      <c r="NS140" s="150"/>
      <c r="NT140" s="150"/>
      <c r="NU140" s="150"/>
      <c r="NV140" s="150"/>
      <c r="NW140" s="150"/>
      <c r="NX140" s="150"/>
      <c r="NY140" s="150"/>
      <c r="NZ140" s="150"/>
      <c r="OA140" s="150"/>
      <c r="OB140" s="150"/>
      <c r="OC140" s="150"/>
      <c r="OD140" s="150"/>
      <c r="OE140" s="150"/>
    </row>
    <row r="141" spans="1:395" ht="15">
      <c r="A141" s="19"/>
      <c r="B141" s="17"/>
      <c r="C141" s="187">
        <v>2050</v>
      </c>
      <c r="D141" s="187">
        <v>16</v>
      </c>
      <c r="E141" s="187">
        <v>25</v>
      </c>
      <c r="F141" s="187">
        <v>37</v>
      </c>
      <c r="G141" s="187">
        <v>36</v>
      </c>
      <c r="H141" s="187">
        <v>25</v>
      </c>
      <c r="I141" s="187">
        <v>56</v>
      </c>
      <c r="J141" s="187">
        <v>23</v>
      </c>
      <c r="K141" s="187">
        <v>22</v>
      </c>
      <c r="L141" s="187">
        <v>41</v>
      </c>
      <c r="M141" s="187">
        <v>23</v>
      </c>
      <c r="N141" s="187">
        <v>22</v>
      </c>
      <c r="O141" s="187">
        <v>41</v>
      </c>
      <c r="P141" s="187">
        <v>25</v>
      </c>
      <c r="Q141" s="187">
        <v>25</v>
      </c>
      <c r="R141" s="187">
        <v>46</v>
      </c>
      <c r="S141" s="187">
        <v>25</v>
      </c>
      <c r="T141" s="187">
        <v>25</v>
      </c>
      <c r="U141" s="187">
        <v>46</v>
      </c>
      <c r="V141" s="187">
        <v>29</v>
      </c>
      <c r="W141" s="187">
        <v>76</v>
      </c>
      <c r="X141" s="187">
        <v>96</v>
      </c>
      <c r="Y141" s="187">
        <v>25</v>
      </c>
      <c r="Z141" s="187">
        <v>54</v>
      </c>
      <c r="AA141" s="187">
        <v>72</v>
      </c>
      <c r="AB141" s="187">
        <v>26</v>
      </c>
      <c r="AC141" s="187">
        <v>38</v>
      </c>
      <c r="AD141" s="187">
        <v>59</v>
      </c>
      <c r="AE141" s="187">
        <v>28</v>
      </c>
      <c r="AF141" s="187">
        <v>16</v>
      </c>
      <c r="AG141" s="187">
        <v>40</v>
      </c>
      <c r="AH141" s="187">
        <v>24</v>
      </c>
      <c r="AI141" s="187">
        <v>63</v>
      </c>
      <c r="AJ141" s="187">
        <v>79</v>
      </c>
      <c r="AK141" s="187">
        <v>24</v>
      </c>
      <c r="AL141" s="187">
        <v>25</v>
      </c>
      <c r="AM141" s="187">
        <v>44</v>
      </c>
      <c r="AN141" s="187">
        <v>26</v>
      </c>
      <c r="AO141" s="187">
        <v>19</v>
      </c>
      <c r="AP141" s="187">
        <v>41</v>
      </c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  <c r="BI141" s="150"/>
      <c r="BJ141" s="150"/>
      <c r="BK141" s="150"/>
      <c r="BL141" s="150"/>
      <c r="BM141" s="150"/>
      <c r="BN141" s="150"/>
      <c r="BO141" s="150"/>
      <c r="BP141" s="150"/>
      <c r="BQ141" s="150"/>
      <c r="BR141" s="150"/>
      <c r="BS141" s="150"/>
      <c r="BT141" s="150"/>
      <c r="BU141" s="150"/>
      <c r="BV141" s="150"/>
      <c r="BW141" s="150"/>
      <c r="BX141" s="150"/>
      <c r="BY141" s="150"/>
      <c r="BZ141" s="150"/>
      <c r="CA141" s="150"/>
      <c r="CB141" s="150"/>
      <c r="CC141" s="150"/>
      <c r="CD141" s="150"/>
      <c r="CE141" s="150"/>
      <c r="CF141" s="150"/>
      <c r="CG141" s="150"/>
      <c r="CH141" s="150"/>
      <c r="CI141" s="150"/>
      <c r="CJ141" s="150"/>
      <c r="CK141" s="150"/>
      <c r="CL141" s="150"/>
      <c r="CM141" s="150"/>
      <c r="CN141" s="150"/>
      <c r="CO141" s="150"/>
      <c r="CP141" s="150"/>
      <c r="CQ141" s="150"/>
      <c r="CR141" s="150"/>
      <c r="CS141" s="150"/>
      <c r="CT141" s="150"/>
      <c r="CU141" s="150"/>
      <c r="CV141" s="150"/>
      <c r="CW141" s="150"/>
      <c r="CX141" s="150"/>
      <c r="CY141" s="150"/>
      <c r="CZ141" s="150"/>
      <c r="DA141" s="150"/>
      <c r="DB141" s="150"/>
      <c r="DC141" s="150"/>
      <c r="DD141" s="150"/>
      <c r="DE141" s="150"/>
      <c r="DF141" s="150"/>
      <c r="DG141" s="150"/>
      <c r="DH141" s="150"/>
      <c r="DI141" s="150"/>
      <c r="DJ141" s="150"/>
      <c r="DK141" s="150"/>
      <c r="DL141" s="150"/>
      <c r="DM141" s="150"/>
      <c r="DN141" s="150"/>
      <c r="DO141" s="150"/>
      <c r="DP141" s="150"/>
      <c r="DQ141" s="150"/>
      <c r="DR141" s="150"/>
      <c r="DS141" s="150"/>
      <c r="DT141" s="150"/>
      <c r="DU141" s="150"/>
      <c r="DV141" s="150"/>
      <c r="DW141" s="150"/>
      <c r="DX141" s="150"/>
      <c r="DY141" s="150"/>
      <c r="DZ141" s="150"/>
      <c r="EA141" s="150"/>
      <c r="EB141" s="150"/>
      <c r="EC141" s="150"/>
      <c r="ED141" s="150"/>
      <c r="EE141" s="150"/>
      <c r="EF141" s="150"/>
      <c r="EG141" s="150"/>
      <c r="EH141" s="150"/>
      <c r="EI141" s="150"/>
      <c r="EJ141" s="150"/>
      <c r="EK141" s="150"/>
      <c r="EL141" s="150"/>
      <c r="EM141" s="150"/>
      <c r="EN141" s="150"/>
      <c r="EO141" s="150"/>
      <c r="EP141" s="150"/>
      <c r="EQ141" s="150"/>
      <c r="ER141" s="150"/>
      <c r="ES141" s="150"/>
      <c r="ET141" s="150"/>
      <c r="EU141" s="150"/>
      <c r="EV141" s="150"/>
      <c r="EW141" s="150"/>
      <c r="EX141" s="150"/>
      <c r="EY141" s="150"/>
      <c r="EZ141" s="150"/>
      <c r="FA141" s="150"/>
      <c r="FB141" s="150"/>
      <c r="FC141" s="150"/>
      <c r="FD141" s="150"/>
      <c r="FE141" s="150"/>
      <c r="FF141" s="150"/>
      <c r="FG141" s="150"/>
      <c r="FH141" s="150"/>
      <c r="FI141" s="150"/>
      <c r="FJ141" s="150"/>
      <c r="FK141" s="150"/>
      <c r="FL141" s="150"/>
      <c r="FM141" s="150"/>
      <c r="FN141" s="150"/>
      <c r="FO141" s="150"/>
      <c r="FP141" s="150"/>
      <c r="FQ141" s="150"/>
      <c r="FR141" s="150"/>
      <c r="FS141" s="150"/>
      <c r="FT141" s="150"/>
      <c r="FU141" s="150"/>
      <c r="FV141" s="150"/>
      <c r="FW141" s="150"/>
      <c r="FX141" s="150"/>
      <c r="FY141" s="150"/>
      <c r="FZ141" s="150"/>
      <c r="GA141" s="150"/>
      <c r="GB141" s="150"/>
      <c r="GC141" s="150"/>
      <c r="GD141" s="150"/>
      <c r="GE141" s="150"/>
      <c r="GF141" s="150"/>
      <c r="GG141" s="150"/>
      <c r="GH141" s="150"/>
      <c r="GI141" s="150"/>
      <c r="GJ141" s="150"/>
      <c r="GK141" s="150"/>
      <c r="GL141" s="150"/>
      <c r="GM141" s="150"/>
      <c r="GN141" s="150"/>
      <c r="GO141" s="150"/>
      <c r="GP141" s="150"/>
      <c r="GQ141" s="150"/>
      <c r="GR141" s="150"/>
      <c r="GS141" s="150"/>
      <c r="GT141" s="150"/>
      <c r="GU141" s="150"/>
      <c r="GV141" s="150"/>
      <c r="GW141" s="150"/>
      <c r="GX141" s="150"/>
      <c r="GY141" s="150"/>
      <c r="GZ141" s="150"/>
      <c r="HA141" s="150"/>
      <c r="HB141" s="150"/>
      <c r="HC141" s="150"/>
      <c r="HD141" s="150"/>
      <c r="HE141" s="150"/>
      <c r="HF141" s="150"/>
      <c r="HG141" s="150"/>
      <c r="HH141" s="150"/>
      <c r="HI141" s="150"/>
      <c r="HJ141" s="150"/>
      <c r="HK141" s="150"/>
      <c r="HL141" s="150"/>
      <c r="HM141" s="150"/>
      <c r="HN141" s="150"/>
      <c r="HO141" s="150"/>
      <c r="HP141" s="150"/>
      <c r="HQ141" s="150"/>
      <c r="HR141" s="150"/>
      <c r="HS141" s="150"/>
      <c r="HT141" s="150"/>
      <c r="HU141" s="150"/>
      <c r="HV141" s="150"/>
      <c r="HW141" s="150"/>
      <c r="HX141" s="150"/>
      <c r="HY141" s="150"/>
      <c r="HZ141" s="150"/>
      <c r="IA141" s="150"/>
      <c r="IB141" s="150"/>
      <c r="IC141" s="150"/>
      <c r="ID141" s="150"/>
      <c r="IE141" s="150"/>
      <c r="IF141" s="150"/>
      <c r="IG141" s="150"/>
      <c r="IH141" s="150"/>
      <c r="II141" s="150"/>
      <c r="IJ141" s="150"/>
      <c r="IK141" s="150"/>
      <c r="IL141" s="150"/>
      <c r="IM141" s="150"/>
      <c r="IN141" s="150"/>
      <c r="IO141" s="150"/>
      <c r="IP141" s="150"/>
      <c r="IQ141" s="150"/>
      <c r="IR141" s="150"/>
      <c r="IS141" s="150"/>
      <c r="IT141" s="150"/>
      <c r="IU141" s="150"/>
      <c r="IV141" s="150"/>
      <c r="IW141" s="150"/>
      <c r="IX141" s="150"/>
      <c r="IY141" s="150"/>
      <c r="IZ141" s="150"/>
      <c r="JA141" s="150"/>
      <c r="JB141" s="150"/>
      <c r="JC141" s="150"/>
      <c r="JD141" s="150"/>
      <c r="JE141" s="150"/>
      <c r="JF141" s="150"/>
      <c r="JG141" s="150"/>
      <c r="JH141" s="150"/>
      <c r="JI141" s="150"/>
      <c r="JJ141" s="150"/>
      <c r="JK141" s="150"/>
      <c r="JL141" s="150"/>
      <c r="JM141" s="150"/>
      <c r="JN141" s="150"/>
      <c r="JO141" s="150"/>
      <c r="JP141" s="150"/>
      <c r="JQ141" s="150"/>
      <c r="JR141" s="150"/>
      <c r="JS141" s="150"/>
      <c r="JT141" s="150"/>
      <c r="JU141" s="150"/>
      <c r="JV141" s="150"/>
      <c r="JW141" s="150"/>
      <c r="JX141" s="150"/>
      <c r="JY141" s="150"/>
      <c r="JZ141" s="150"/>
      <c r="KA141" s="150"/>
      <c r="KB141" s="150"/>
      <c r="KC141" s="150"/>
      <c r="KD141" s="150"/>
      <c r="KE141" s="150"/>
      <c r="KF141" s="150"/>
      <c r="KG141" s="150"/>
      <c r="KH141" s="150"/>
      <c r="KI141" s="150"/>
      <c r="KJ141" s="150"/>
      <c r="KK141" s="150"/>
      <c r="KL141" s="150"/>
      <c r="KM141" s="150"/>
      <c r="KN141" s="150"/>
      <c r="KO141" s="150"/>
      <c r="KP141" s="150"/>
      <c r="KQ141" s="150"/>
      <c r="KR141" s="150"/>
      <c r="KS141" s="150"/>
      <c r="KT141" s="150"/>
      <c r="KU141" s="150"/>
      <c r="KV141" s="150"/>
      <c r="KW141" s="150"/>
      <c r="KX141" s="150"/>
      <c r="KY141" s="150"/>
      <c r="KZ141" s="150"/>
      <c r="LA141" s="150"/>
      <c r="LB141" s="150"/>
      <c r="LC141" s="150"/>
      <c r="LD141" s="150"/>
      <c r="LE141" s="150"/>
      <c r="LF141" s="150"/>
      <c r="LG141" s="150"/>
      <c r="LH141" s="150"/>
      <c r="LI141" s="150"/>
      <c r="LJ141" s="150"/>
      <c r="LK141" s="150"/>
      <c r="LL141" s="150"/>
      <c r="LM141" s="150"/>
      <c r="LN141" s="150"/>
      <c r="LO141" s="150"/>
      <c r="LP141" s="150"/>
      <c r="LQ141" s="150"/>
      <c r="LR141" s="150"/>
      <c r="LS141" s="150"/>
      <c r="LT141" s="150"/>
      <c r="LU141" s="150"/>
      <c r="LV141" s="150"/>
      <c r="LW141" s="150"/>
      <c r="LX141" s="150"/>
      <c r="LY141" s="150"/>
      <c r="LZ141" s="150"/>
      <c r="MA141" s="150"/>
      <c r="MB141" s="150"/>
      <c r="MC141" s="150"/>
      <c r="MD141" s="150"/>
      <c r="ME141" s="150"/>
      <c r="MF141" s="150"/>
      <c r="MG141" s="150"/>
      <c r="MH141" s="150"/>
      <c r="MI141" s="150"/>
      <c r="MJ141" s="150"/>
      <c r="MK141" s="150"/>
      <c r="ML141" s="150"/>
      <c r="MM141" s="150"/>
      <c r="MN141" s="150"/>
      <c r="MO141" s="150"/>
      <c r="MP141" s="150"/>
      <c r="MQ141" s="150"/>
      <c r="MR141" s="150"/>
      <c r="MS141" s="150"/>
      <c r="MT141" s="150"/>
      <c r="MU141" s="150"/>
      <c r="MV141" s="150"/>
      <c r="MW141" s="150"/>
      <c r="MX141" s="150"/>
      <c r="MY141" s="150"/>
      <c r="MZ141" s="150"/>
      <c r="NA141" s="150"/>
      <c r="NB141" s="150"/>
      <c r="NC141" s="150"/>
      <c r="ND141" s="150"/>
      <c r="NE141" s="150"/>
      <c r="NF141" s="150"/>
      <c r="NG141" s="150"/>
      <c r="NH141" s="150"/>
      <c r="NI141" s="150"/>
      <c r="NJ141" s="150"/>
      <c r="NK141" s="150"/>
      <c r="NL141" s="150"/>
      <c r="NM141" s="150"/>
      <c r="NN141" s="150"/>
      <c r="NO141" s="150"/>
      <c r="NP141" s="150"/>
      <c r="NQ141" s="150"/>
      <c r="NR141" s="150"/>
      <c r="NS141" s="150"/>
      <c r="NT141" s="150"/>
      <c r="NU141" s="150"/>
      <c r="NV141" s="150"/>
      <c r="NW141" s="150"/>
      <c r="NX141" s="150"/>
      <c r="NY141" s="150"/>
      <c r="NZ141" s="150"/>
      <c r="OA141" s="150"/>
      <c r="OB141" s="150"/>
      <c r="OC141" s="150"/>
      <c r="OD141" s="150"/>
      <c r="OE141" s="150"/>
    </row>
    <row r="142" spans="1:395">
      <c r="A142" s="19"/>
      <c r="B142" s="17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  <c r="BI142" s="150"/>
      <c r="BJ142" s="150"/>
      <c r="BK142" s="150"/>
      <c r="BL142" s="150"/>
      <c r="BM142" s="150"/>
      <c r="BN142" s="150"/>
      <c r="BO142" s="150"/>
      <c r="BP142" s="150"/>
      <c r="BQ142" s="150"/>
      <c r="BR142" s="150"/>
      <c r="BS142" s="150"/>
      <c r="BT142" s="150"/>
      <c r="BU142" s="150"/>
      <c r="BV142" s="150"/>
      <c r="BW142" s="150"/>
      <c r="BX142" s="150"/>
      <c r="BY142" s="150"/>
      <c r="BZ142" s="150"/>
      <c r="CA142" s="150"/>
      <c r="CB142" s="150"/>
      <c r="CC142" s="150"/>
      <c r="CD142" s="150"/>
      <c r="CE142" s="150"/>
      <c r="CF142" s="150"/>
      <c r="CG142" s="150"/>
      <c r="CH142" s="150"/>
      <c r="CI142" s="150"/>
      <c r="CJ142" s="150"/>
      <c r="CK142" s="150"/>
      <c r="CL142" s="150"/>
      <c r="CM142" s="150"/>
      <c r="CN142" s="150"/>
      <c r="CO142" s="150"/>
      <c r="CP142" s="150"/>
      <c r="CQ142" s="150"/>
      <c r="CR142" s="150"/>
      <c r="CS142" s="150"/>
      <c r="CT142" s="150"/>
      <c r="CU142" s="150"/>
      <c r="CV142" s="150"/>
      <c r="CW142" s="150"/>
      <c r="CX142" s="150"/>
      <c r="CY142" s="150"/>
      <c r="CZ142" s="150"/>
      <c r="DA142" s="150"/>
      <c r="DB142" s="150"/>
      <c r="DC142" s="150"/>
      <c r="DD142" s="150"/>
      <c r="DE142" s="150"/>
      <c r="DF142" s="150"/>
      <c r="DG142" s="150"/>
      <c r="DH142" s="150"/>
      <c r="DI142" s="150"/>
      <c r="DJ142" s="150"/>
      <c r="DK142" s="150"/>
      <c r="DL142" s="150"/>
      <c r="DM142" s="150"/>
      <c r="DN142" s="150"/>
      <c r="DO142" s="150"/>
      <c r="DP142" s="150"/>
      <c r="DQ142" s="150"/>
      <c r="DR142" s="150"/>
      <c r="DS142" s="150"/>
      <c r="DT142" s="150"/>
      <c r="DU142" s="150"/>
      <c r="DV142" s="150"/>
      <c r="DW142" s="150"/>
      <c r="DX142" s="150"/>
      <c r="DY142" s="150"/>
      <c r="DZ142" s="150"/>
      <c r="EA142" s="150"/>
      <c r="EB142" s="150"/>
      <c r="EC142" s="150"/>
      <c r="ED142" s="150"/>
      <c r="EE142" s="150"/>
      <c r="EF142" s="150"/>
      <c r="EG142" s="150"/>
      <c r="EH142" s="150"/>
      <c r="EI142" s="150"/>
      <c r="EJ142" s="150"/>
      <c r="EK142" s="150"/>
      <c r="EL142" s="150"/>
      <c r="EM142" s="150"/>
      <c r="EN142" s="150"/>
      <c r="EO142" s="150"/>
      <c r="EP142" s="150"/>
      <c r="EQ142" s="150"/>
      <c r="ER142" s="150"/>
      <c r="ES142" s="150"/>
      <c r="ET142" s="150"/>
      <c r="EU142" s="150"/>
      <c r="EV142" s="150"/>
      <c r="EW142" s="150"/>
      <c r="EX142" s="150"/>
      <c r="EY142" s="150"/>
      <c r="EZ142" s="150"/>
      <c r="FA142" s="150"/>
      <c r="FB142" s="150"/>
      <c r="FC142" s="150"/>
      <c r="FD142" s="150"/>
      <c r="FE142" s="150"/>
      <c r="FF142" s="150"/>
      <c r="FG142" s="150"/>
      <c r="FH142" s="150"/>
      <c r="FI142" s="150"/>
      <c r="FJ142" s="150"/>
      <c r="FK142" s="150"/>
      <c r="FL142" s="150"/>
      <c r="FM142" s="150"/>
      <c r="FN142" s="150"/>
      <c r="FO142" s="150"/>
      <c r="FP142" s="150"/>
      <c r="FQ142" s="150"/>
      <c r="FR142" s="150"/>
      <c r="FS142" s="150"/>
      <c r="FT142" s="150"/>
      <c r="FU142" s="150"/>
      <c r="FV142" s="150"/>
      <c r="FW142" s="150"/>
      <c r="FX142" s="150"/>
      <c r="FY142" s="150"/>
      <c r="FZ142" s="150"/>
      <c r="GA142" s="150"/>
      <c r="GB142" s="150"/>
      <c r="GC142" s="150"/>
      <c r="GD142" s="150"/>
      <c r="GE142" s="150"/>
      <c r="GF142" s="150"/>
      <c r="GG142" s="150"/>
      <c r="GH142" s="150"/>
      <c r="GI142" s="150"/>
      <c r="GJ142" s="150"/>
      <c r="GK142" s="150"/>
      <c r="GL142" s="150"/>
      <c r="GM142" s="150"/>
      <c r="GN142" s="150"/>
      <c r="GO142" s="150"/>
      <c r="GP142" s="150"/>
      <c r="GQ142" s="150"/>
      <c r="GR142" s="150"/>
      <c r="GS142" s="150"/>
      <c r="GT142" s="150"/>
      <c r="GU142" s="150"/>
      <c r="GV142" s="150"/>
      <c r="GW142" s="150"/>
      <c r="GX142" s="150"/>
      <c r="GY142" s="150"/>
      <c r="GZ142" s="150"/>
      <c r="HA142" s="150"/>
      <c r="HB142" s="150"/>
      <c r="HC142" s="150"/>
      <c r="HD142" s="150"/>
      <c r="HE142" s="150"/>
      <c r="HF142" s="150"/>
      <c r="HG142" s="150"/>
      <c r="HH142" s="150"/>
      <c r="HI142" s="150"/>
      <c r="HJ142" s="150"/>
      <c r="HK142" s="150"/>
      <c r="HL142" s="150"/>
      <c r="HM142" s="150"/>
      <c r="HN142" s="150"/>
      <c r="HO142" s="150"/>
      <c r="HP142" s="150"/>
      <c r="HQ142" s="150"/>
      <c r="HR142" s="150"/>
      <c r="HS142" s="150"/>
      <c r="HT142" s="150"/>
      <c r="HU142" s="150"/>
      <c r="HV142" s="150"/>
      <c r="HW142" s="150"/>
      <c r="HX142" s="150"/>
      <c r="HY142" s="150"/>
      <c r="HZ142" s="150"/>
      <c r="IA142" s="150"/>
      <c r="IB142" s="150"/>
      <c r="IC142" s="150"/>
      <c r="ID142" s="150"/>
      <c r="IE142" s="150"/>
      <c r="IF142" s="150"/>
      <c r="IG142" s="150"/>
      <c r="IH142" s="150"/>
      <c r="II142" s="150"/>
      <c r="IJ142" s="150"/>
      <c r="IK142" s="150"/>
      <c r="IL142" s="150"/>
      <c r="IM142" s="150"/>
      <c r="IN142" s="150"/>
      <c r="IO142" s="150"/>
      <c r="IP142" s="150"/>
      <c r="IQ142" s="150"/>
      <c r="IR142" s="150"/>
      <c r="IS142" s="150"/>
      <c r="IT142" s="150"/>
      <c r="IU142" s="150"/>
      <c r="IV142" s="150"/>
      <c r="IW142" s="150"/>
      <c r="IX142" s="150"/>
      <c r="IY142" s="150"/>
      <c r="IZ142" s="150"/>
      <c r="JA142" s="150"/>
      <c r="JB142" s="150"/>
      <c r="JC142" s="150"/>
      <c r="JD142" s="150"/>
      <c r="JE142" s="150"/>
      <c r="JF142" s="150"/>
      <c r="JG142" s="150"/>
      <c r="JH142" s="150"/>
      <c r="JI142" s="150"/>
      <c r="JJ142" s="150"/>
      <c r="JK142" s="150"/>
      <c r="JL142" s="150"/>
      <c r="JM142" s="150"/>
      <c r="JN142" s="150"/>
      <c r="JO142" s="150"/>
      <c r="JP142" s="150"/>
      <c r="JQ142" s="150"/>
      <c r="JR142" s="150"/>
      <c r="JS142" s="150"/>
      <c r="JT142" s="150"/>
      <c r="JU142" s="150"/>
      <c r="JV142" s="150"/>
      <c r="JW142" s="150"/>
      <c r="JX142" s="150"/>
      <c r="JY142" s="150"/>
      <c r="JZ142" s="150"/>
      <c r="KA142" s="150"/>
      <c r="KB142" s="150"/>
      <c r="KC142" s="150"/>
      <c r="KD142" s="150"/>
      <c r="KE142" s="150"/>
      <c r="KF142" s="150"/>
      <c r="KG142" s="150"/>
      <c r="KH142" s="150"/>
      <c r="KI142" s="150"/>
      <c r="KJ142" s="150"/>
      <c r="KK142" s="150"/>
      <c r="KL142" s="150"/>
      <c r="KM142" s="150"/>
      <c r="KN142" s="150"/>
      <c r="KO142" s="150"/>
      <c r="KP142" s="150"/>
      <c r="KQ142" s="150"/>
      <c r="KR142" s="150"/>
      <c r="KS142" s="150"/>
      <c r="KT142" s="150"/>
      <c r="KU142" s="150"/>
      <c r="KV142" s="150"/>
      <c r="KW142" s="150"/>
      <c r="KX142" s="150"/>
      <c r="KY142" s="150"/>
      <c r="KZ142" s="150"/>
      <c r="LA142" s="150"/>
      <c r="LB142" s="150"/>
      <c r="LC142" s="150"/>
      <c r="LD142" s="150"/>
      <c r="LE142" s="150"/>
      <c r="LF142" s="150"/>
      <c r="LG142" s="150"/>
      <c r="LH142" s="150"/>
      <c r="LI142" s="150"/>
      <c r="LJ142" s="150"/>
      <c r="LK142" s="150"/>
      <c r="LL142" s="150"/>
      <c r="LM142" s="150"/>
      <c r="LN142" s="150"/>
      <c r="LO142" s="150"/>
      <c r="LP142" s="150"/>
      <c r="LQ142" s="150"/>
      <c r="LR142" s="150"/>
      <c r="LS142" s="150"/>
      <c r="LT142" s="150"/>
      <c r="LU142" s="150"/>
      <c r="LV142" s="150"/>
      <c r="LW142" s="150"/>
      <c r="LX142" s="150"/>
      <c r="LY142" s="150"/>
      <c r="LZ142" s="150"/>
      <c r="MA142" s="150"/>
      <c r="MB142" s="150"/>
      <c r="MC142" s="150"/>
      <c r="MD142" s="150"/>
      <c r="ME142" s="150"/>
      <c r="MF142" s="150"/>
      <c r="MG142" s="150"/>
      <c r="MH142" s="150"/>
      <c r="MI142" s="150"/>
      <c r="MJ142" s="150"/>
      <c r="MK142" s="150"/>
      <c r="ML142" s="150"/>
      <c r="MM142" s="150"/>
      <c r="MN142" s="150"/>
      <c r="MO142" s="150"/>
      <c r="MP142" s="150"/>
      <c r="MQ142" s="150"/>
      <c r="MR142" s="150"/>
      <c r="MS142" s="150"/>
      <c r="MT142" s="150"/>
      <c r="MU142" s="150"/>
      <c r="MV142" s="150"/>
      <c r="MW142" s="150"/>
      <c r="MX142" s="150"/>
      <c r="MY142" s="150"/>
      <c r="MZ142" s="150"/>
      <c r="NA142" s="150"/>
      <c r="NB142" s="150"/>
      <c r="NC142" s="150"/>
      <c r="ND142" s="150"/>
      <c r="NE142" s="150"/>
      <c r="NF142" s="150"/>
      <c r="NG142" s="150"/>
      <c r="NH142" s="150"/>
      <c r="NI142" s="150"/>
      <c r="NJ142" s="150"/>
      <c r="NK142" s="150"/>
      <c r="NL142" s="150"/>
      <c r="NM142" s="150"/>
      <c r="NN142" s="150"/>
      <c r="NO142" s="150"/>
      <c r="NP142" s="150"/>
      <c r="NQ142" s="150"/>
      <c r="NR142" s="150"/>
      <c r="NS142" s="150"/>
      <c r="NT142" s="150"/>
      <c r="NU142" s="150"/>
      <c r="NV142" s="150"/>
      <c r="NW142" s="150"/>
      <c r="NX142" s="150"/>
      <c r="NY142" s="150"/>
      <c r="NZ142" s="150"/>
      <c r="OA142" s="150"/>
      <c r="OB142" s="150"/>
      <c r="OC142" s="150"/>
      <c r="OD142" s="150"/>
      <c r="OE142" s="150"/>
    </row>
    <row r="143" spans="1:395">
      <c r="A143" s="19"/>
      <c r="B143" s="17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  <c r="BI143" s="150"/>
      <c r="BJ143" s="150"/>
      <c r="BK143" s="150"/>
      <c r="BL143" s="150"/>
      <c r="BM143" s="150"/>
      <c r="BN143" s="150"/>
      <c r="BO143" s="150"/>
      <c r="BP143" s="150"/>
      <c r="BQ143" s="150"/>
      <c r="BR143" s="150"/>
      <c r="BS143" s="150"/>
      <c r="BT143" s="150"/>
      <c r="BU143" s="150"/>
      <c r="BV143" s="150"/>
      <c r="BW143" s="150"/>
      <c r="BX143" s="150"/>
      <c r="BY143" s="150"/>
      <c r="BZ143" s="150"/>
      <c r="CA143" s="150"/>
      <c r="CB143" s="150"/>
      <c r="CC143" s="150"/>
      <c r="CD143" s="150"/>
      <c r="CE143" s="150"/>
      <c r="CF143" s="150"/>
      <c r="CG143" s="150"/>
      <c r="CH143" s="150"/>
      <c r="CI143" s="150"/>
      <c r="CJ143" s="150"/>
      <c r="CK143" s="150"/>
      <c r="CL143" s="150"/>
      <c r="CM143" s="150"/>
      <c r="CN143" s="150"/>
      <c r="CO143" s="150"/>
      <c r="CP143" s="150"/>
      <c r="CQ143" s="150"/>
      <c r="CR143" s="150"/>
      <c r="CS143" s="150"/>
      <c r="CT143" s="150"/>
      <c r="CU143" s="150"/>
      <c r="CV143" s="150"/>
      <c r="CW143" s="150"/>
      <c r="CX143" s="150"/>
      <c r="CY143" s="150"/>
      <c r="CZ143" s="150"/>
      <c r="DA143" s="150"/>
      <c r="DB143" s="150"/>
      <c r="DC143" s="150"/>
      <c r="DD143" s="150"/>
      <c r="DE143" s="150"/>
      <c r="DF143" s="150"/>
      <c r="DG143" s="150"/>
      <c r="DH143" s="150"/>
      <c r="DI143" s="150"/>
      <c r="DJ143" s="150"/>
      <c r="DK143" s="150"/>
      <c r="DL143" s="150"/>
      <c r="DM143" s="150"/>
      <c r="DN143" s="150"/>
      <c r="DO143" s="150"/>
      <c r="DP143" s="150"/>
      <c r="DQ143" s="150"/>
      <c r="DR143" s="150"/>
      <c r="DS143" s="150"/>
      <c r="DT143" s="150"/>
      <c r="DU143" s="150"/>
      <c r="DV143" s="150"/>
      <c r="DW143" s="150"/>
      <c r="DX143" s="150"/>
      <c r="DY143" s="150"/>
      <c r="DZ143" s="150"/>
      <c r="EA143" s="150"/>
      <c r="EB143" s="150"/>
      <c r="EC143" s="150"/>
      <c r="ED143" s="150"/>
      <c r="EE143" s="150"/>
      <c r="EF143" s="150"/>
      <c r="EG143" s="150"/>
      <c r="EH143" s="150"/>
      <c r="EI143" s="150"/>
      <c r="EJ143" s="150"/>
      <c r="EK143" s="150"/>
      <c r="EL143" s="150"/>
      <c r="EM143" s="150"/>
      <c r="EN143" s="150"/>
      <c r="EO143" s="150"/>
      <c r="EP143" s="150"/>
      <c r="EQ143" s="150"/>
      <c r="ER143" s="150"/>
      <c r="ES143" s="150"/>
      <c r="ET143" s="150"/>
      <c r="EU143" s="150"/>
      <c r="EV143" s="150"/>
      <c r="EW143" s="150"/>
      <c r="EX143" s="150"/>
      <c r="EY143" s="150"/>
      <c r="EZ143" s="150"/>
      <c r="FA143" s="150"/>
      <c r="FB143" s="150"/>
      <c r="FC143" s="150"/>
      <c r="FD143" s="150"/>
      <c r="FE143" s="150"/>
      <c r="FF143" s="150"/>
      <c r="FG143" s="150"/>
      <c r="FH143" s="150"/>
      <c r="FI143" s="150"/>
      <c r="FJ143" s="150"/>
      <c r="FK143" s="150"/>
      <c r="FL143" s="150"/>
      <c r="FM143" s="150"/>
      <c r="FN143" s="150"/>
      <c r="FO143" s="150"/>
      <c r="FP143" s="150"/>
      <c r="FQ143" s="150"/>
      <c r="FR143" s="150"/>
      <c r="FS143" s="150"/>
      <c r="FT143" s="150"/>
      <c r="FU143" s="150"/>
      <c r="FV143" s="150"/>
      <c r="FW143" s="150"/>
      <c r="FX143" s="150"/>
      <c r="FY143" s="150"/>
      <c r="FZ143" s="150"/>
      <c r="GA143" s="150"/>
      <c r="GB143" s="150"/>
      <c r="GC143" s="150"/>
      <c r="GD143" s="150"/>
      <c r="GE143" s="150"/>
      <c r="GF143" s="150"/>
      <c r="GG143" s="150"/>
      <c r="GH143" s="150"/>
      <c r="GI143" s="150"/>
      <c r="GJ143" s="150"/>
      <c r="GK143" s="150"/>
      <c r="GL143" s="150"/>
      <c r="GM143" s="150"/>
      <c r="GN143" s="150"/>
      <c r="GO143" s="150"/>
      <c r="GP143" s="150"/>
      <c r="GQ143" s="150"/>
      <c r="GR143" s="150"/>
      <c r="GS143" s="150"/>
      <c r="GT143" s="150"/>
      <c r="GU143" s="150"/>
      <c r="GV143" s="150"/>
      <c r="GW143" s="150"/>
      <c r="GX143" s="150"/>
      <c r="GY143" s="150"/>
      <c r="GZ143" s="150"/>
      <c r="HA143" s="150"/>
      <c r="HB143" s="150"/>
      <c r="HC143" s="150"/>
      <c r="HD143" s="150"/>
      <c r="HE143" s="150"/>
      <c r="HF143" s="150"/>
      <c r="HG143" s="150"/>
      <c r="HH143" s="150"/>
      <c r="HI143" s="150"/>
      <c r="HJ143" s="150"/>
      <c r="HK143" s="150"/>
      <c r="HL143" s="150"/>
      <c r="HM143" s="150"/>
      <c r="HN143" s="150"/>
      <c r="HO143" s="150"/>
      <c r="HP143" s="150"/>
      <c r="HQ143" s="150"/>
      <c r="HR143" s="150"/>
      <c r="HS143" s="150"/>
      <c r="HT143" s="150"/>
      <c r="HU143" s="150"/>
      <c r="HV143" s="150"/>
      <c r="HW143" s="150"/>
      <c r="HX143" s="150"/>
      <c r="HY143" s="150"/>
      <c r="HZ143" s="150"/>
      <c r="IA143" s="150"/>
      <c r="IB143" s="150"/>
      <c r="IC143" s="150"/>
      <c r="ID143" s="150"/>
      <c r="IE143" s="150"/>
      <c r="IF143" s="150"/>
      <c r="IG143" s="150"/>
      <c r="IH143" s="150"/>
      <c r="II143" s="150"/>
      <c r="IJ143" s="150"/>
      <c r="IK143" s="150"/>
      <c r="IL143" s="150"/>
      <c r="IM143" s="150"/>
      <c r="IN143" s="150"/>
      <c r="IO143" s="150"/>
      <c r="IP143" s="150"/>
      <c r="IQ143" s="150"/>
      <c r="IR143" s="150"/>
      <c r="IS143" s="150"/>
      <c r="IT143" s="150"/>
      <c r="IU143" s="150"/>
      <c r="IV143" s="150"/>
      <c r="IW143" s="150"/>
      <c r="IX143" s="150"/>
      <c r="IY143" s="150"/>
      <c r="IZ143" s="150"/>
      <c r="JA143" s="150"/>
      <c r="JB143" s="150"/>
      <c r="JC143" s="150"/>
      <c r="JD143" s="150"/>
      <c r="JE143" s="150"/>
      <c r="JF143" s="150"/>
      <c r="JG143" s="150"/>
      <c r="JH143" s="150"/>
      <c r="JI143" s="150"/>
      <c r="JJ143" s="150"/>
      <c r="JK143" s="150"/>
      <c r="JL143" s="150"/>
      <c r="JM143" s="150"/>
      <c r="JN143" s="150"/>
      <c r="JO143" s="150"/>
      <c r="JP143" s="150"/>
      <c r="JQ143" s="150"/>
      <c r="JR143" s="150"/>
      <c r="JS143" s="150"/>
      <c r="JT143" s="150"/>
      <c r="JU143" s="150"/>
      <c r="JV143" s="150"/>
      <c r="JW143" s="150"/>
      <c r="JX143" s="150"/>
      <c r="JY143" s="150"/>
      <c r="JZ143" s="150"/>
      <c r="KA143" s="150"/>
      <c r="KB143" s="150"/>
      <c r="KC143" s="150"/>
      <c r="KD143" s="150"/>
      <c r="KE143" s="150"/>
      <c r="KF143" s="150"/>
      <c r="KG143" s="150"/>
      <c r="KH143" s="150"/>
      <c r="KI143" s="150"/>
      <c r="KJ143" s="150"/>
      <c r="KK143" s="150"/>
      <c r="KL143" s="150"/>
      <c r="KM143" s="150"/>
      <c r="KN143" s="150"/>
      <c r="KO143" s="150"/>
      <c r="KP143" s="150"/>
      <c r="KQ143" s="150"/>
      <c r="KR143" s="150"/>
      <c r="KS143" s="150"/>
      <c r="KT143" s="150"/>
      <c r="KU143" s="150"/>
      <c r="KV143" s="150"/>
      <c r="KW143" s="150"/>
      <c r="KX143" s="150"/>
      <c r="KY143" s="150"/>
      <c r="KZ143" s="150"/>
      <c r="LA143" s="150"/>
      <c r="LB143" s="150"/>
      <c r="LC143" s="150"/>
      <c r="LD143" s="150"/>
      <c r="LE143" s="150"/>
      <c r="LF143" s="150"/>
      <c r="LG143" s="150"/>
      <c r="LH143" s="150"/>
      <c r="LI143" s="150"/>
      <c r="LJ143" s="150"/>
      <c r="LK143" s="150"/>
      <c r="LL143" s="150"/>
      <c r="LM143" s="150"/>
      <c r="LN143" s="150"/>
      <c r="LO143" s="150"/>
      <c r="LP143" s="150"/>
      <c r="LQ143" s="150"/>
      <c r="LR143" s="150"/>
      <c r="LS143" s="150"/>
      <c r="LT143" s="150"/>
      <c r="LU143" s="150"/>
      <c r="LV143" s="150"/>
      <c r="LW143" s="150"/>
      <c r="LX143" s="150"/>
      <c r="LY143" s="150"/>
      <c r="LZ143" s="150"/>
      <c r="MA143" s="150"/>
      <c r="MB143" s="150"/>
      <c r="MC143" s="150"/>
      <c r="MD143" s="150"/>
      <c r="ME143" s="150"/>
      <c r="MF143" s="150"/>
      <c r="MG143" s="150"/>
      <c r="MH143" s="150"/>
      <c r="MI143" s="150"/>
      <c r="MJ143" s="150"/>
      <c r="MK143" s="150"/>
      <c r="ML143" s="150"/>
      <c r="MM143" s="150"/>
      <c r="MN143" s="150"/>
      <c r="MO143" s="150"/>
      <c r="MP143" s="150"/>
      <c r="MQ143" s="150"/>
      <c r="MR143" s="150"/>
      <c r="MS143" s="150"/>
      <c r="MT143" s="150"/>
      <c r="MU143" s="150"/>
      <c r="MV143" s="150"/>
      <c r="MW143" s="150"/>
      <c r="MX143" s="150"/>
      <c r="MY143" s="150"/>
      <c r="MZ143" s="150"/>
      <c r="NA143" s="150"/>
      <c r="NB143" s="150"/>
      <c r="NC143" s="150"/>
      <c r="ND143" s="150"/>
      <c r="NE143" s="150"/>
      <c r="NF143" s="150"/>
      <c r="NG143" s="150"/>
      <c r="NH143" s="150"/>
      <c r="NI143" s="150"/>
      <c r="NJ143" s="150"/>
      <c r="NK143" s="150"/>
      <c r="NL143" s="150"/>
      <c r="NM143" s="150"/>
      <c r="NN143" s="150"/>
      <c r="NO143" s="150"/>
      <c r="NP143" s="150"/>
      <c r="NQ143" s="150"/>
      <c r="NR143" s="150"/>
      <c r="NS143" s="150"/>
      <c r="NT143" s="150"/>
      <c r="NU143" s="150"/>
      <c r="NV143" s="150"/>
      <c r="NW143" s="150"/>
      <c r="NX143" s="150"/>
      <c r="NY143" s="150"/>
      <c r="NZ143" s="150"/>
      <c r="OA143" s="150"/>
      <c r="OB143" s="150"/>
      <c r="OC143" s="150"/>
      <c r="OD143" s="150"/>
      <c r="OE143" s="150"/>
    </row>
    <row r="144" spans="1:395">
      <c r="A144" s="19"/>
      <c r="B144" s="17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  <c r="BI144" s="150"/>
      <c r="BJ144" s="150"/>
      <c r="BK144" s="150"/>
      <c r="BL144" s="150"/>
      <c r="BM144" s="150"/>
      <c r="BN144" s="150"/>
      <c r="BO144" s="150"/>
      <c r="BP144" s="150"/>
      <c r="BQ144" s="150"/>
      <c r="BR144" s="150"/>
      <c r="BS144" s="150"/>
      <c r="BT144" s="150"/>
      <c r="BU144" s="150"/>
      <c r="BV144" s="150"/>
      <c r="BW144" s="150"/>
      <c r="BX144" s="150"/>
      <c r="BY144" s="150"/>
      <c r="BZ144" s="150"/>
      <c r="CA144" s="150"/>
      <c r="CB144" s="150"/>
      <c r="CC144" s="150"/>
      <c r="CD144" s="150"/>
      <c r="CE144" s="150"/>
      <c r="CF144" s="150"/>
      <c r="CG144" s="150"/>
      <c r="CH144" s="150"/>
      <c r="CI144" s="150"/>
      <c r="CJ144" s="150"/>
      <c r="CK144" s="150"/>
      <c r="CL144" s="150"/>
      <c r="CM144" s="150"/>
      <c r="CN144" s="150"/>
      <c r="CO144" s="150"/>
      <c r="CP144" s="150"/>
      <c r="CQ144" s="150"/>
      <c r="CR144" s="150"/>
      <c r="CS144" s="150"/>
      <c r="CT144" s="150"/>
      <c r="CU144" s="150"/>
      <c r="CV144" s="150"/>
      <c r="CW144" s="150"/>
      <c r="CX144" s="150"/>
      <c r="CY144" s="150"/>
      <c r="CZ144" s="150"/>
      <c r="DA144" s="150"/>
      <c r="DB144" s="150"/>
      <c r="DC144" s="150"/>
      <c r="DD144" s="150"/>
      <c r="DE144" s="150"/>
      <c r="DF144" s="150"/>
      <c r="DG144" s="150"/>
      <c r="DH144" s="150"/>
      <c r="DI144" s="150"/>
      <c r="DJ144" s="150"/>
      <c r="DK144" s="150"/>
      <c r="DL144" s="150"/>
      <c r="DM144" s="150"/>
      <c r="DN144" s="150"/>
      <c r="DO144" s="150"/>
      <c r="DP144" s="150"/>
      <c r="DQ144" s="150"/>
      <c r="DR144" s="150"/>
      <c r="DS144" s="150"/>
      <c r="DT144" s="150"/>
      <c r="DU144" s="150"/>
      <c r="DV144" s="150"/>
      <c r="DW144" s="150"/>
      <c r="DX144" s="150"/>
      <c r="DY144" s="150"/>
      <c r="DZ144" s="150"/>
      <c r="EA144" s="150"/>
      <c r="EB144" s="150"/>
      <c r="EC144" s="150"/>
      <c r="ED144" s="150"/>
      <c r="EE144" s="150"/>
      <c r="EF144" s="150"/>
      <c r="EG144" s="150"/>
      <c r="EH144" s="150"/>
      <c r="EI144" s="150"/>
      <c r="EJ144" s="150"/>
      <c r="EK144" s="150"/>
      <c r="EL144" s="150"/>
      <c r="EM144" s="150"/>
      <c r="EN144" s="150"/>
      <c r="EO144" s="150"/>
      <c r="EP144" s="150"/>
      <c r="EQ144" s="150"/>
      <c r="ER144" s="150"/>
      <c r="ES144" s="150"/>
      <c r="ET144" s="150"/>
      <c r="EU144" s="150"/>
      <c r="EV144" s="150"/>
      <c r="EW144" s="150"/>
      <c r="EX144" s="150"/>
      <c r="EY144" s="150"/>
      <c r="EZ144" s="150"/>
      <c r="FA144" s="150"/>
      <c r="FB144" s="150"/>
      <c r="FC144" s="150"/>
      <c r="FD144" s="150"/>
      <c r="FE144" s="150"/>
      <c r="FF144" s="150"/>
      <c r="FG144" s="150"/>
      <c r="FH144" s="150"/>
      <c r="FI144" s="150"/>
      <c r="FJ144" s="150"/>
      <c r="FK144" s="150"/>
      <c r="FL144" s="150"/>
      <c r="FM144" s="150"/>
      <c r="FN144" s="150"/>
      <c r="FO144" s="150"/>
      <c r="FP144" s="150"/>
      <c r="FQ144" s="150"/>
      <c r="FR144" s="150"/>
      <c r="FS144" s="150"/>
      <c r="FT144" s="150"/>
      <c r="FU144" s="150"/>
      <c r="FV144" s="150"/>
      <c r="FW144" s="150"/>
      <c r="FX144" s="150"/>
      <c r="FY144" s="150"/>
      <c r="FZ144" s="150"/>
      <c r="GA144" s="150"/>
      <c r="GB144" s="150"/>
      <c r="GC144" s="150"/>
      <c r="GD144" s="150"/>
      <c r="GE144" s="150"/>
      <c r="GF144" s="150"/>
      <c r="GG144" s="150"/>
      <c r="GH144" s="150"/>
      <c r="GI144" s="150"/>
      <c r="GJ144" s="150"/>
      <c r="GK144" s="150"/>
      <c r="GL144" s="150"/>
      <c r="GM144" s="150"/>
      <c r="GN144" s="150"/>
      <c r="GO144" s="150"/>
      <c r="GP144" s="150"/>
      <c r="GQ144" s="150"/>
      <c r="GR144" s="150"/>
      <c r="GS144" s="150"/>
      <c r="GT144" s="150"/>
      <c r="GU144" s="150"/>
      <c r="GV144" s="150"/>
      <c r="GW144" s="150"/>
      <c r="GX144" s="150"/>
      <c r="GY144" s="150"/>
      <c r="GZ144" s="150"/>
      <c r="HA144" s="150"/>
      <c r="HB144" s="150"/>
      <c r="HC144" s="150"/>
      <c r="HD144" s="150"/>
      <c r="HE144" s="150"/>
      <c r="HF144" s="150"/>
      <c r="HG144" s="150"/>
      <c r="HH144" s="150"/>
      <c r="HI144" s="150"/>
      <c r="HJ144" s="150"/>
      <c r="HK144" s="150"/>
      <c r="HL144" s="150"/>
      <c r="HM144" s="150"/>
      <c r="HN144" s="150"/>
      <c r="HO144" s="150"/>
      <c r="HP144" s="150"/>
      <c r="HQ144" s="150"/>
      <c r="HR144" s="150"/>
      <c r="HS144" s="150"/>
      <c r="HT144" s="150"/>
      <c r="HU144" s="150"/>
      <c r="HV144" s="150"/>
      <c r="HW144" s="150"/>
      <c r="HX144" s="150"/>
      <c r="HY144" s="150"/>
      <c r="HZ144" s="150"/>
      <c r="IA144" s="150"/>
      <c r="IB144" s="150"/>
      <c r="IC144" s="150"/>
      <c r="ID144" s="150"/>
      <c r="IE144" s="150"/>
      <c r="IF144" s="150"/>
      <c r="IG144" s="150"/>
      <c r="IH144" s="150"/>
      <c r="II144" s="150"/>
      <c r="IJ144" s="150"/>
      <c r="IK144" s="150"/>
      <c r="IL144" s="150"/>
      <c r="IM144" s="150"/>
      <c r="IN144" s="150"/>
      <c r="IO144" s="150"/>
      <c r="IP144" s="150"/>
      <c r="IQ144" s="150"/>
      <c r="IR144" s="150"/>
      <c r="IS144" s="150"/>
      <c r="IT144" s="150"/>
      <c r="IU144" s="150"/>
      <c r="IV144" s="150"/>
      <c r="IW144" s="150"/>
      <c r="IX144" s="150"/>
      <c r="IY144" s="150"/>
      <c r="IZ144" s="150"/>
      <c r="JA144" s="150"/>
      <c r="JB144" s="150"/>
      <c r="JC144" s="150"/>
      <c r="JD144" s="150"/>
      <c r="JE144" s="150"/>
      <c r="JF144" s="150"/>
      <c r="JG144" s="150"/>
      <c r="JH144" s="150"/>
      <c r="JI144" s="150"/>
      <c r="JJ144" s="150"/>
      <c r="JK144" s="150"/>
      <c r="JL144" s="150"/>
      <c r="JM144" s="150"/>
      <c r="JN144" s="150"/>
      <c r="JO144" s="150"/>
      <c r="JP144" s="150"/>
      <c r="JQ144" s="150"/>
      <c r="JR144" s="150"/>
      <c r="JS144" s="150"/>
      <c r="JT144" s="150"/>
      <c r="JU144" s="150"/>
      <c r="JV144" s="150"/>
      <c r="JW144" s="150"/>
      <c r="JX144" s="150"/>
      <c r="JY144" s="150"/>
      <c r="JZ144" s="150"/>
      <c r="KA144" s="150"/>
      <c r="KB144" s="150"/>
      <c r="KC144" s="150"/>
      <c r="KD144" s="150"/>
      <c r="KE144" s="150"/>
      <c r="KF144" s="150"/>
      <c r="KG144" s="150"/>
      <c r="KH144" s="150"/>
      <c r="KI144" s="150"/>
      <c r="KJ144" s="150"/>
      <c r="KK144" s="150"/>
      <c r="KL144" s="150"/>
      <c r="KM144" s="150"/>
      <c r="KN144" s="150"/>
      <c r="KO144" s="150"/>
      <c r="KP144" s="150"/>
      <c r="KQ144" s="150"/>
      <c r="KR144" s="150"/>
      <c r="KS144" s="150"/>
      <c r="KT144" s="150"/>
      <c r="KU144" s="150"/>
      <c r="KV144" s="150"/>
      <c r="KW144" s="150"/>
      <c r="KX144" s="150"/>
      <c r="KY144" s="150"/>
      <c r="KZ144" s="150"/>
      <c r="LA144" s="150"/>
      <c r="LB144" s="150"/>
      <c r="LC144" s="150"/>
      <c r="LD144" s="150"/>
      <c r="LE144" s="150"/>
      <c r="LF144" s="150"/>
      <c r="LG144" s="150"/>
      <c r="LH144" s="150"/>
      <c r="LI144" s="150"/>
      <c r="LJ144" s="150"/>
      <c r="LK144" s="150"/>
      <c r="LL144" s="150"/>
      <c r="LM144" s="150"/>
      <c r="LN144" s="150"/>
      <c r="LO144" s="150"/>
      <c r="LP144" s="150"/>
      <c r="LQ144" s="150"/>
      <c r="LR144" s="150"/>
      <c r="LS144" s="150"/>
      <c r="LT144" s="150"/>
      <c r="LU144" s="150"/>
      <c r="LV144" s="150"/>
      <c r="LW144" s="150"/>
      <c r="LX144" s="150"/>
      <c r="LY144" s="150"/>
      <c r="LZ144" s="150"/>
      <c r="MA144" s="150"/>
      <c r="MB144" s="150"/>
      <c r="MC144" s="150"/>
      <c r="MD144" s="150"/>
      <c r="ME144" s="150"/>
      <c r="MF144" s="150"/>
      <c r="MG144" s="150"/>
      <c r="MH144" s="150"/>
      <c r="MI144" s="150"/>
      <c r="MJ144" s="150"/>
      <c r="MK144" s="150"/>
      <c r="ML144" s="150"/>
      <c r="MM144" s="150"/>
      <c r="MN144" s="150"/>
      <c r="MO144" s="150"/>
      <c r="MP144" s="150"/>
      <c r="MQ144" s="150"/>
      <c r="MR144" s="150"/>
      <c r="MS144" s="150"/>
      <c r="MT144" s="150"/>
      <c r="MU144" s="150"/>
      <c r="MV144" s="150"/>
      <c r="MW144" s="150"/>
      <c r="MX144" s="150"/>
      <c r="MY144" s="150"/>
      <c r="MZ144" s="150"/>
      <c r="NA144" s="150"/>
      <c r="NB144" s="150"/>
      <c r="NC144" s="150"/>
      <c r="ND144" s="150"/>
      <c r="NE144" s="150"/>
      <c r="NF144" s="150"/>
      <c r="NG144" s="150"/>
      <c r="NH144" s="150"/>
      <c r="NI144" s="150"/>
      <c r="NJ144" s="150"/>
      <c r="NK144" s="150"/>
      <c r="NL144" s="150"/>
      <c r="NM144" s="150"/>
      <c r="NN144" s="150"/>
      <c r="NO144" s="150"/>
      <c r="NP144" s="150"/>
      <c r="NQ144" s="150"/>
      <c r="NR144" s="150"/>
      <c r="NS144" s="150"/>
      <c r="NT144" s="150"/>
      <c r="NU144" s="150"/>
      <c r="NV144" s="150"/>
      <c r="NW144" s="150"/>
      <c r="NX144" s="150"/>
      <c r="NY144" s="150"/>
      <c r="NZ144" s="150"/>
      <c r="OA144" s="150"/>
      <c r="OB144" s="150"/>
      <c r="OC144" s="150"/>
      <c r="OD144" s="150"/>
      <c r="OE144" s="150"/>
    </row>
    <row r="145" spans="1:395">
      <c r="A145" s="19"/>
      <c r="B145" s="17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  <c r="BI145" s="150"/>
      <c r="BJ145" s="150"/>
      <c r="BK145" s="150"/>
      <c r="BL145" s="150"/>
      <c r="BM145" s="150"/>
      <c r="BN145" s="150"/>
      <c r="BO145" s="150"/>
      <c r="BP145" s="150"/>
      <c r="BQ145" s="150"/>
      <c r="BR145" s="150"/>
      <c r="BS145" s="150"/>
      <c r="BT145" s="150"/>
      <c r="BU145" s="150"/>
      <c r="BV145" s="150"/>
      <c r="BW145" s="150"/>
      <c r="BX145" s="150"/>
      <c r="BY145" s="150"/>
      <c r="BZ145" s="150"/>
      <c r="CA145" s="150"/>
      <c r="CB145" s="150"/>
      <c r="CC145" s="150"/>
      <c r="CD145" s="150"/>
      <c r="CE145" s="150"/>
      <c r="CF145" s="150"/>
      <c r="CG145" s="150"/>
      <c r="CH145" s="150"/>
      <c r="CI145" s="150"/>
      <c r="CJ145" s="150"/>
      <c r="CK145" s="150"/>
      <c r="CL145" s="150"/>
      <c r="CM145" s="150"/>
      <c r="CN145" s="150"/>
      <c r="CO145" s="150"/>
      <c r="CP145" s="150"/>
      <c r="CQ145" s="150"/>
      <c r="CR145" s="150"/>
      <c r="CS145" s="150"/>
      <c r="CT145" s="150"/>
      <c r="CU145" s="150"/>
      <c r="CV145" s="150"/>
      <c r="CW145" s="150"/>
      <c r="CX145" s="150"/>
      <c r="CY145" s="150"/>
      <c r="CZ145" s="150"/>
      <c r="DA145" s="150"/>
      <c r="DB145" s="150"/>
      <c r="DC145" s="150"/>
      <c r="DD145" s="150"/>
      <c r="DE145" s="150"/>
      <c r="DF145" s="150"/>
      <c r="DG145" s="150"/>
      <c r="DH145" s="150"/>
      <c r="DI145" s="150"/>
      <c r="DJ145" s="150"/>
      <c r="DK145" s="150"/>
      <c r="DL145" s="150"/>
      <c r="DM145" s="150"/>
      <c r="DN145" s="150"/>
      <c r="DO145" s="150"/>
      <c r="DP145" s="150"/>
      <c r="DQ145" s="150"/>
      <c r="DR145" s="150"/>
      <c r="DS145" s="150"/>
      <c r="DT145" s="150"/>
      <c r="DU145" s="150"/>
      <c r="DV145" s="150"/>
      <c r="DW145" s="150"/>
      <c r="DX145" s="150"/>
      <c r="DY145" s="150"/>
      <c r="DZ145" s="150"/>
      <c r="EA145" s="150"/>
      <c r="EB145" s="150"/>
      <c r="EC145" s="150"/>
      <c r="ED145" s="150"/>
      <c r="EE145" s="150"/>
      <c r="EF145" s="150"/>
      <c r="EG145" s="150"/>
      <c r="EH145" s="150"/>
      <c r="EI145" s="150"/>
      <c r="EJ145" s="150"/>
      <c r="EK145" s="150"/>
      <c r="EL145" s="150"/>
      <c r="EM145" s="150"/>
      <c r="EN145" s="150"/>
      <c r="EO145" s="150"/>
      <c r="EP145" s="150"/>
      <c r="EQ145" s="150"/>
      <c r="ER145" s="150"/>
      <c r="ES145" s="150"/>
      <c r="ET145" s="150"/>
      <c r="EU145" s="150"/>
      <c r="EV145" s="150"/>
      <c r="EW145" s="150"/>
      <c r="EX145" s="150"/>
      <c r="EY145" s="150"/>
      <c r="EZ145" s="150"/>
      <c r="FA145" s="150"/>
      <c r="FB145" s="150"/>
      <c r="FC145" s="150"/>
      <c r="FD145" s="150"/>
      <c r="FE145" s="150"/>
      <c r="FF145" s="150"/>
      <c r="FG145" s="150"/>
      <c r="FH145" s="150"/>
      <c r="FI145" s="150"/>
      <c r="FJ145" s="150"/>
      <c r="FK145" s="150"/>
      <c r="FL145" s="150"/>
      <c r="FM145" s="150"/>
      <c r="FN145" s="150"/>
      <c r="FO145" s="150"/>
      <c r="FP145" s="150"/>
      <c r="FQ145" s="150"/>
      <c r="FR145" s="150"/>
      <c r="FS145" s="150"/>
      <c r="FT145" s="150"/>
      <c r="FU145" s="150"/>
      <c r="FV145" s="150"/>
      <c r="FW145" s="150"/>
      <c r="FX145" s="150"/>
      <c r="FY145" s="150"/>
      <c r="FZ145" s="150"/>
      <c r="GA145" s="150"/>
      <c r="GB145" s="150"/>
      <c r="GC145" s="150"/>
      <c r="GD145" s="150"/>
      <c r="GE145" s="150"/>
      <c r="GF145" s="150"/>
      <c r="GG145" s="150"/>
      <c r="GH145" s="150"/>
      <c r="GI145" s="150"/>
      <c r="GJ145" s="150"/>
      <c r="GK145" s="150"/>
      <c r="GL145" s="150"/>
      <c r="GM145" s="150"/>
      <c r="GN145" s="150"/>
      <c r="GO145" s="150"/>
      <c r="GP145" s="150"/>
      <c r="GQ145" s="150"/>
      <c r="GR145" s="150"/>
      <c r="GS145" s="150"/>
      <c r="GT145" s="150"/>
      <c r="GU145" s="150"/>
      <c r="GV145" s="150"/>
      <c r="GW145" s="150"/>
      <c r="GX145" s="150"/>
      <c r="GY145" s="150"/>
      <c r="GZ145" s="150"/>
      <c r="HA145" s="150"/>
      <c r="HB145" s="150"/>
      <c r="HC145" s="150"/>
      <c r="HD145" s="150"/>
      <c r="HE145" s="150"/>
      <c r="HF145" s="150"/>
      <c r="HG145" s="150"/>
      <c r="HH145" s="150"/>
      <c r="HI145" s="150"/>
      <c r="HJ145" s="150"/>
      <c r="HK145" s="150"/>
      <c r="HL145" s="150"/>
      <c r="HM145" s="150"/>
      <c r="HN145" s="150"/>
      <c r="HO145" s="150"/>
      <c r="HP145" s="150"/>
      <c r="HQ145" s="150"/>
      <c r="HR145" s="150"/>
      <c r="HS145" s="150"/>
      <c r="HT145" s="150"/>
      <c r="HU145" s="150"/>
      <c r="HV145" s="150"/>
      <c r="HW145" s="150"/>
      <c r="HX145" s="150"/>
      <c r="HY145" s="150"/>
      <c r="HZ145" s="150"/>
      <c r="IA145" s="150"/>
      <c r="IB145" s="150"/>
      <c r="IC145" s="150"/>
      <c r="ID145" s="150"/>
      <c r="IE145" s="150"/>
      <c r="IF145" s="150"/>
      <c r="IG145" s="150"/>
      <c r="IH145" s="150"/>
      <c r="II145" s="150"/>
      <c r="IJ145" s="150"/>
      <c r="IK145" s="150"/>
      <c r="IL145" s="150"/>
      <c r="IM145" s="150"/>
      <c r="IN145" s="150"/>
      <c r="IO145" s="150"/>
      <c r="IP145" s="150"/>
      <c r="IQ145" s="150"/>
      <c r="IR145" s="150"/>
      <c r="IS145" s="150"/>
      <c r="IT145" s="150"/>
      <c r="IU145" s="150"/>
      <c r="IV145" s="150"/>
      <c r="IW145" s="150"/>
      <c r="IX145" s="150"/>
      <c r="IY145" s="150"/>
      <c r="IZ145" s="150"/>
      <c r="JA145" s="150"/>
      <c r="JB145" s="150"/>
      <c r="JC145" s="150"/>
      <c r="JD145" s="150"/>
      <c r="JE145" s="150"/>
      <c r="JF145" s="150"/>
      <c r="JG145" s="150"/>
      <c r="JH145" s="150"/>
      <c r="JI145" s="150"/>
      <c r="JJ145" s="150"/>
      <c r="JK145" s="150"/>
      <c r="JL145" s="150"/>
      <c r="JM145" s="150"/>
      <c r="JN145" s="150"/>
      <c r="JO145" s="150"/>
      <c r="JP145" s="150"/>
      <c r="JQ145" s="150"/>
      <c r="JR145" s="150"/>
      <c r="JS145" s="150"/>
      <c r="JT145" s="150"/>
      <c r="JU145" s="150"/>
      <c r="JV145" s="150"/>
      <c r="JW145" s="150"/>
      <c r="JX145" s="150"/>
      <c r="JY145" s="150"/>
      <c r="JZ145" s="150"/>
      <c r="KA145" s="150"/>
      <c r="KB145" s="150"/>
      <c r="KC145" s="150"/>
      <c r="KD145" s="150"/>
      <c r="KE145" s="150"/>
      <c r="KF145" s="150"/>
      <c r="KG145" s="150"/>
      <c r="KH145" s="150"/>
      <c r="KI145" s="150"/>
      <c r="KJ145" s="150"/>
      <c r="KK145" s="150"/>
      <c r="KL145" s="150"/>
      <c r="KM145" s="150"/>
      <c r="KN145" s="150"/>
      <c r="KO145" s="150"/>
      <c r="KP145" s="150"/>
      <c r="KQ145" s="150"/>
      <c r="KR145" s="150"/>
      <c r="KS145" s="150"/>
      <c r="KT145" s="150"/>
      <c r="KU145" s="150"/>
      <c r="KV145" s="150"/>
      <c r="KW145" s="150"/>
      <c r="KX145" s="150"/>
      <c r="KY145" s="150"/>
      <c r="KZ145" s="150"/>
      <c r="LA145" s="150"/>
      <c r="LB145" s="150"/>
      <c r="LC145" s="150"/>
      <c r="LD145" s="150"/>
      <c r="LE145" s="150"/>
      <c r="LF145" s="150"/>
      <c r="LG145" s="150"/>
      <c r="LH145" s="150"/>
      <c r="LI145" s="150"/>
      <c r="LJ145" s="150"/>
      <c r="LK145" s="150"/>
      <c r="LL145" s="150"/>
      <c r="LM145" s="150"/>
      <c r="LN145" s="150"/>
      <c r="LO145" s="150"/>
      <c r="LP145" s="150"/>
      <c r="LQ145" s="150"/>
      <c r="LR145" s="150"/>
      <c r="LS145" s="150"/>
      <c r="LT145" s="150"/>
      <c r="LU145" s="150"/>
      <c r="LV145" s="150"/>
      <c r="LW145" s="150"/>
      <c r="LX145" s="150"/>
      <c r="LY145" s="150"/>
      <c r="LZ145" s="150"/>
      <c r="MA145" s="150"/>
      <c r="MB145" s="150"/>
      <c r="MC145" s="150"/>
      <c r="MD145" s="150"/>
      <c r="ME145" s="150"/>
      <c r="MF145" s="150"/>
      <c r="MG145" s="150"/>
      <c r="MH145" s="150"/>
      <c r="MI145" s="150"/>
      <c r="MJ145" s="150"/>
      <c r="MK145" s="150"/>
      <c r="ML145" s="150"/>
      <c r="MM145" s="150"/>
      <c r="MN145" s="150"/>
      <c r="MO145" s="150"/>
      <c r="MP145" s="150"/>
      <c r="MQ145" s="150"/>
      <c r="MR145" s="150"/>
      <c r="MS145" s="150"/>
      <c r="MT145" s="150"/>
      <c r="MU145" s="150"/>
      <c r="MV145" s="150"/>
      <c r="MW145" s="150"/>
      <c r="MX145" s="150"/>
      <c r="MY145" s="150"/>
      <c r="MZ145" s="150"/>
      <c r="NA145" s="150"/>
      <c r="NB145" s="150"/>
      <c r="NC145" s="150"/>
      <c r="ND145" s="150"/>
      <c r="NE145" s="150"/>
      <c r="NF145" s="150"/>
      <c r="NG145" s="150"/>
      <c r="NH145" s="150"/>
      <c r="NI145" s="150"/>
      <c r="NJ145" s="150"/>
      <c r="NK145" s="150"/>
      <c r="NL145" s="150"/>
      <c r="NM145" s="150"/>
      <c r="NN145" s="150"/>
      <c r="NO145" s="150"/>
      <c r="NP145" s="150"/>
      <c r="NQ145" s="150"/>
      <c r="NR145" s="150"/>
      <c r="NS145" s="150"/>
      <c r="NT145" s="150"/>
      <c r="NU145" s="150"/>
      <c r="NV145" s="150"/>
      <c r="NW145" s="150"/>
      <c r="NX145" s="150"/>
      <c r="NY145" s="150"/>
      <c r="NZ145" s="150"/>
      <c r="OA145" s="150"/>
      <c r="OB145" s="150"/>
      <c r="OC145" s="150"/>
      <c r="OD145" s="150"/>
      <c r="OE145" s="150"/>
    </row>
    <row r="146" spans="1:395">
      <c r="A146" s="19"/>
      <c r="B146" s="17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  <c r="BI146" s="150"/>
      <c r="BJ146" s="150"/>
      <c r="BK146" s="150"/>
      <c r="BL146" s="150"/>
      <c r="BM146" s="150"/>
      <c r="BN146" s="150"/>
      <c r="BO146" s="150"/>
      <c r="BP146" s="150"/>
      <c r="BQ146" s="150"/>
      <c r="BR146" s="150"/>
      <c r="BS146" s="150"/>
      <c r="BT146" s="150"/>
      <c r="BU146" s="150"/>
      <c r="BV146" s="150"/>
      <c r="BW146" s="150"/>
      <c r="BX146" s="150"/>
      <c r="BY146" s="150"/>
      <c r="BZ146" s="150"/>
      <c r="CA146" s="150"/>
      <c r="CB146" s="150"/>
      <c r="CC146" s="150"/>
      <c r="CD146" s="150"/>
      <c r="CE146" s="150"/>
      <c r="CF146" s="150"/>
      <c r="CG146" s="150"/>
      <c r="CH146" s="150"/>
      <c r="CI146" s="150"/>
      <c r="CJ146" s="150"/>
      <c r="CK146" s="150"/>
      <c r="CL146" s="150"/>
      <c r="CM146" s="150"/>
      <c r="CN146" s="150"/>
      <c r="CO146" s="150"/>
      <c r="CP146" s="150"/>
      <c r="CQ146" s="150"/>
      <c r="CR146" s="150"/>
      <c r="CS146" s="150"/>
      <c r="CT146" s="150"/>
      <c r="CU146" s="150"/>
      <c r="CV146" s="150"/>
      <c r="CW146" s="150"/>
      <c r="CX146" s="150"/>
      <c r="CY146" s="150"/>
      <c r="CZ146" s="150"/>
      <c r="DA146" s="150"/>
      <c r="DB146" s="150"/>
      <c r="DC146" s="150"/>
      <c r="DD146" s="150"/>
      <c r="DE146" s="150"/>
      <c r="DF146" s="150"/>
      <c r="DG146" s="150"/>
      <c r="DH146" s="150"/>
      <c r="DI146" s="150"/>
      <c r="DJ146" s="150"/>
      <c r="DK146" s="150"/>
      <c r="DL146" s="150"/>
      <c r="DM146" s="150"/>
      <c r="DN146" s="150"/>
      <c r="DO146" s="150"/>
      <c r="DP146" s="150"/>
      <c r="DQ146" s="150"/>
      <c r="DR146" s="150"/>
      <c r="DS146" s="150"/>
      <c r="DT146" s="150"/>
      <c r="DU146" s="150"/>
      <c r="DV146" s="150"/>
      <c r="DW146" s="150"/>
      <c r="DX146" s="150"/>
      <c r="DY146" s="150"/>
      <c r="DZ146" s="150"/>
      <c r="EA146" s="150"/>
      <c r="EB146" s="150"/>
      <c r="EC146" s="150"/>
      <c r="ED146" s="150"/>
      <c r="EE146" s="150"/>
      <c r="EF146" s="150"/>
      <c r="EG146" s="150"/>
      <c r="EH146" s="150"/>
      <c r="EI146" s="150"/>
      <c r="EJ146" s="150"/>
      <c r="EK146" s="150"/>
      <c r="EL146" s="150"/>
      <c r="EM146" s="150"/>
      <c r="EN146" s="150"/>
      <c r="EO146" s="150"/>
      <c r="EP146" s="150"/>
      <c r="EQ146" s="150"/>
      <c r="ER146" s="150"/>
      <c r="ES146" s="150"/>
      <c r="ET146" s="150"/>
      <c r="EU146" s="150"/>
      <c r="EV146" s="150"/>
      <c r="EW146" s="150"/>
      <c r="EX146" s="150"/>
      <c r="EY146" s="150"/>
      <c r="EZ146" s="150"/>
      <c r="FA146" s="150"/>
      <c r="FB146" s="150"/>
      <c r="FC146" s="150"/>
      <c r="FD146" s="150"/>
      <c r="FE146" s="150"/>
      <c r="FF146" s="150"/>
      <c r="FG146" s="150"/>
      <c r="FH146" s="150"/>
      <c r="FI146" s="150"/>
      <c r="FJ146" s="150"/>
      <c r="FK146" s="150"/>
      <c r="FL146" s="150"/>
      <c r="FM146" s="150"/>
      <c r="FN146" s="150"/>
      <c r="FO146" s="150"/>
      <c r="FP146" s="150"/>
      <c r="FQ146" s="150"/>
      <c r="FR146" s="150"/>
      <c r="FS146" s="150"/>
      <c r="FT146" s="150"/>
      <c r="FU146" s="150"/>
      <c r="FV146" s="150"/>
      <c r="FW146" s="150"/>
      <c r="FX146" s="150"/>
      <c r="FY146" s="150"/>
      <c r="FZ146" s="150"/>
      <c r="GA146" s="150"/>
      <c r="GB146" s="150"/>
      <c r="GC146" s="150"/>
      <c r="GD146" s="150"/>
      <c r="GE146" s="150"/>
      <c r="GF146" s="150"/>
      <c r="GG146" s="150"/>
      <c r="GH146" s="150"/>
      <c r="GI146" s="150"/>
      <c r="GJ146" s="150"/>
      <c r="GK146" s="150"/>
      <c r="GL146" s="150"/>
      <c r="GM146" s="150"/>
      <c r="GN146" s="150"/>
      <c r="GO146" s="150"/>
      <c r="GP146" s="150"/>
      <c r="GQ146" s="150"/>
      <c r="GR146" s="150"/>
      <c r="GS146" s="150"/>
      <c r="GT146" s="150"/>
      <c r="GU146" s="150"/>
      <c r="GV146" s="150"/>
      <c r="GW146" s="150"/>
      <c r="GX146" s="150"/>
      <c r="GY146" s="150"/>
      <c r="GZ146" s="150"/>
      <c r="HA146" s="150"/>
      <c r="HB146" s="150"/>
      <c r="HC146" s="150"/>
      <c r="HD146" s="150"/>
      <c r="HE146" s="150"/>
      <c r="HF146" s="150"/>
      <c r="HG146" s="150"/>
      <c r="HH146" s="150"/>
      <c r="HI146" s="150"/>
      <c r="HJ146" s="150"/>
      <c r="HK146" s="150"/>
      <c r="HL146" s="150"/>
      <c r="HM146" s="150"/>
      <c r="HN146" s="150"/>
      <c r="HO146" s="150"/>
      <c r="HP146" s="150"/>
      <c r="HQ146" s="150"/>
      <c r="HR146" s="150"/>
      <c r="HS146" s="150"/>
      <c r="HT146" s="150"/>
      <c r="HU146" s="150"/>
      <c r="HV146" s="150"/>
      <c r="HW146" s="150"/>
      <c r="HX146" s="150"/>
      <c r="HY146" s="150"/>
      <c r="HZ146" s="150"/>
      <c r="IA146" s="150"/>
      <c r="IB146" s="150"/>
      <c r="IC146" s="150"/>
      <c r="ID146" s="150"/>
      <c r="IE146" s="150"/>
      <c r="IF146" s="150"/>
      <c r="IG146" s="150"/>
      <c r="IH146" s="150"/>
      <c r="II146" s="150"/>
      <c r="IJ146" s="150"/>
      <c r="IK146" s="150"/>
      <c r="IL146" s="150"/>
      <c r="IM146" s="150"/>
      <c r="IN146" s="150"/>
      <c r="IO146" s="150"/>
      <c r="IP146" s="150"/>
      <c r="IQ146" s="150"/>
      <c r="IR146" s="150"/>
      <c r="IS146" s="150"/>
      <c r="IT146" s="150"/>
      <c r="IU146" s="150"/>
      <c r="IV146" s="150"/>
      <c r="IW146" s="150"/>
      <c r="IX146" s="150"/>
      <c r="IY146" s="150"/>
      <c r="IZ146" s="150"/>
      <c r="JA146" s="150"/>
      <c r="JB146" s="150"/>
      <c r="JC146" s="150"/>
      <c r="JD146" s="150"/>
      <c r="JE146" s="150"/>
      <c r="JF146" s="150"/>
      <c r="JG146" s="150"/>
      <c r="JH146" s="150"/>
      <c r="JI146" s="150"/>
      <c r="JJ146" s="150"/>
      <c r="JK146" s="150"/>
      <c r="JL146" s="150"/>
      <c r="JM146" s="150"/>
      <c r="JN146" s="150"/>
      <c r="JO146" s="150"/>
      <c r="JP146" s="150"/>
      <c r="JQ146" s="150"/>
      <c r="JR146" s="150"/>
      <c r="JS146" s="150"/>
      <c r="JT146" s="150"/>
      <c r="JU146" s="150"/>
      <c r="JV146" s="150"/>
      <c r="JW146" s="150"/>
      <c r="JX146" s="150"/>
      <c r="JY146" s="150"/>
      <c r="JZ146" s="150"/>
      <c r="KA146" s="150"/>
      <c r="KB146" s="150"/>
      <c r="KC146" s="150"/>
      <c r="KD146" s="150"/>
      <c r="KE146" s="150"/>
      <c r="KF146" s="150"/>
      <c r="KG146" s="150"/>
      <c r="KH146" s="150"/>
      <c r="KI146" s="150"/>
      <c r="KJ146" s="150"/>
      <c r="KK146" s="150"/>
      <c r="KL146" s="150"/>
      <c r="KM146" s="150"/>
      <c r="KN146" s="150"/>
      <c r="KO146" s="150"/>
      <c r="KP146" s="150"/>
      <c r="KQ146" s="150"/>
      <c r="KR146" s="150"/>
      <c r="KS146" s="150"/>
      <c r="KT146" s="150"/>
      <c r="KU146" s="150"/>
      <c r="KV146" s="150"/>
      <c r="KW146" s="150"/>
      <c r="KX146" s="150"/>
      <c r="KY146" s="150"/>
      <c r="KZ146" s="150"/>
      <c r="LA146" s="150"/>
      <c r="LB146" s="150"/>
      <c r="LC146" s="150"/>
      <c r="LD146" s="150"/>
      <c r="LE146" s="150"/>
      <c r="LF146" s="150"/>
      <c r="LG146" s="150"/>
      <c r="LH146" s="150"/>
      <c r="LI146" s="150"/>
      <c r="LJ146" s="150"/>
      <c r="LK146" s="150"/>
      <c r="LL146" s="150"/>
      <c r="LM146" s="150"/>
      <c r="LN146" s="150"/>
      <c r="LO146" s="150"/>
      <c r="LP146" s="150"/>
      <c r="LQ146" s="150"/>
      <c r="LR146" s="150"/>
      <c r="LS146" s="150"/>
      <c r="LT146" s="150"/>
      <c r="LU146" s="150"/>
      <c r="LV146" s="150"/>
      <c r="LW146" s="150"/>
      <c r="LX146" s="150"/>
      <c r="LY146" s="150"/>
      <c r="LZ146" s="150"/>
      <c r="MA146" s="150"/>
      <c r="MB146" s="150"/>
      <c r="MC146" s="150"/>
      <c r="MD146" s="150"/>
      <c r="ME146" s="150"/>
      <c r="MF146" s="150"/>
      <c r="MG146" s="150"/>
      <c r="MH146" s="150"/>
      <c r="MI146" s="150"/>
      <c r="MJ146" s="150"/>
      <c r="MK146" s="150"/>
      <c r="ML146" s="150"/>
      <c r="MM146" s="150"/>
      <c r="MN146" s="150"/>
      <c r="MO146" s="150"/>
      <c r="MP146" s="150"/>
      <c r="MQ146" s="150"/>
      <c r="MR146" s="150"/>
      <c r="MS146" s="150"/>
      <c r="MT146" s="150"/>
      <c r="MU146" s="150"/>
      <c r="MV146" s="150"/>
      <c r="MW146" s="150"/>
      <c r="MX146" s="150"/>
      <c r="MY146" s="150"/>
      <c r="MZ146" s="150"/>
      <c r="NA146" s="150"/>
      <c r="NB146" s="150"/>
      <c r="NC146" s="150"/>
      <c r="ND146" s="150"/>
      <c r="NE146" s="150"/>
      <c r="NF146" s="150"/>
      <c r="NG146" s="150"/>
      <c r="NH146" s="150"/>
      <c r="NI146" s="150"/>
      <c r="NJ146" s="150"/>
      <c r="NK146" s="150"/>
      <c r="NL146" s="150"/>
      <c r="NM146" s="150"/>
      <c r="NN146" s="150"/>
      <c r="NO146" s="150"/>
      <c r="NP146" s="150"/>
      <c r="NQ146" s="150"/>
      <c r="NR146" s="150"/>
      <c r="NS146" s="150"/>
      <c r="NT146" s="150"/>
      <c r="NU146" s="150"/>
      <c r="NV146" s="150"/>
      <c r="NW146" s="150"/>
      <c r="NX146" s="150"/>
      <c r="NY146" s="150"/>
      <c r="NZ146" s="150"/>
      <c r="OA146" s="150"/>
      <c r="OB146" s="150"/>
      <c r="OC146" s="150"/>
      <c r="OD146" s="150"/>
      <c r="OE146" s="150"/>
    </row>
    <row r="147" spans="1:395">
      <c r="A147" s="19"/>
      <c r="B147" s="17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  <c r="BI147" s="150"/>
      <c r="BJ147" s="150"/>
      <c r="BK147" s="150"/>
      <c r="BL147" s="150"/>
      <c r="BM147" s="150"/>
      <c r="BN147" s="150"/>
      <c r="BO147" s="150"/>
      <c r="BP147" s="150"/>
      <c r="BQ147" s="150"/>
      <c r="BR147" s="150"/>
      <c r="BS147" s="150"/>
      <c r="BT147" s="150"/>
      <c r="BU147" s="150"/>
      <c r="BV147" s="150"/>
      <c r="BW147" s="150"/>
      <c r="BX147" s="150"/>
      <c r="BY147" s="150"/>
      <c r="BZ147" s="150"/>
      <c r="CA147" s="150"/>
      <c r="CB147" s="150"/>
      <c r="CC147" s="150"/>
      <c r="CD147" s="150"/>
      <c r="CE147" s="150"/>
      <c r="CF147" s="150"/>
      <c r="CG147" s="150"/>
      <c r="CH147" s="150"/>
      <c r="CI147" s="150"/>
      <c r="CJ147" s="150"/>
      <c r="CK147" s="150"/>
      <c r="CL147" s="150"/>
      <c r="CM147" s="150"/>
      <c r="CN147" s="150"/>
      <c r="CO147" s="150"/>
      <c r="CP147" s="150"/>
      <c r="CQ147" s="150"/>
      <c r="CR147" s="150"/>
      <c r="CS147" s="150"/>
      <c r="CT147" s="150"/>
      <c r="CU147" s="150"/>
      <c r="CV147" s="150"/>
      <c r="CW147" s="150"/>
      <c r="CX147" s="150"/>
      <c r="CY147" s="150"/>
      <c r="CZ147" s="150"/>
      <c r="DA147" s="150"/>
      <c r="DB147" s="150"/>
      <c r="DC147" s="150"/>
      <c r="DD147" s="150"/>
      <c r="DE147" s="150"/>
      <c r="DF147" s="150"/>
      <c r="DG147" s="150"/>
      <c r="DH147" s="150"/>
      <c r="DI147" s="150"/>
      <c r="DJ147" s="150"/>
      <c r="DK147" s="150"/>
      <c r="DL147" s="150"/>
      <c r="DM147" s="150"/>
      <c r="DN147" s="150"/>
      <c r="DO147" s="150"/>
      <c r="DP147" s="150"/>
      <c r="DQ147" s="150"/>
      <c r="DR147" s="150"/>
      <c r="DS147" s="150"/>
      <c r="DT147" s="150"/>
      <c r="DU147" s="150"/>
      <c r="DV147" s="150"/>
      <c r="DW147" s="150"/>
      <c r="DX147" s="150"/>
      <c r="DY147" s="150"/>
      <c r="DZ147" s="150"/>
      <c r="EA147" s="150"/>
      <c r="EB147" s="150"/>
      <c r="EC147" s="150"/>
      <c r="ED147" s="150"/>
      <c r="EE147" s="150"/>
      <c r="EF147" s="150"/>
      <c r="EG147" s="150"/>
      <c r="EH147" s="150"/>
      <c r="EI147" s="150"/>
      <c r="EJ147" s="150"/>
      <c r="EK147" s="150"/>
      <c r="EL147" s="150"/>
      <c r="EM147" s="150"/>
      <c r="EN147" s="150"/>
      <c r="EO147" s="150"/>
      <c r="EP147" s="150"/>
      <c r="EQ147" s="150"/>
      <c r="ER147" s="150"/>
      <c r="ES147" s="150"/>
      <c r="ET147" s="150"/>
      <c r="EU147" s="150"/>
      <c r="EV147" s="150"/>
      <c r="EW147" s="150"/>
      <c r="EX147" s="150"/>
      <c r="EY147" s="150"/>
      <c r="EZ147" s="150"/>
      <c r="FA147" s="150"/>
      <c r="FB147" s="150"/>
      <c r="FC147" s="150"/>
      <c r="FD147" s="150"/>
      <c r="FE147" s="150"/>
      <c r="FF147" s="150"/>
      <c r="FG147" s="150"/>
      <c r="FH147" s="150"/>
      <c r="FI147" s="150"/>
      <c r="FJ147" s="150"/>
      <c r="FK147" s="150"/>
      <c r="FL147" s="150"/>
      <c r="FM147" s="150"/>
      <c r="FN147" s="150"/>
      <c r="FO147" s="150"/>
      <c r="FP147" s="150"/>
      <c r="FQ147" s="150"/>
      <c r="FR147" s="150"/>
      <c r="FS147" s="150"/>
      <c r="FT147" s="150"/>
      <c r="FU147" s="150"/>
      <c r="FV147" s="150"/>
      <c r="FW147" s="150"/>
      <c r="FX147" s="150"/>
      <c r="FY147" s="150"/>
      <c r="FZ147" s="150"/>
      <c r="GA147" s="150"/>
      <c r="GB147" s="150"/>
      <c r="GC147" s="150"/>
      <c r="GD147" s="150"/>
      <c r="GE147" s="150"/>
      <c r="GF147" s="150"/>
      <c r="GG147" s="150"/>
      <c r="GH147" s="150"/>
      <c r="GI147" s="150"/>
      <c r="GJ147" s="150"/>
      <c r="GK147" s="150"/>
      <c r="GL147" s="150"/>
      <c r="GM147" s="150"/>
      <c r="GN147" s="150"/>
      <c r="GO147" s="150"/>
      <c r="GP147" s="150"/>
      <c r="GQ147" s="150"/>
      <c r="GR147" s="150"/>
      <c r="GS147" s="150"/>
      <c r="GT147" s="150"/>
      <c r="GU147" s="150"/>
      <c r="GV147" s="150"/>
      <c r="GW147" s="150"/>
      <c r="GX147" s="150"/>
      <c r="GY147" s="150"/>
      <c r="GZ147" s="150"/>
      <c r="HA147" s="150"/>
      <c r="HB147" s="150"/>
      <c r="HC147" s="150"/>
      <c r="HD147" s="150"/>
      <c r="HE147" s="150"/>
      <c r="HF147" s="150"/>
      <c r="HG147" s="150"/>
      <c r="HH147" s="150"/>
      <c r="HI147" s="150"/>
      <c r="HJ147" s="150"/>
      <c r="HK147" s="150"/>
      <c r="HL147" s="150"/>
      <c r="HM147" s="150"/>
      <c r="HN147" s="150"/>
      <c r="HO147" s="150"/>
      <c r="HP147" s="150"/>
      <c r="HQ147" s="150"/>
      <c r="HR147" s="150"/>
      <c r="HS147" s="150"/>
      <c r="HT147" s="150"/>
      <c r="HU147" s="150"/>
      <c r="HV147" s="150"/>
      <c r="HW147" s="150"/>
      <c r="HX147" s="150"/>
      <c r="HY147" s="150"/>
      <c r="HZ147" s="150"/>
      <c r="IA147" s="150"/>
      <c r="IB147" s="150"/>
      <c r="IC147" s="150"/>
      <c r="ID147" s="150"/>
      <c r="IE147" s="150"/>
      <c r="IF147" s="150"/>
      <c r="IG147" s="150"/>
      <c r="IH147" s="150"/>
      <c r="II147" s="150"/>
      <c r="IJ147" s="150"/>
      <c r="IK147" s="150"/>
      <c r="IL147" s="150"/>
      <c r="IM147" s="150"/>
      <c r="IN147" s="150"/>
      <c r="IO147" s="150"/>
      <c r="IP147" s="150"/>
      <c r="IQ147" s="150"/>
      <c r="IR147" s="150"/>
      <c r="IS147" s="150"/>
      <c r="IT147" s="150"/>
      <c r="IU147" s="150"/>
      <c r="IV147" s="150"/>
      <c r="IW147" s="150"/>
      <c r="IX147" s="150"/>
      <c r="IY147" s="150"/>
      <c r="IZ147" s="150"/>
      <c r="JA147" s="150"/>
      <c r="JB147" s="150"/>
      <c r="JC147" s="150"/>
      <c r="JD147" s="150"/>
      <c r="JE147" s="150"/>
      <c r="JF147" s="150"/>
      <c r="JG147" s="150"/>
      <c r="JH147" s="150"/>
      <c r="JI147" s="150"/>
      <c r="JJ147" s="150"/>
      <c r="JK147" s="150"/>
      <c r="JL147" s="150"/>
      <c r="JM147" s="150"/>
      <c r="JN147" s="150"/>
      <c r="JO147" s="150"/>
      <c r="JP147" s="150"/>
      <c r="JQ147" s="150"/>
      <c r="JR147" s="150"/>
      <c r="JS147" s="150"/>
      <c r="JT147" s="150"/>
      <c r="JU147" s="150"/>
      <c r="JV147" s="150"/>
      <c r="JW147" s="150"/>
      <c r="JX147" s="150"/>
      <c r="JY147" s="150"/>
      <c r="JZ147" s="150"/>
      <c r="KA147" s="150"/>
      <c r="KB147" s="150"/>
      <c r="KC147" s="150"/>
      <c r="KD147" s="150"/>
      <c r="KE147" s="150"/>
      <c r="KF147" s="150"/>
      <c r="KG147" s="150"/>
      <c r="KH147" s="150"/>
      <c r="KI147" s="150"/>
      <c r="KJ147" s="150"/>
      <c r="KK147" s="150"/>
      <c r="KL147" s="150"/>
      <c r="KM147" s="150"/>
      <c r="KN147" s="150"/>
      <c r="KO147" s="150"/>
      <c r="KP147" s="150"/>
      <c r="KQ147" s="150"/>
      <c r="KR147" s="150"/>
      <c r="KS147" s="150"/>
      <c r="KT147" s="150"/>
      <c r="KU147" s="150"/>
      <c r="KV147" s="150"/>
      <c r="KW147" s="150"/>
      <c r="KX147" s="150"/>
      <c r="KY147" s="150"/>
      <c r="KZ147" s="150"/>
      <c r="LA147" s="150"/>
      <c r="LB147" s="150"/>
      <c r="LC147" s="150"/>
      <c r="LD147" s="150"/>
      <c r="LE147" s="150"/>
      <c r="LF147" s="150"/>
      <c r="LG147" s="150"/>
      <c r="LH147" s="150"/>
      <c r="LI147" s="150"/>
      <c r="LJ147" s="150"/>
      <c r="LK147" s="150"/>
      <c r="LL147" s="150"/>
      <c r="LM147" s="150"/>
      <c r="LN147" s="150"/>
      <c r="LO147" s="150"/>
      <c r="LP147" s="150"/>
      <c r="LQ147" s="150"/>
      <c r="LR147" s="150"/>
      <c r="LS147" s="150"/>
      <c r="LT147" s="150"/>
      <c r="LU147" s="150"/>
      <c r="LV147" s="150"/>
      <c r="LW147" s="150"/>
      <c r="LX147" s="150"/>
      <c r="LY147" s="150"/>
      <c r="LZ147" s="150"/>
      <c r="MA147" s="150"/>
      <c r="MB147" s="150"/>
      <c r="MC147" s="150"/>
      <c r="MD147" s="150"/>
      <c r="ME147" s="150"/>
      <c r="MF147" s="150"/>
      <c r="MG147" s="150"/>
      <c r="MH147" s="150"/>
      <c r="MI147" s="150"/>
      <c r="MJ147" s="150"/>
      <c r="MK147" s="150"/>
      <c r="ML147" s="150"/>
      <c r="MM147" s="150"/>
      <c r="MN147" s="150"/>
      <c r="MO147" s="150"/>
      <c r="MP147" s="150"/>
      <c r="MQ147" s="150"/>
      <c r="MR147" s="150"/>
      <c r="MS147" s="150"/>
      <c r="MT147" s="150"/>
      <c r="MU147" s="150"/>
      <c r="MV147" s="150"/>
      <c r="MW147" s="150"/>
      <c r="MX147" s="150"/>
      <c r="MY147" s="150"/>
      <c r="MZ147" s="150"/>
      <c r="NA147" s="150"/>
      <c r="NB147" s="150"/>
      <c r="NC147" s="150"/>
      <c r="ND147" s="150"/>
      <c r="NE147" s="150"/>
      <c r="NF147" s="150"/>
      <c r="NG147" s="150"/>
      <c r="NH147" s="150"/>
      <c r="NI147" s="150"/>
      <c r="NJ147" s="150"/>
      <c r="NK147" s="150"/>
      <c r="NL147" s="150"/>
      <c r="NM147" s="150"/>
      <c r="NN147" s="150"/>
      <c r="NO147" s="150"/>
      <c r="NP147" s="150"/>
      <c r="NQ147" s="150"/>
      <c r="NR147" s="150"/>
      <c r="NS147" s="150"/>
      <c r="NT147" s="150"/>
      <c r="NU147" s="150"/>
      <c r="NV147" s="150"/>
      <c r="NW147" s="150"/>
      <c r="NX147" s="150"/>
      <c r="NY147" s="150"/>
      <c r="NZ147" s="150"/>
      <c r="OA147" s="150"/>
      <c r="OB147" s="150"/>
      <c r="OC147" s="150"/>
      <c r="OD147" s="150"/>
      <c r="OE147" s="150"/>
    </row>
    <row r="148" spans="1:395">
      <c r="A148" s="19"/>
      <c r="B148" s="17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  <c r="BI148" s="150"/>
      <c r="BJ148" s="150"/>
      <c r="BK148" s="150"/>
      <c r="BL148" s="150"/>
      <c r="BM148" s="150"/>
      <c r="BN148" s="150"/>
      <c r="BO148" s="150"/>
      <c r="BP148" s="150"/>
      <c r="BQ148" s="150"/>
      <c r="BR148" s="150"/>
      <c r="BS148" s="150"/>
      <c r="BT148" s="150"/>
      <c r="BU148" s="150"/>
      <c r="BV148" s="150"/>
      <c r="BW148" s="150"/>
      <c r="BX148" s="150"/>
      <c r="BY148" s="150"/>
      <c r="BZ148" s="150"/>
      <c r="CA148" s="150"/>
      <c r="CB148" s="150"/>
      <c r="CC148" s="150"/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0"/>
      <c r="CN148" s="150"/>
      <c r="CO148" s="150"/>
      <c r="CP148" s="150"/>
      <c r="CQ148" s="150"/>
      <c r="CR148" s="150"/>
      <c r="CS148" s="150"/>
      <c r="CT148" s="150"/>
      <c r="CU148" s="150"/>
      <c r="CV148" s="150"/>
      <c r="CW148" s="150"/>
      <c r="CX148" s="150"/>
      <c r="CY148" s="150"/>
      <c r="CZ148" s="150"/>
      <c r="DA148" s="150"/>
      <c r="DB148" s="150"/>
      <c r="DC148" s="150"/>
      <c r="DD148" s="150"/>
      <c r="DE148" s="150"/>
      <c r="DF148" s="150"/>
      <c r="DG148" s="150"/>
      <c r="DH148" s="150"/>
      <c r="DI148" s="150"/>
      <c r="DJ148" s="150"/>
      <c r="DK148" s="150"/>
      <c r="DL148" s="150"/>
      <c r="DM148" s="150"/>
      <c r="DN148" s="150"/>
      <c r="DO148" s="150"/>
      <c r="DP148" s="150"/>
      <c r="DQ148" s="150"/>
      <c r="DR148" s="150"/>
      <c r="DS148" s="150"/>
      <c r="DT148" s="150"/>
      <c r="DU148" s="150"/>
      <c r="DV148" s="150"/>
      <c r="DW148" s="150"/>
      <c r="DX148" s="150"/>
      <c r="DY148" s="150"/>
      <c r="DZ148" s="150"/>
      <c r="EA148" s="150"/>
      <c r="EB148" s="150"/>
      <c r="EC148" s="150"/>
      <c r="ED148" s="150"/>
      <c r="EE148" s="150"/>
      <c r="EF148" s="150"/>
      <c r="EG148" s="150"/>
      <c r="EH148" s="150"/>
      <c r="EI148" s="150"/>
      <c r="EJ148" s="150"/>
      <c r="EK148" s="150"/>
      <c r="EL148" s="150"/>
      <c r="EM148" s="150"/>
      <c r="EN148" s="150"/>
      <c r="EO148" s="150"/>
      <c r="EP148" s="150"/>
      <c r="EQ148" s="150"/>
      <c r="ER148" s="150"/>
      <c r="ES148" s="150"/>
      <c r="ET148" s="150"/>
      <c r="EU148" s="150"/>
      <c r="EV148" s="150"/>
      <c r="EW148" s="150"/>
      <c r="EX148" s="150"/>
      <c r="EY148" s="150"/>
      <c r="EZ148" s="150"/>
      <c r="FA148" s="150"/>
      <c r="FB148" s="150"/>
      <c r="FC148" s="150"/>
      <c r="FD148" s="150"/>
      <c r="FE148" s="150"/>
      <c r="FF148" s="150"/>
      <c r="FG148" s="150"/>
      <c r="FH148" s="150"/>
      <c r="FI148" s="150"/>
      <c r="FJ148" s="150"/>
      <c r="FK148" s="150"/>
      <c r="FL148" s="150"/>
      <c r="FM148" s="150"/>
      <c r="FN148" s="150"/>
      <c r="FO148" s="150"/>
      <c r="FP148" s="150"/>
      <c r="FQ148" s="150"/>
      <c r="FR148" s="150"/>
      <c r="FS148" s="150"/>
      <c r="FT148" s="150"/>
      <c r="FU148" s="150"/>
      <c r="FV148" s="150"/>
      <c r="FW148" s="150"/>
      <c r="FX148" s="150"/>
      <c r="FY148" s="150"/>
      <c r="FZ148" s="150"/>
      <c r="GA148" s="150"/>
      <c r="GB148" s="150"/>
      <c r="GC148" s="150"/>
      <c r="GD148" s="150"/>
      <c r="GE148" s="150"/>
      <c r="GF148" s="150"/>
      <c r="GG148" s="150"/>
      <c r="GH148" s="150"/>
      <c r="GI148" s="150"/>
      <c r="GJ148" s="150"/>
      <c r="GK148" s="150"/>
      <c r="GL148" s="150"/>
      <c r="GM148" s="150"/>
      <c r="GN148" s="150"/>
      <c r="GO148" s="150"/>
      <c r="GP148" s="150"/>
      <c r="GQ148" s="150"/>
      <c r="GR148" s="150"/>
      <c r="GS148" s="150"/>
      <c r="GT148" s="150"/>
      <c r="GU148" s="150"/>
      <c r="GV148" s="150"/>
      <c r="GW148" s="150"/>
      <c r="GX148" s="150"/>
      <c r="GY148" s="150"/>
      <c r="GZ148" s="150"/>
      <c r="HA148" s="150"/>
      <c r="HB148" s="150"/>
      <c r="HC148" s="150"/>
      <c r="HD148" s="150"/>
      <c r="HE148" s="150"/>
      <c r="HF148" s="150"/>
      <c r="HG148" s="150"/>
      <c r="HH148" s="150"/>
      <c r="HI148" s="150"/>
      <c r="HJ148" s="150"/>
      <c r="HK148" s="150"/>
      <c r="HL148" s="150"/>
      <c r="HM148" s="150"/>
      <c r="HN148" s="150"/>
      <c r="HO148" s="150"/>
      <c r="HP148" s="150"/>
      <c r="HQ148" s="150"/>
      <c r="HR148" s="150"/>
      <c r="HS148" s="150"/>
      <c r="HT148" s="150"/>
      <c r="HU148" s="150"/>
      <c r="HV148" s="150"/>
      <c r="HW148" s="150"/>
      <c r="HX148" s="150"/>
      <c r="HY148" s="150"/>
      <c r="HZ148" s="150"/>
      <c r="IA148" s="150"/>
      <c r="IB148" s="150"/>
      <c r="IC148" s="150"/>
      <c r="ID148" s="150"/>
      <c r="IE148" s="150"/>
      <c r="IF148" s="150"/>
      <c r="IG148" s="150"/>
      <c r="IH148" s="150"/>
      <c r="II148" s="150"/>
      <c r="IJ148" s="150"/>
      <c r="IK148" s="150"/>
      <c r="IL148" s="150"/>
      <c r="IM148" s="150"/>
      <c r="IN148" s="150"/>
      <c r="IO148" s="150"/>
      <c r="IP148" s="150"/>
      <c r="IQ148" s="150"/>
      <c r="IR148" s="150"/>
      <c r="IS148" s="150"/>
      <c r="IT148" s="150"/>
      <c r="IU148" s="150"/>
      <c r="IV148" s="150"/>
      <c r="IW148" s="150"/>
      <c r="IX148" s="150"/>
      <c r="IY148" s="150"/>
      <c r="IZ148" s="150"/>
      <c r="JA148" s="150"/>
      <c r="JB148" s="150"/>
      <c r="JC148" s="150"/>
      <c r="JD148" s="150"/>
      <c r="JE148" s="150"/>
      <c r="JF148" s="150"/>
      <c r="JG148" s="150"/>
      <c r="JH148" s="150"/>
      <c r="JI148" s="150"/>
      <c r="JJ148" s="150"/>
      <c r="JK148" s="150"/>
      <c r="JL148" s="150"/>
      <c r="JM148" s="150"/>
      <c r="JN148" s="150"/>
      <c r="JO148" s="150"/>
      <c r="JP148" s="150"/>
      <c r="JQ148" s="150"/>
      <c r="JR148" s="150"/>
      <c r="JS148" s="150"/>
      <c r="JT148" s="150"/>
      <c r="JU148" s="150"/>
      <c r="JV148" s="150"/>
      <c r="JW148" s="150"/>
      <c r="JX148" s="150"/>
      <c r="JY148" s="150"/>
      <c r="JZ148" s="150"/>
      <c r="KA148" s="150"/>
      <c r="KB148" s="150"/>
      <c r="KC148" s="150"/>
      <c r="KD148" s="150"/>
      <c r="KE148" s="150"/>
      <c r="KF148" s="150"/>
      <c r="KG148" s="150"/>
      <c r="KH148" s="150"/>
      <c r="KI148" s="150"/>
      <c r="KJ148" s="150"/>
      <c r="KK148" s="150"/>
      <c r="KL148" s="150"/>
      <c r="KM148" s="150"/>
      <c r="KN148" s="150"/>
      <c r="KO148" s="150"/>
      <c r="KP148" s="150"/>
      <c r="KQ148" s="150"/>
      <c r="KR148" s="150"/>
      <c r="KS148" s="150"/>
      <c r="KT148" s="150"/>
      <c r="KU148" s="150"/>
      <c r="KV148" s="150"/>
      <c r="KW148" s="150"/>
      <c r="KX148" s="150"/>
      <c r="KY148" s="150"/>
      <c r="KZ148" s="150"/>
      <c r="LA148" s="150"/>
      <c r="LB148" s="150"/>
      <c r="LC148" s="150"/>
      <c r="LD148" s="150"/>
      <c r="LE148" s="150"/>
      <c r="LF148" s="150"/>
      <c r="LG148" s="150"/>
      <c r="LH148" s="150"/>
      <c r="LI148" s="150"/>
      <c r="LJ148" s="150"/>
      <c r="LK148" s="150"/>
      <c r="LL148" s="150"/>
      <c r="LM148" s="150"/>
      <c r="LN148" s="150"/>
      <c r="LO148" s="150"/>
      <c r="LP148" s="150"/>
      <c r="LQ148" s="150"/>
      <c r="LR148" s="150"/>
      <c r="LS148" s="150"/>
      <c r="LT148" s="150"/>
      <c r="LU148" s="150"/>
      <c r="LV148" s="150"/>
      <c r="LW148" s="150"/>
      <c r="LX148" s="150"/>
      <c r="LY148" s="150"/>
      <c r="LZ148" s="150"/>
      <c r="MA148" s="150"/>
      <c r="MB148" s="150"/>
      <c r="MC148" s="150"/>
      <c r="MD148" s="150"/>
      <c r="ME148" s="150"/>
      <c r="MF148" s="150"/>
      <c r="MG148" s="150"/>
      <c r="MH148" s="150"/>
      <c r="MI148" s="150"/>
      <c r="MJ148" s="150"/>
      <c r="MK148" s="150"/>
      <c r="ML148" s="150"/>
      <c r="MM148" s="150"/>
      <c r="MN148" s="150"/>
      <c r="MO148" s="150"/>
      <c r="MP148" s="150"/>
      <c r="MQ148" s="150"/>
      <c r="MR148" s="150"/>
      <c r="MS148" s="150"/>
      <c r="MT148" s="150"/>
      <c r="MU148" s="150"/>
      <c r="MV148" s="150"/>
      <c r="MW148" s="150"/>
      <c r="MX148" s="150"/>
      <c r="MY148" s="150"/>
      <c r="MZ148" s="150"/>
      <c r="NA148" s="150"/>
      <c r="NB148" s="150"/>
      <c r="NC148" s="150"/>
      <c r="ND148" s="150"/>
      <c r="NE148" s="150"/>
      <c r="NF148" s="150"/>
      <c r="NG148" s="150"/>
      <c r="NH148" s="150"/>
      <c r="NI148" s="150"/>
      <c r="NJ148" s="150"/>
      <c r="NK148" s="150"/>
      <c r="NL148" s="150"/>
      <c r="NM148" s="150"/>
      <c r="NN148" s="150"/>
      <c r="NO148" s="150"/>
      <c r="NP148" s="150"/>
      <c r="NQ148" s="150"/>
      <c r="NR148" s="150"/>
      <c r="NS148" s="150"/>
      <c r="NT148" s="150"/>
      <c r="NU148" s="150"/>
      <c r="NV148" s="150"/>
      <c r="NW148" s="150"/>
      <c r="NX148" s="150"/>
      <c r="NY148" s="150"/>
      <c r="NZ148" s="150"/>
      <c r="OA148" s="150"/>
      <c r="OB148" s="150"/>
      <c r="OC148" s="150"/>
      <c r="OD148" s="150"/>
      <c r="OE148" s="150"/>
    </row>
    <row r="149" spans="1:395">
      <c r="A149" s="19"/>
      <c r="B149" s="17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  <c r="BI149" s="150"/>
      <c r="BJ149" s="150"/>
      <c r="BK149" s="150"/>
      <c r="BL149" s="150"/>
      <c r="BM149" s="150"/>
      <c r="BN149" s="150"/>
      <c r="BO149" s="150"/>
      <c r="BP149" s="150"/>
      <c r="BQ149" s="150"/>
      <c r="BR149" s="150"/>
      <c r="BS149" s="150"/>
      <c r="BT149" s="150"/>
      <c r="BU149" s="150"/>
      <c r="BV149" s="150"/>
      <c r="BW149" s="150"/>
      <c r="BX149" s="150"/>
      <c r="BY149" s="150"/>
      <c r="BZ149" s="150"/>
      <c r="CA149" s="150"/>
      <c r="CB149" s="150"/>
      <c r="CC149" s="150"/>
      <c r="CD149" s="150"/>
      <c r="CE149" s="150"/>
      <c r="CF149" s="150"/>
      <c r="CG149" s="150"/>
      <c r="CH149" s="150"/>
      <c r="CI149" s="150"/>
      <c r="CJ149" s="150"/>
      <c r="CK149" s="150"/>
      <c r="CL149" s="150"/>
      <c r="CM149" s="150"/>
      <c r="CN149" s="150"/>
      <c r="CO149" s="150"/>
      <c r="CP149" s="150"/>
      <c r="CQ149" s="150"/>
      <c r="CR149" s="150"/>
      <c r="CS149" s="150"/>
      <c r="CT149" s="150"/>
      <c r="CU149" s="150"/>
      <c r="CV149" s="150"/>
      <c r="CW149" s="150"/>
      <c r="CX149" s="150"/>
      <c r="CY149" s="150"/>
      <c r="CZ149" s="150"/>
      <c r="DA149" s="150"/>
      <c r="DB149" s="150"/>
      <c r="DC149" s="150"/>
      <c r="DD149" s="150"/>
      <c r="DE149" s="150"/>
      <c r="DF149" s="150"/>
      <c r="DG149" s="150"/>
      <c r="DH149" s="150"/>
      <c r="DI149" s="150"/>
      <c r="DJ149" s="150"/>
      <c r="DK149" s="150"/>
      <c r="DL149" s="150"/>
      <c r="DM149" s="150"/>
      <c r="DN149" s="150"/>
      <c r="DO149" s="150"/>
      <c r="DP149" s="150"/>
      <c r="DQ149" s="150"/>
      <c r="DR149" s="150"/>
      <c r="DS149" s="150"/>
      <c r="DT149" s="150"/>
      <c r="DU149" s="150"/>
      <c r="DV149" s="150"/>
      <c r="DW149" s="150"/>
      <c r="DX149" s="150"/>
      <c r="DY149" s="150"/>
      <c r="DZ149" s="150"/>
      <c r="EA149" s="150"/>
      <c r="EB149" s="150"/>
      <c r="EC149" s="150"/>
      <c r="ED149" s="150"/>
      <c r="EE149" s="150"/>
      <c r="EF149" s="150"/>
      <c r="EG149" s="150"/>
      <c r="EH149" s="150"/>
      <c r="EI149" s="150"/>
      <c r="EJ149" s="150"/>
      <c r="EK149" s="150"/>
      <c r="EL149" s="150"/>
      <c r="EM149" s="150"/>
      <c r="EN149" s="150"/>
      <c r="EO149" s="150"/>
      <c r="EP149" s="150"/>
      <c r="EQ149" s="150"/>
      <c r="ER149" s="150"/>
      <c r="ES149" s="150"/>
      <c r="ET149" s="150"/>
      <c r="EU149" s="150"/>
      <c r="EV149" s="150"/>
      <c r="EW149" s="150"/>
      <c r="EX149" s="150"/>
      <c r="EY149" s="150"/>
      <c r="EZ149" s="150"/>
      <c r="FA149" s="150"/>
      <c r="FB149" s="150"/>
      <c r="FC149" s="150"/>
      <c r="FD149" s="150"/>
      <c r="FE149" s="150"/>
      <c r="FF149" s="150"/>
      <c r="FG149" s="150"/>
      <c r="FH149" s="150"/>
      <c r="FI149" s="150"/>
      <c r="FJ149" s="150"/>
      <c r="FK149" s="150"/>
      <c r="FL149" s="150"/>
      <c r="FM149" s="150"/>
      <c r="FN149" s="150"/>
      <c r="FO149" s="150"/>
      <c r="FP149" s="150"/>
      <c r="FQ149" s="150"/>
      <c r="FR149" s="150"/>
      <c r="FS149" s="150"/>
      <c r="FT149" s="150"/>
      <c r="FU149" s="150"/>
      <c r="FV149" s="150"/>
      <c r="FW149" s="150"/>
      <c r="FX149" s="150"/>
      <c r="FY149" s="150"/>
      <c r="FZ149" s="150"/>
      <c r="GA149" s="150"/>
      <c r="GB149" s="150"/>
      <c r="GC149" s="150"/>
      <c r="GD149" s="150"/>
      <c r="GE149" s="150"/>
      <c r="GF149" s="150"/>
      <c r="GG149" s="150"/>
      <c r="GH149" s="150"/>
      <c r="GI149" s="150"/>
      <c r="GJ149" s="150"/>
      <c r="GK149" s="150"/>
      <c r="GL149" s="150"/>
      <c r="GM149" s="150"/>
      <c r="GN149" s="150"/>
      <c r="GO149" s="150"/>
      <c r="GP149" s="150"/>
      <c r="GQ149" s="150"/>
      <c r="GR149" s="150"/>
      <c r="GS149" s="150"/>
      <c r="GT149" s="150"/>
      <c r="GU149" s="150"/>
      <c r="GV149" s="150"/>
      <c r="GW149" s="150"/>
      <c r="GX149" s="150"/>
      <c r="GY149" s="150"/>
      <c r="GZ149" s="150"/>
      <c r="HA149" s="150"/>
      <c r="HB149" s="150"/>
      <c r="HC149" s="150"/>
      <c r="HD149" s="150"/>
      <c r="HE149" s="150"/>
      <c r="HF149" s="150"/>
      <c r="HG149" s="150"/>
      <c r="HH149" s="150"/>
      <c r="HI149" s="150"/>
      <c r="HJ149" s="150"/>
      <c r="HK149" s="150"/>
      <c r="HL149" s="150"/>
      <c r="HM149" s="150"/>
      <c r="HN149" s="150"/>
      <c r="HO149" s="150"/>
      <c r="HP149" s="150"/>
      <c r="HQ149" s="150"/>
      <c r="HR149" s="150"/>
      <c r="HS149" s="150"/>
      <c r="HT149" s="150"/>
      <c r="HU149" s="150"/>
      <c r="HV149" s="150"/>
      <c r="HW149" s="150"/>
      <c r="HX149" s="150"/>
      <c r="HY149" s="150"/>
      <c r="HZ149" s="150"/>
      <c r="IA149" s="150"/>
      <c r="IB149" s="150"/>
      <c r="IC149" s="150"/>
      <c r="ID149" s="150"/>
      <c r="IE149" s="150"/>
      <c r="IF149" s="150"/>
      <c r="IG149" s="150"/>
      <c r="IH149" s="150"/>
      <c r="II149" s="150"/>
      <c r="IJ149" s="150"/>
      <c r="IK149" s="150"/>
      <c r="IL149" s="150"/>
      <c r="IM149" s="150"/>
      <c r="IN149" s="150"/>
      <c r="IO149" s="150"/>
      <c r="IP149" s="150"/>
      <c r="IQ149" s="150"/>
      <c r="IR149" s="150"/>
      <c r="IS149" s="150"/>
      <c r="IT149" s="150"/>
      <c r="IU149" s="150"/>
      <c r="IV149" s="150"/>
      <c r="IW149" s="150"/>
      <c r="IX149" s="150"/>
      <c r="IY149" s="150"/>
      <c r="IZ149" s="150"/>
      <c r="JA149" s="150"/>
      <c r="JB149" s="150"/>
      <c r="JC149" s="150"/>
      <c r="JD149" s="150"/>
      <c r="JE149" s="150"/>
      <c r="JF149" s="150"/>
      <c r="JG149" s="150"/>
      <c r="JH149" s="150"/>
      <c r="JI149" s="150"/>
      <c r="JJ149" s="150"/>
      <c r="JK149" s="150"/>
      <c r="JL149" s="150"/>
      <c r="JM149" s="150"/>
      <c r="JN149" s="150"/>
      <c r="JO149" s="150"/>
      <c r="JP149" s="150"/>
      <c r="JQ149" s="150"/>
      <c r="JR149" s="150"/>
      <c r="JS149" s="150"/>
      <c r="JT149" s="150"/>
      <c r="JU149" s="150"/>
      <c r="JV149" s="150"/>
      <c r="JW149" s="150"/>
      <c r="JX149" s="150"/>
      <c r="JY149" s="150"/>
      <c r="JZ149" s="150"/>
      <c r="KA149" s="150"/>
      <c r="KB149" s="150"/>
      <c r="KC149" s="150"/>
      <c r="KD149" s="150"/>
      <c r="KE149" s="150"/>
      <c r="KF149" s="150"/>
      <c r="KG149" s="150"/>
      <c r="KH149" s="150"/>
      <c r="KI149" s="150"/>
      <c r="KJ149" s="150"/>
      <c r="KK149" s="150"/>
      <c r="KL149" s="150"/>
      <c r="KM149" s="150"/>
      <c r="KN149" s="150"/>
      <c r="KO149" s="150"/>
      <c r="KP149" s="150"/>
      <c r="KQ149" s="150"/>
      <c r="KR149" s="150"/>
      <c r="KS149" s="150"/>
      <c r="KT149" s="150"/>
      <c r="KU149" s="150"/>
      <c r="KV149" s="150"/>
      <c r="KW149" s="150"/>
      <c r="KX149" s="150"/>
      <c r="KY149" s="150"/>
      <c r="KZ149" s="150"/>
      <c r="LA149" s="150"/>
      <c r="LB149" s="150"/>
      <c r="LC149" s="150"/>
      <c r="LD149" s="150"/>
      <c r="LE149" s="150"/>
      <c r="LF149" s="150"/>
      <c r="LG149" s="150"/>
      <c r="LH149" s="150"/>
      <c r="LI149" s="150"/>
      <c r="LJ149" s="150"/>
      <c r="LK149" s="150"/>
      <c r="LL149" s="150"/>
      <c r="LM149" s="150"/>
      <c r="LN149" s="150"/>
      <c r="LO149" s="150"/>
      <c r="LP149" s="150"/>
      <c r="LQ149" s="150"/>
      <c r="LR149" s="150"/>
      <c r="LS149" s="150"/>
      <c r="LT149" s="150"/>
      <c r="LU149" s="150"/>
      <c r="LV149" s="150"/>
      <c r="LW149" s="150"/>
      <c r="LX149" s="150"/>
      <c r="LY149" s="150"/>
      <c r="LZ149" s="150"/>
      <c r="MA149" s="150"/>
      <c r="MB149" s="150"/>
      <c r="MC149" s="150"/>
      <c r="MD149" s="150"/>
      <c r="ME149" s="150"/>
      <c r="MF149" s="150"/>
      <c r="MG149" s="150"/>
      <c r="MH149" s="150"/>
      <c r="MI149" s="150"/>
      <c r="MJ149" s="150"/>
      <c r="MK149" s="150"/>
      <c r="ML149" s="150"/>
      <c r="MM149" s="150"/>
      <c r="MN149" s="150"/>
      <c r="MO149" s="150"/>
      <c r="MP149" s="150"/>
      <c r="MQ149" s="150"/>
      <c r="MR149" s="150"/>
      <c r="MS149" s="150"/>
      <c r="MT149" s="150"/>
      <c r="MU149" s="150"/>
      <c r="MV149" s="150"/>
      <c r="MW149" s="150"/>
      <c r="MX149" s="150"/>
      <c r="MY149" s="150"/>
      <c r="MZ149" s="150"/>
      <c r="NA149" s="150"/>
      <c r="NB149" s="150"/>
      <c r="NC149" s="150"/>
      <c r="ND149" s="150"/>
      <c r="NE149" s="150"/>
      <c r="NF149" s="150"/>
      <c r="NG149" s="150"/>
      <c r="NH149" s="150"/>
      <c r="NI149" s="150"/>
      <c r="NJ149" s="150"/>
      <c r="NK149" s="150"/>
      <c r="NL149" s="150"/>
      <c r="NM149" s="150"/>
      <c r="NN149" s="150"/>
      <c r="NO149" s="150"/>
      <c r="NP149" s="150"/>
      <c r="NQ149" s="150"/>
      <c r="NR149" s="150"/>
      <c r="NS149" s="150"/>
      <c r="NT149" s="150"/>
      <c r="NU149" s="150"/>
      <c r="NV149" s="150"/>
      <c r="NW149" s="150"/>
      <c r="NX149" s="150"/>
      <c r="NY149" s="150"/>
      <c r="NZ149" s="150"/>
      <c r="OA149" s="150"/>
      <c r="OB149" s="150"/>
      <c r="OC149" s="150"/>
      <c r="OD149" s="150"/>
      <c r="OE149" s="150"/>
    </row>
    <row r="150" spans="1:395">
      <c r="A150" s="19"/>
      <c r="B150" s="17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  <c r="BI150" s="150"/>
      <c r="BJ150" s="150"/>
      <c r="BK150" s="150"/>
      <c r="BL150" s="150"/>
      <c r="BM150" s="150"/>
      <c r="BN150" s="150"/>
      <c r="BO150" s="150"/>
      <c r="BP150" s="150"/>
      <c r="BQ150" s="150"/>
      <c r="BR150" s="150"/>
      <c r="BS150" s="150"/>
      <c r="BT150" s="150"/>
      <c r="BU150" s="150"/>
      <c r="BV150" s="150"/>
      <c r="BW150" s="150"/>
      <c r="BX150" s="150"/>
      <c r="BY150" s="150"/>
      <c r="BZ150" s="150"/>
      <c r="CA150" s="150"/>
      <c r="CB150" s="150"/>
      <c r="CC150" s="150"/>
      <c r="CD150" s="150"/>
      <c r="CE150" s="150"/>
      <c r="CF150" s="150"/>
      <c r="CG150" s="150"/>
      <c r="CH150" s="150"/>
      <c r="CI150" s="150"/>
      <c r="CJ150" s="150"/>
      <c r="CK150" s="150"/>
      <c r="CL150" s="150"/>
      <c r="CM150" s="150"/>
      <c r="CN150" s="150"/>
      <c r="CO150" s="150"/>
      <c r="CP150" s="150"/>
      <c r="CQ150" s="150"/>
      <c r="CR150" s="150"/>
      <c r="CS150" s="150"/>
      <c r="CT150" s="150"/>
      <c r="CU150" s="150"/>
      <c r="CV150" s="150"/>
      <c r="CW150" s="150"/>
      <c r="CX150" s="150"/>
      <c r="CY150" s="150"/>
      <c r="CZ150" s="150"/>
      <c r="DA150" s="150"/>
      <c r="DB150" s="150"/>
      <c r="DC150" s="150"/>
      <c r="DD150" s="150"/>
      <c r="DE150" s="150"/>
      <c r="DF150" s="150"/>
      <c r="DG150" s="150"/>
      <c r="DH150" s="150"/>
      <c r="DI150" s="150"/>
      <c r="DJ150" s="150"/>
      <c r="DK150" s="150"/>
      <c r="DL150" s="150"/>
      <c r="DM150" s="150"/>
      <c r="DN150" s="150"/>
      <c r="DO150" s="150"/>
      <c r="DP150" s="150"/>
      <c r="DQ150" s="150"/>
      <c r="DR150" s="150"/>
      <c r="DS150" s="150"/>
      <c r="DT150" s="150"/>
      <c r="DU150" s="150"/>
      <c r="DV150" s="150"/>
      <c r="DW150" s="150"/>
      <c r="DX150" s="150"/>
      <c r="DY150" s="150"/>
      <c r="DZ150" s="150"/>
      <c r="EA150" s="150"/>
      <c r="EB150" s="150"/>
      <c r="EC150" s="150"/>
      <c r="ED150" s="150"/>
      <c r="EE150" s="150"/>
      <c r="EF150" s="150"/>
      <c r="EG150" s="150"/>
      <c r="EH150" s="150"/>
      <c r="EI150" s="150"/>
      <c r="EJ150" s="150"/>
      <c r="EK150" s="150"/>
      <c r="EL150" s="150"/>
      <c r="EM150" s="150"/>
      <c r="EN150" s="150"/>
      <c r="EO150" s="150"/>
      <c r="EP150" s="150"/>
      <c r="EQ150" s="150"/>
      <c r="ER150" s="150"/>
      <c r="ES150" s="150"/>
      <c r="ET150" s="150"/>
      <c r="EU150" s="150"/>
      <c r="EV150" s="150"/>
      <c r="EW150" s="150"/>
      <c r="EX150" s="150"/>
      <c r="EY150" s="150"/>
      <c r="EZ150" s="150"/>
      <c r="FA150" s="150"/>
      <c r="FB150" s="150"/>
      <c r="FC150" s="150"/>
      <c r="FD150" s="150"/>
      <c r="FE150" s="150"/>
      <c r="FF150" s="150"/>
      <c r="FG150" s="150"/>
      <c r="FH150" s="150"/>
      <c r="FI150" s="150"/>
      <c r="FJ150" s="150"/>
      <c r="FK150" s="150"/>
      <c r="FL150" s="150"/>
      <c r="FM150" s="150"/>
      <c r="FN150" s="150"/>
      <c r="FO150" s="150"/>
      <c r="FP150" s="150"/>
      <c r="FQ150" s="150"/>
      <c r="FR150" s="150"/>
      <c r="FS150" s="150"/>
      <c r="FT150" s="150"/>
      <c r="FU150" s="150"/>
      <c r="FV150" s="150"/>
      <c r="FW150" s="150"/>
      <c r="FX150" s="150"/>
      <c r="FY150" s="150"/>
      <c r="FZ150" s="150"/>
      <c r="GA150" s="150"/>
      <c r="GB150" s="150"/>
      <c r="GC150" s="150"/>
      <c r="GD150" s="150"/>
      <c r="GE150" s="150"/>
      <c r="GF150" s="150"/>
      <c r="GG150" s="150"/>
      <c r="GH150" s="150"/>
      <c r="GI150" s="150"/>
      <c r="GJ150" s="150"/>
      <c r="GK150" s="150"/>
      <c r="GL150" s="150"/>
      <c r="GM150" s="150"/>
      <c r="GN150" s="150"/>
      <c r="GO150" s="150"/>
      <c r="GP150" s="150"/>
      <c r="GQ150" s="150"/>
      <c r="GR150" s="150"/>
      <c r="GS150" s="150"/>
      <c r="GT150" s="150"/>
      <c r="GU150" s="150"/>
      <c r="GV150" s="150"/>
      <c r="GW150" s="150"/>
      <c r="GX150" s="150"/>
      <c r="GY150" s="150"/>
      <c r="GZ150" s="150"/>
      <c r="HA150" s="150"/>
      <c r="HB150" s="150"/>
      <c r="HC150" s="150"/>
      <c r="HD150" s="150"/>
      <c r="HE150" s="150"/>
      <c r="HF150" s="150"/>
      <c r="HG150" s="150"/>
      <c r="HH150" s="150"/>
      <c r="HI150" s="150"/>
      <c r="HJ150" s="150"/>
      <c r="HK150" s="150"/>
      <c r="HL150" s="150"/>
      <c r="HM150" s="150"/>
      <c r="HN150" s="150"/>
      <c r="HO150" s="150"/>
      <c r="HP150" s="150"/>
      <c r="HQ150" s="150"/>
      <c r="HR150" s="150"/>
      <c r="HS150" s="150"/>
      <c r="HT150" s="150"/>
      <c r="HU150" s="150"/>
      <c r="HV150" s="150"/>
      <c r="HW150" s="150"/>
      <c r="HX150" s="150"/>
      <c r="HY150" s="150"/>
      <c r="HZ150" s="150"/>
      <c r="IA150" s="150"/>
      <c r="IB150" s="150"/>
      <c r="IC150" s="150"/>
      <c r="ID150" s="150"/>
      <c r="IE150" s="150"/>
      <c r="IF150" s="150"/>
      <c r="IG150" s="150"/>
      <c r="IH150" s="150"/>
      <c r="II150" s="150"/>
      <c r="IJ150" s="150"/>
      <c r="IK150" s="150"/>
      <c r="IL150" s="150"/>
      <c r="IM150" s="150"/>
      <c r="IN150" s="150"/>
      <c r="IO150" s="150"/>
      <c r="IP150" s="150"/>
      <c r="IQ150" s="150"/>
      <c r="IR150" s="150"/>
      <c r="IS150" s="150"/>
      <c r="IT150" s="150"/>
      <c r="IU150" s="150"/>
      <c r="IV150" s="150"/>
      <c r="IW150" s="150"/>
      <c r="IX150" s="150"/>
      <c r="IY150" s="150"/>
      <c r="IZ150" s="150"/>
      <c r="JA150" s="150"/>
      <c r="JB150" s="150"/>
      <c r="JC150" s="150"/>
      <c r="JD150" s="150"/>
      <c r="JE150" s="150"/>
      <c r="JF150" s="150"/>
      <c r="JG150" s="150"/>
      <c r="JH150" s="150"/>
      <c r="JI150" s="150"/>
      <c r="JJ150" s="150"/>
      <c r="JK150" s="150"/>
      <c r="JL150" s="150"/>
      <c r="JM150" s="150"/>
      <c r="JN150" s="150"/>
      <c r="JO150" s="150"/>
      <c r="JP150" s="150"/>
      <c r="JQ150" s="150"/>
      <c r="JR150" s="150"/>
      <c r="JS150" s="150"/>
      <c r="JT150" s="150"/>
      <c r="JU150" s="150"/>
      <c r="JV150" s="150"/>
      <c r="JW150" s="150"/>
      <c r="JX150" s="150"/>
      <c r="JY150" s="150"/>
      <c r="JZ150" s="150"/>
      <c r="KA150" s="150"/>
      <c r="KB150" s="150"/>
      <c r="KC150" s="150"/>
      <c r="KD150" s="150"/>
      <c r="KE150" s="150"/>
      <c r="KF150" s="150"/>
      <c r="KG150" s="150"/>
      <c r="KH150" s="150"/>
      <c r="KI150" s="150"/>
      <c r="KJ150" s="150"/>
      <c r="KK150" s="150"/>
      <c r="KL150" s="150"/>
      <c r="KM150" s="150"/>
      <c r="KN150" s="150"/>
      <c r="KO150" s="150"/>
      <c r="KP150" s="150"/>
      <c r="KQ150" s="150"/>
      <c r="KR150" s="150"/>
      <c r="KS150" s="150"/>
      <c r="KT150" s="150"/>
      <c r="KU150" s="150"/>
      <c r="KV150" s="150"/>
      <c r="KW150" s="150"/>
      <c r="KX150" s="150"/>
      <c r="KY150" s="150"/>
      <c r="KZ150" s="150"/>
      <c r="LA150" s="150"/>
      <c r="LB150" s="150"/>
      <c r="LC150" s="150"/>
      <c r="LD150" s="150"/>
      <c r="LE150" s="150"/>
      <c r="LF150" s="150"/>
      <c r="LG150" s="150"/>
      <c r="LH150" s="150"/>
      <c r="LI150" s="150"/>
      <c r="LJ150" s="150"/>
      <c r="LK150" s="150"/>
      <c r="LL150" s="150"/>
      <c r="LM150" s="150"/>
      <c r="LN150" s="150"/>
      <c r="LO150" s="150"/>
      <c r="LP150" s="150"/>
      <c r="LQ150" s="150"/>
      <c r="LR150" s="150"/>
      <c r="LS150" s="150"/>
      <c r="LT150" s="150"/>
      <c r="LU150" s="150"/>
      <c r="LV150" s="150"/>
      <c r="LW150" s="150"/>
      <c r="LX150" s="150"/>
      <c r="LY150" s="150"/>
      <c r="LZ150" s="150"/>
      <c r="MA150" s="150"/>
      <c r="MB150" s="150"/>
      <c r="MC150" s="150"/>
      <c r="MD150" s="150"/>
      <c r="ME150" s="150"/>
      <c r="MF150" s="150"/>
      <c r="MG150" s="150"/>
      <c r="MH150" s="150"/>
      <c r="MI150" s="150"/>
      <c r="MJ150" s="150"/>
      <c r="MK150" s="150"/>
      <c r="ML150" s="150"/>
      <c r="MM150" s="150"/>
      <c r="MN150" s="150"/>
      <c r="MO150" s="150"/>
      <c r="MP150" s="150"/>
      <c r="MQ150" s="150"/>
      <c r="MR150" s="150"/>
      <c r="MS150" s="150"/>
      <c r="MT150" s="150"/>
      <c r="MU150" s="150"/>
      <c r="MV150" s="150"/>
      <c r="MW150" s="150"/>
      <c r="MX150" s="150"/>
      <c r="MY150" s="150"/>
      <c r="MZ150" s="150"/>
      <c r="NA150" s="150"/>
      <c r="NB150" s="150"/>
      <c r="NC150" s="150"/>
      <c r="ND150" s="150"/>
      <c r="NE150" s="150"/>
      <c r="NF150" s="150"/>
      <c r="NG150" s="150"/>
      <c r="NH150" s="150"/>
      <c r="NI150" s="150"/>
      <c r="NJ150" s="150"/>
      <c r="NK150" s="150"/>
      <c r="NL150" s="150"/>
      <c r="NM150" s="150"/>
      <c r="NN150" s="150"/>
      <c r="NO150" s="150"/>
      <c r="NP150" s="150"/>
      <c r="NQ150" s="150"/>
      <c r="NR150" s="150"/>
      <c r="NS150" s="150"/>
      <c r="NT150" s="150"/>
      <c r="NU150" s="150"/>
      <c r="NV150" s="150"/>
      <c r="NW150" s="150"/>
      <c r="NX150" s="150"/>
      <c r="NY150" s="150"/>
      <c r="NZ150" s="150"/>
      <c r="OA150" s="150"/>
      <c r="OB150" s="150"/>
      <c r="OC150" s="150"/>
      <c r="OD150" s="150"/>
      <c r="OE150" s="150"/>
    </row>
    <row r="151" spans="1:395">
      <c r="A151" s="19"/>
      <c r="B151" s="17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  <c r="BI151" s="150"/>
      <c r="BJ151" s="150"/>
      <c r="BK151" s="150"/>
      <c r="BL151" s="150"/>
      <c r="BM151" s="150"/>
      <c r="BN151" s="150"/>
      <c r="BO151" s="150"/>
      <c r="BP151" s="150"/>
      <c r="BQ151" s="150"/>
      <c r="BR151" s="150"/>
      <c r="BS151" s="150"/>
      <c r="BT151" s="150"/>
      <c r="BU151" s="150"/>
      <c r="BV151" s="150"/>
      <c r="BW151" s="150"/>
      <c r="BX151" s="150"/>
      <c r="BY151" s="150"/>
      <c r="BZ151" s="150"/>
      <c r="CA151" s="150"/>
      <c r="CB151" s="150"/>
      <c r="CC151" s="150"/>
      <c r="CD151" s="150"/>
      <c r="CE151" s="150"/>
      <c r="CF151" s="150"/>
      <c r="CG151" s="150"/>
      <c r="CH151" s="150"/>
      <c r="CI151" s="150"/>
      <c r="CJ151" s="150"/>
      <c r="CK151" s="150"/>
      <c r="CL151" s="150"/>
      <c r="CM151" s="150"/>
      <c r="CN151" s="150"/>
      <c r="CO151" s="150"/>
      <c r="CP151" s="150"/>
      <c r="CQ151" s="150"/>
      <c r="CR151" s="150"/>
      <c r="CS151" s="150"/>
      <c r="CT151" s="150"/>
      <c r="CU151" s="150"/>
      <c r="CV151" s="150"/>
      <c r="CW151" s="150"/>
      <c r="CX151" s="150"/>
      <c r="CY151" s="150"/>
      <c r="CZ151" s="150"/>
      <c r="DA151" s="150"/>
      <c r="DB151" s="150"/>
      <c r="DC151" s="150"/>
      <c r="DD151" s="150"/>
      <c r="DE151" s="150"/>
      <c r="DF151" s="150"/>
      <c r="DG151" s="150"/>
      <c r="DH151" s="150"/>
      <c r="DI151" s="150"/>
      <c r="DJ151" s="150"/>
      <c r="DK151" s="150"/>
      <c r="DL151" s="150"/>
      <c r="DM151" s="150"/>
      <c r="DN151" s="150"/>
      <c r="DO151" s="150"/>
      <c r="DP151" s="150"/>
      <c r="DQ151" s="150"/>
      <c r="DR151" s="150"/>
      <c r="DS151" s="150"/>
      <c r="DT151" s="150"/>
      <c r="DU151" s="150"/>
      <c r="DV151" s="150"/>
      <c r="DW151" s="150"/>
      <c r="DX151" s="150"/>
      <c r="DY151" s="150"/>
      <c r="DZ151" s="150"/>
      <c r="EA151" s="150"/>
      <c r="EB151" s="150"/>
      <c r="EC151" s="150"/>
      <c r="ED151" s="150"/>
      <c r="EE151" s="150"/>
      <c r="EF151" s="150"/>
      <c r="EG151" s="150"/>
      <c r="EH151" s="150"/>
      <c r="EI151" s="150"/>
      <c r="EJ151" s="150"/>
      <c r="EK151" s="150"/>
      <c r="EL151" s="150"/>
      <c r="EM151" s="150"/>
      <c r="EN151" s="150"/>
      <c r="EO151" s="150"/>
      <c r="EP151" s="150"/>
      <c r="EQ151" s="150"/>
      <c r="ER151" s="150"/>
      <c r="ES151" s="150"/>
      <c r="ET151" s="150"/>
      <c r="EU151" s="150"/>
      <c r="EV151" s="150"/>
      <c r="EW151" s="150"/>
      <c r="EX151" s="150"/>
      <c r="EY151" s="150"/>
      <c r="EZ151" s="150"/>
      <c r="FA151" s="150"/>
      <c r="FB151" s="150"/>
      <c r="FC151" s="150"/>
      <c r="FD151" s="150"/>
      <c r="FE151" s="150"/>
      <c r="FF151" s="150"/>
      <c r="FG151" s="150"/>
      <c r="FH151" s="150"/>
      <c r="FI151" s="150"/>
      <c r="FJ151" s="150"/>
      <c r="FK151" s="150"/>
      <c r="FL151" s="150"/>
      <c r="FM151" s="150"/>
      <c r="FN151" s="150"/>
      <c r="FO151" s="150"/>
      <c r="FP151" s="150"/>
      <c r="FQ151" s="150"/>
      <c r="FR151" s="150"/>
      <c r="FS151" s="150"/>
      <c r="FT151" s="150"/>
      <c r="FU151" s="150"/>
      <c r="FV151" s="150"/>
      <c r="FW151" s="150"/>
      <c r="FX151" s="150"/>
      <c r="FY151" s="150"/>
      <c r="FZ151" s="150"/>
      <c r="GA151" s="150"/>
      <c r="GB151" s="150"/>
      <c r="GC151" s="150"/>
      <c r="GD151" s="150"/>
      <c r="GE151" s="150"/>
      <c r="GF151" s="150"/>
      <c r="GG151" s="150"/>
      <c r="GH151" s="150"/>
      <c r="GI151" s="150"/>
      <c r="GJ151" s="150"/>
      <c r="GK151" s="150"/>
      <c r="GL151" s="150"/>
      <c r="GM151" s="150"/>
      <c r="GN151" s="150"/>
      <c r="GO151" s="150"/>
      <c r="GP151" s="150"/>
      <c r="GQ151" s="150"/>
      <c r="GR151" s="150"/>
      <c r="GS151" s="150"/>
      <c r="GT151" s="150"/>
      <c r="GU151" s="150"/>
      <c r="GV151" s="150"/>
      <c r="GW151" s="150"/>
      <c r="GX151" s="150"/>
      <c r="GY151" s="150"/>
      <c r="GZ151" s="150"/>
      <c r="HA151" s="150"/>
      <c r="HB151" s="150"/>
      <c r="HC151" s="150"/>
      <c r="HD151" s="150"/>
      <c r="HE151" s="150"/>
      <c r="HF151" s="150"/>
      <c r="HG151" s="150"/>
      <c r="HH151" s="150"/>
      <c r="HI151" s="150"/>
      <c r="HJ151" s="150"/>
      <c r="HK151" s="150"/>
      <c r="HL151" s="150"/>
      <c r="HM151" s="150"/>
      <c r="HN151" s="150"/>
      <c r="HO151" s="150"/>
      <c r="HP151" s="150"/>
      <c r="HQ151" s="150"/>
      <c r="HR151" s="150"/>
      <c r="HS151" s="150"/>
      <c r="HT151" s="150"/>
      <c r="HU151" s="150"/>
      <c r="HV151" s="150"/>
      <c r="HW151" s="150"/>
      <c r="HX151" s="150"/>
      <c r="HY151" s="150"/>
      <c r="HZ151" s="150"/>
      <c r="IA151" s="150"/>
      <c r="IB151" s="150"/>
      <c r="IC151" s="150"/>
      <c r="ID151" s="150"/>
      <c r="IE151" s="150"/>
      <c r="IF151" s="150"/>
      <c r="IG151" s="150"/>
      <c r="IH151" s="150"/>
      <c r="II151" s="150"/>
      <c r="IJ151" s="150"/>
      <c r="IK151" s="150"/>
      <c r="IL151" s="150"/>
      <c r="IM151" s="150"/>
      <c r="IN151" s="150"/>
      <c r="IO151" s="150"/>
      <c r="IP151" s="150"/>
      <c r="IQ151" s="150"/>
      <c r="IR151" s="150"/>
      <c r="IS151" s="150"/>
      <c r="IT151" s="150"/>
      <c r="IU151" s="150"/>
      <c r="IV151" s="150"/>
      <c r="IW151" s="150"/>
      <c r="IX151" s="150"/>
      <c r="IY151" s="150"/>
      <c r="IZ151" s="150"/>
      <c r="JA151" s="150"/>
      <c r="JB151" s="150"/>
      <c r="JC151" s="150"/>
      <c r="JD151" s="150"/>
      <c r="JE151" s="150"/>
      <c r="JF151" s="150"/>
      <c r="JG151" s="150"/>
      <c r="JH151" s="150"/>
      <c r="JI151" s="150"/>
      <c r="JJ151" s="150"/>
      <c r="JK151" s="150"/>
      <c r="JL151" s="150"/>
      <c r="JM151" s="150"/>
      <c r="JN151" s="150"/>
      <c r="JO151" s="150"/>
      <c r="JP151" s="150"/>
      <c r="JQ151" s="150"/>
      <c r="JR151" s="150"/>
      <c r="JS151" s="150"/>
      <c r="JT151" s="150"/>
      <c r="JU151" s="150"/>
      <c r="JV151" s="150"/>
      <c r="JW151" s="150"/>
      <c r="JX151" s="150"/>
      <c r="JY151" s="150"/>
      <c r="JZ151" s="150"/>
      <c r="KA151" s="150"/>
      <c r="KB151" s="150"/>
      <c r="KC151" s="150"/>
      <c r="KD151" s="150"/>
      <c r="KE151" s="150"/>
      <c r="KF151" s="150"/>
      <c r="KG151" s="150"/>
      <c r="KH151" s="150"/>
      <c r="KI151" s="150"/>
      <c r="KJ151" s="150"/>
      <c r="KK151" s="150"/>
      <c r="KL151" s="150"/>
      <c r="KM151" s="150"/>
      <c r="KN151" s="150"/>
      <c r="KO151" s="150"/>
      <c r="KP151" s="150"/>
      <c r="KQ151" s="150"/>
      <c r="KR151" s="150"/>
      <c r="KS151" s="150"/>
      <c r="KT151" s="150"/>
      <c r="KU151" s="150"/>
      <c r="KV151" s="150"/>
      <c r="KW151" s="150"/>
      <c r="KX151" s="150"/>
      <c r="KY151" s="150"/>
      <c r="KZ151" s="150"/>
      <c r="LA151" s="150"/>
      <c r="LB151" s="150"/>
      <c r="LC151" s="150"/>
      <c r="LD151" s="150"/>
      <c r="LE151" s="150"/>
      <c r="LF151" s="150"/>
      <c r="LG151" s="150"/>
      <c r="LH151" s="150"/>
      <c r="LI151" s="150"/>
      <c r="LJ151" s="150"/>
      <c r="LK151" s="150"/>
      <c r="LL151" s="150"/>
      <c r="LM151" s="150"/>
      <c r="LN151" s="150"/>
      <c r="LO151" s="150"/>
      <c r="LP151" s="150"/>
      <c r="LQ151" s="150"/>
      <c r="LR151" s="150"/>
      <c r="LS151" s="150"/>
      <c r="LT151" s="150"/>
      <c r="LU151" s="150"/>
      <c r="LV151" s="150"/>
      <c r="LW151" s="150"/>
      <c r="LX151" s="150"/>
      <c r="LY151" s="150"/>
      <c r="LZ151" s="150"/>
      <c r="MA151" s="150"/>
      <c r="MB151" s="150"/>
      <c r="MC151" s="150"/>
      <c r="MD151" s="150"/>
      <c r="ME151" s="150"/>
      <c r="MF151" s="150"/>
      <c r="MG151" s="150"/>
      <c r="MH151" s="150"/>
      <c r="MI151" s="150"/>
      <c r="MJ151" s="150"/>
      <c r="MK151" s="150"/>
      <c r="ML151" s="150"/>
      <c r="MM151" s="150"/>
      <c r="MN151" s="150"/>
      <c r="MO151" s="150"/>
      <c r="MP151" s="150"/>
      <c r="MQ151" s="150"/>
      <c r="MR151" s="150"/>
      <c r="MS151" s="150"/>
      <c r="MT151" s="150"/>
      <c r="MU151" s="150"/>
      <c r="MV151" s="150"/>
      <c r="MW151" s="150"/>
      <c r="MX151" s="150"/>
      <c r="MY151" s="150"/>
      <c r="MZ151" s="150"/>
      <c r="NA151" s="150"/>
      <c r="NB151" s="150"/>
      <c r="NC151" s="150"/>
      <c r="ND151" s="150"/>
      <c r="NE151" s="150"/>
      <c r="NF151" s="150"/>
      <c r="NG151" s="150"/>
      <c r="NH151" s="150"/>
      <c r="NI151" s="150"/>
      <c r="NJ151" s="150"/>
      <c r="NK151" s="150"/>
      <c r="NL151" s="150"/>
      <c r="NM151" s="150"/>
      <c r="NN151" s="150"/>
      <c r="NO151" s="150"/>
      <c r="NP151" s="150"/>
      <c r="NQ151" s="150"/>
      <c r="NR151" s="150"/>
      <c r="NS151" s="150"/>
      <c r="NT151" s="150"/>
      <c r="NU151" s="150"/>
      <c r="NV151" s="150"/>
      <c r="NW151" s="150"/>
      <c r="NX151" s="150"/>
      <c r="NY151" s="150"/>
      <c r="NZ151" s="150"/>
      <c r="OA151" s="150"/>
      <c r="OB151" s="150"/>
      <c r="OC151" s="150"/>
      <c r="OD151" s="150"/>
      <c r="OE151" s="150"/>
    </row>
    <row r="152" spans="1:395">
      <c r="A152" s="19"/>
      <c r="B152" s="17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  <c r="BI152" s="150"/>
      <c r="BJ152" s="150"/>
      <c r="BK152" s="150"/>
      <c r="BL152" s="150"/>
      <c r="BM152" s="150"/>
      <c r="BN152" s="150"/>
      <c r="BO152" s="150"/>
      <c r="BP152" s="150"/>
      <c r="BQ152" s="150"/>
      <c r="BR152" s="150"/>
      <c r="BS152" s="150"/>
      <c r="BT152" s="150"/>
      <c r="BU152" s="150"/>
      <c r="BV152" s="150"/>
      <c r="BW152" s="150"/>
      <c r="BX152" s="150"/>
      <c r="BY152" s="150"/>
      <c r="BZ152" s="150"/>
      <c r="CA152" s="150"/>
      <c r="CB152" s="150"/>
      <c r="CC152" s="150"/>
      <c r="CD152" s="150"/>
      <c r="CE152" s="150"/>
      <c r="CF152" s="150"/>
      <c r="CG152" s="150"/>
      <c r="CH152" s="150"/>
      <c r="CI152" s="150"/>
      <c r="CJ152" s="150"/>
      <c r="CK152" s="150"/>
      <c r="CL152" s="150"/>
      <c r="CM152" s="150"/>
      <c r="CN152" s="150"/>
      <c r="CO152" s="150"/>
      <c r="CP152" s="150"/>
      <c r="CQ152" s="150"/>
      <c r="CR152" s="150"/>
      <c r="CS152" s="150"/>
      <c r="CT152" s="150"/>
      <c r="CU152" s="150"/>
      <c r="CV152" s="150"/>
      <c r="CW152" s="150"/>
      <c r="CX152" s="150"/>
      <c r="CY152" s="150"/>
      <c r="CZ152" s="150"/>
      <c r="DA152" s="150"/>
      <c r="DB152" s="150"/>
      <c r="DC152" s="150"/>
      <c r="DD152" s="150"/>
      <c r="DE152" s="150"/>
      <c r="DF152" s="150"/>
      <c r="DG152" s="150"/>
      <c r="DH152" s="150"/>
      <c r="DI152" s="150"/>
      <c r="DJ152" s="150"/>
      <c r="DK152" s="150"/>
      <c r="DL152" s="150"/>
      <c r="DM152" s="150"/>
      <c r="DN152" s="150"/>
      <c r="DO152" s="150"/>
      <c r="DP152" s="150"/>
      <c r="DQ152" s="150"/>
      <c r="DR152" s="150"/>
      <c r="DS152" s="150"/>
      <c r="DT152" s="150"/>
      <c r="DU152" s="150"/>
      <c r="DV152" s="150"/>
      <c r="DW152" s="150"/>
      <c r="DX152" s="150"/>
      <c r="DY152" s="150"/>
      <c r="DZ152" s="150"/>
      <c r="EA152" s="150"/>
      <c r="EB152" s="150"/>
      <c r="EC152" s="150"/>
      <c r="ED152" s="150"/>
      <c r="EE152" s="150"/>
      <c r="EF152" s="150"/>
      <c r="EG152" s="150"/>
      <c r="EH152" s="150"/>
      <c r="EI152" s="150"/>
      <c r="EJ152" s="150"/>
      <c r="EK152" s="150"/>
      <c r="EL152" s="150"/>
      <c r="EM152" s="150"/>
      <c r="EN152" s="150"/>
      <c r="EO152" s="150"/>
      <c r="EP152" s="150"/>
      <c r="EQ152" s="150"/>
      <c r="ER152" s="150"/>
      <c r="ES152" s="150"/>
      <c r="ET152" s="150"/>
      <c r="EU152" s="150"/>
      <c r="EV152" s="150"/>
      <c r="EW152" s="150"/>
      <c r="EX152" s="150"/>
      <c r="EY152" s="150"/>
      <c r="EZ152" s="150"/>
      <c r="FA152" s="150"/>
      <c r="FB152" s="150"/>
      <c r="FC152" s="150"/>
      <c r="FD152" s="150"/>
      <c r="FE152" s="150"/>
      <c r="FF152" s="150"/>
      <c r="FG152" s="150"/>
      <c r="FH152" s="150"/>
      <c r="FI152" s="150"/>
      <c r="FJ152" s="150"/>
      <c r="FK152" s="150"/>
      <c r="FL152" s="150"/>
      <c r="FM152" s="150"/>
      <c r="FN152" s="150"/>
      <c r="FO152" s="150"/>
      <c r="FP152" s="150"/>
      <c r="FQ152" s="150"/>
      <c r="FR152" s="150"/>
      <c r="FS152" s="150"/>
      <c r="FT152" s="150"/>
      <c r="FU152" s="150"/>
      <c r="FV152" s="150"/>
      <c r="FW152" s="150"/>
      <c r="FX152" s="150"/>
      <c r="FY152" s="150"/>
      <c r="FZ152" s="150"/>
      <c r="GA152" s="150"/>
      <c r="GB152" s="150"/>
      <c r="GC152" s="150"/>
      <c r="GD152" s="150"/>
      <c r="GE152" s="150"/>
      <c r="GF152" s="150"/>
      <c r="GG152" s="150"/>
      <c r="GH152" s="150"/>
      <c r="GI152" s="150"/>
      <c r="GJ152" s="150"/>
      <c r="GK152" s="150"/>
      <c r="GL152" s="150"/>
      <c r="GM152" s="150"/>
      <c r="GN152" s="150"/>
      <c r="GO152" s="150"/>
      <c r="GP152" s="150"/>
      <c r="GQ152" s="150"/>
      <c r="GR152" s="150"/>
      <c r="GS152" s="150"/>
      <c r="GT152" s="150"/>
      <c r="GU152" s="150"/>
      <c r="GV152" s="150"/>
      <c r="GW152" s="150"/>
      <c r="GX152" s="150"/>
      <c r="GY152" s="150"/>
      <c r="GZ152" s="150"/>
      <c r="HA152" s="150"/>
      <c r="HB152" s="150"/>
      <c r="HC152" s="150"/>
      <c r="HD152" s="150"/>
      <c r="HE152" s="150"/>
      <c r="HF152" s="150"/>
      <c r="HG152" s="150"/>
      <c r="HH152" s="150"/>
      <c r="HI152" s="150"/>
      <c r="HJ152" s="150"/>
      <c r="HK152" s="150"/>
      <c r="HL152" s="150"/>
      <c r="HM152" s="150"/>
      <c r="HN152" s="150"/>
      <c r="HO152" s="150"/>
      <c r="HP152" s="150"/>
      <c r="HQ152" s="150"/>
      <c r="HR152" s="150"/>
      <c r="HS152" s="150"/>
      <c r="HT152" s="150"/>
      <c r="HU152" s="150"/>
      <c r="HV152" s="150"/>
      <c r="HW152" s="150"/>
      <c r="HX152" s="150"/>
      <c r="HY152" s="150"/>
      <c r="HZ152" s="150"/>
      <c r="IA152" s="150"/>
      <c r="IB152" s="150"/>
      <c r="IC152" s="150"/>
      <c r="ID152" s="150"/>
      <c r="IE152" s="150"/>
      <c r="IF152" s="150"/>
      <c r="IG152" s="150"/>
      <c r="IH152" s="150"/>
      <c r="II152" s="150"/>
      <c r="IJ152" s="150"/>
      <c r="IK152" s="150"/>
      <c r="IL152" s="150"/>
      <c r="IM152" s="150"/>
      <c r="IN152" s="150"/>
      <c r="IO152" s="150"/>
      <c r="IP152" s="150"/>
      <c r="IQ152" s="150"/>
      <c r="IR152" s="150"/>
      <c r="IS152" s="150"/>
      <c r="IT152" s="150"/>
      <c r="IU152" s="150"/>
      <c r="IV152" s="150"/>
      <c r="IW152" s="150"/>
      <c r="IX152" s="150"/>
      <c r="IY152" s="150"/>
      <c r="IZ152" s="150"/>
      <c r="JA152" s="150"/>
      <c r="JB152" s="150"/>
      <c r="JC152" s="150"/>
      <c r="JD152" s="150"/>
      <c r="JE152" s="150"/>
      <c r="JF152" s="150"/>
      <c r="JG152" s="150"/>
      <c r="JH152" s="150"/>
      <c r="JI152" s="150"/>
      <c r="JJ152" s="150"/>
      <c r="JK152" s="150"/>
      <c r="JL152" s="150"/>
      <c r="JM152" s="150"/>
      <c r="JN152" s="150"/>
      <c r="JO152" s="150"/>
      <c r="JP152" s="150"/>
      <c r="JQ152" s="150"/>
      <c r="JR152" s="150"/>
      <c r="JS152" s="150"/>
      <c r="JT152" s="150"/>
      <c r="JU152" s="150"/>
      <c r="JV152" s="150"/>
      <c r="JW152" s="150"/>
      <c r="JX152" s="150"/>
      <c r="JY152" s="150"/>
      <c r="JZ152" s="150"/>
      <c r="KA152" s="150"/>
      <c r="KB152" s="150"/>
      <c r="KC152" s="150"/>
      <c r="KD152" s="150"/>
      <c r="KE152" s="150"/>
      <c r="KF152" s="150"/>
      <c r="KG152" s="150"/>
      <c r="KH152" s="150"/>
      <c r="KI152" s="150"/>
      <c r="KJ152" s="150"/>
      <c r="KK152" s="150"/>
      <c r="KL152" s="150"/>
      <c r="KM152" s="150"/>
      <c r="KN152" s="150"/>
      <c r="KO152" s="150"/>
      <c r="KP152" s="150"/>
      <c r="KQ152" s="150"/>
      <c r="KR152" s="150"/>
      <c r="KS152" s="150"/>
      <c r="KT152" s="150"/>
      <c r="KU152" s="150"/>
      <c r="KV152" s="150"/>
      <c r="KW152" s="150"/>
      <c r="KX152" s="150"/>
      <c r="KY152" s="150"/>
      <c r="KZ152" s="150"/>
      <c r="LA152" s="150"/>
      <c r="LB152" s="150"/>
      <c r="LC152" s="150"/>
      <c r="LD152" s="150"/>
      <c r="LE152" s="150"/>
      <c r="LF152" s="150"/>
      <c r="LG152" s="150"/>
      <c r="LH152" s="150"/>
      <c r="LI152" s="150"/>
      <c r="LJ152" s="150"/>
      <c r="LK152" s="150"/>
      <c r="LL152" s="150"/>
      <c r="LM152" s="150"/>
      <c r="LN152" s="150"/>
      <c r="LO152" s="150"/>
      <c r="LP152" s="150"/>
      <c r="LQ152" s="150"/>
      <c r="LR152" s="150"/>
      <c r="LS152" s="150"/>
      <c r="LT152" s="150"/>
      <c r="LU152" s="150"/>
      <c r="LV152" s="150"/>
      <c r="LW152" s="150"/>
      <c r="LX152" s="150"/>
      <c r="LY152" s="150"/>
      <c r="LZ152" s="150"/>
      <c r="MA152" s="150"/>
      <c r="MB152" s="150"/>
      <c r="MC152" s="150"/>
      <c r="MD152" s="150"/>
      <c r="ME152" s="150"/>
      <c r="MF152" s="150"/>
      <c r="MG152" s="150"/>
      <c r="MH152" s="150"/>
      <c r="MI152" s="150"/>
      <c r="MJ152" s="150"/>
      <c r="MK152" s="150"/>
      <c r="ML152" s="150"/>
      <c r="MM152" s="150"/>
      <c r="MN152" s="150"/>
      <c r="MO152" s="150"/>
      <c r="MP152" s="150"/>
      <c r="MQ152" s="150"/>
      <c r="MR152" s="150"/>
      <c r="MS152" s="150"/>
      <c r="MT152" s="150"/>
      <c r="MU152" s="150"/>
      <c r="MV152" s="150"/>
      <c r="MW152" s="150"/>
      <c r="MX152" s="150"/>
      <c r="MY152" s="150"/>
      <c r="MZ152" s="150"/>
      <c r="NA152" s="150"/>
      <c r="NB152" s="150"/>
      <c r="NC152" s="150"/>
      <c r="ND152" s="150"/>
      <c r="NE152" s="150"/>
      <c r="NF152" s="150"/>
      <c r="NG152" s="150"/>
      <c r="NH152" s="150"/>
      <c r="NI152" s="150"/>
      <c r="NJ152" s="150"/>
      <c r="NK152" s="150"/>
      <c r="NL152" s="150"/>
      <c r="NM152" s="150"/>
      <c r="NN152" s="150"/>
      <c r="NO152" s="150"/>
      <c r="NP152" s="150"/>
      <c r="NQ152" s="150"/>
      <c r="NR152" s="150"/>
      <c r="NS152" s="150"/>
      <c r="NT152" s="150"/>
      <c r="NU152" s="150"/>
      <c r="NV152" s="150"/>
      <c r="NW152" s="150"/>
      <c r="NX152" s="150"/>
      <c r="NY152" s="150"/>
      <c r="NZ152" s="150"/>
      <c r="OA152" s="150"/>
      <c r="OB152" s="150"/>
      <c r="OC152" s="150"/>
      <c r="OD152" s="150"/>
      <c r="OE152" s="150"/>
    </row>
    <row r="153" spans="1:395">
      <c r="A153" s="19"/>
      <c r="B153" s="17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  <c r="BI153" s="150"/>
      <c r="BJ153" s="150"/>
      <c r="BK153" s="150"/>
      <c r="BL153" s="150"/>
      <c r="BM153" s="150"/>
      <c r="BN153" s="150"/>
      <c r="BO153" s="150"/>
      <c r="BP153" s="150"/>
      <c r="BQ153" s="150"/>
      <c r="BR153" s="150"/>
      <c r="BS153" s="150"/>
      <c r="BT153" s="150"/>
      <c r="BU153" s="150"/>
      <c r="BV153" s="150"/>
      <c r="BW153" s="150"/>
      <c r="BX153" s="150"/>
      <c r="BY153" s="150"/>
      <c r="BZ153" s="150"/>
      <c r="CA153" s="150"/>
      <c r="CB153" s="150"/>
      <c r="CC153" s="150"/>
      <c r="CD153" s="150"/>
      <c r="CE153" s="150"/>
      <c r="CF153" s="150"/>
      <c r="CG153" s="150"/>
      <c r="CH153" s="150"/>
      <c r="CI153" s="150"/>
      <c r="CJ153" s="150"/>
      <c r="CK153" s="150"/>
      <c r="CL153" s="150"/>
      <c r="CM153" s="150"/>
      <c r="CN153" s="150"/>
      <c r="CO153" s="150"/>
      <c r="CP153" s="150"/>
      <c r="CQ153" s="150"/>
      <c r="CR153" s="150"/>
      <c r="CS153" s="150"/>
      <c r="CT153" s="150"/>
      <c r="CU153" s="150"/>
      <c r="CV153" s="150"/>
      <c r="CW153" s="150"/>
      <c r="CX153" s="150"/>
      <c r="CY153" s="150"/>
      <c r="CZ153" s="150"/>
      <c r="DA153" s="150"/>
      <c r="DB153" s="150"/>
      <c r="DC153" s="150"/>
      <c r="DD153" s="150"/>
      <c r="DE153" s="150"/>
      <c r="DF153" s="150"/>
      <c r="DG153" s="150"/>
      <c r="DH153" s="150"/>
      <c r="DI153" s="150"/>
      <c r="DJ153" s="150"/>
      <c r="DK153" s="150"/>
      <c r="DL153" s="150"/>
      <c r="DM153" s="150"/>
      <c r="DN153" s="150"/>
      <c r="DO153" s="150"/>
      <c r="DP153" s="150"/>
      <c r="DQ153" s="150"/>
      <c r="DR153" s="150"/>
      <c r="DS153" s="150"/>
      <c r="DT153" s="150"/>
      <c r="DU153" s="150"/>
      <c r="DV153" s="150"/>
      <c r="DW153" s="150"/>
      <c r="DX153" s="150"/>
      <c r="DY153" s="150"/>
      <c r="DZ153" s="150"/>
      <c r="EA153" s="150"/>
      <c r="EB153" s="150"/>
      <c r="EC153" s="150"/>
      <c r="ED153" s="150"/>
      <c r="EE153" s="150"/>
      <c r="EF153" s="150"/>
      <c r="EG153" s="150"/>
      <c r="EH153" s="150"/>
      <c r="EI153" s="150"/>
      <c r="EJ153" s="150"/>
      <c r="EK153" s="150"/>
      <c r="EL153" s="150"/>
      <c r="EM153" s="150"/>
      <c r="EN153" s="150"/>
      <c r="EO153" s="150"/>
      <c r="EP153" s="150"/>
      <c r="EQ153" s="150"/>
      <c r="ER153" s="150"/>
      <c r="ES153" s="150"/>
      <c r="ET153" s="150"/>
      <c r="EU153" s="150"/>
      <c r="EV153" s="150"/>
      <c r="EW153" s="150"/>
      <c r="EX153" s="150"/>
      <c r="EY153" s="150"/>
      <c r="EZ153" s="150"/>
      <c r="FA153" s="150"/>
      <c r="FB153" s="150"/>
      <c r="FC153" s="150"/>
      <c r="FD153" s="150"/>
      <c r="FE153" s="150"/>
      <c r="FF153" s="150"/>
      <c r="FG153" s="150"/>
      <c r="FH153" s="150"/>
      <c r="FI153" s="150"/>
      <c r="FJ153" s="150"/>
      <c r="FK153" s="150"/>
      <c r="FL153" s="150"/>
      <c r="FM153" s="150"/>
      <c r="FN153" s="150"/>
      <c r="FO153" s="150"/>
      <c r="FP153" s="150"/>
      <c r="FQ153" s="150"/>
      <c r="FR153" s="150"/>
      <c r="FS153" s="150"/>
      <c r="FT153" s="150"/>
      <c r="FU153" s="150"/>
      <c r="FV153" s="150"/>
      <c r="FW153" s="150"/>
      <c r="FX153" s="150"/>
      <c r="FY153" s="150"/>
      <c r="FZ153" s="150"/>
      <c r="GA153" s="150"/>
      <c r="GB153" s="150"/>
      <c r="GC153" s="150"/>
      <c r="GD153" s="150"/>
      <c r="GE153" s="150"/>
      <c r="GF153" s="150"/>
      <c r="GG153" s="150"/>
      <c r="GH153" s="150"/>
      <c r="GI153" s="150"/>
      <c r="GJ153" s="150"/>
      <c r="GK153" s="150"/>
      <c r="GL153" s="150"/>
      <c r="GM153" s="150"/>
      <c r="GN153" s="150"/>
      <c r="GO153" s="150"/>
      <c r="GP153" s="150"/>
      <c r="GQ153" s="150"/>
      <c r="GR153" s="150"/>
      <c r="GS153" s="150"/>
      <c r="GT153" s="150"/>
      <c r="GU153" s="150"/>
      <c r="GV153" s="150"/>
      <c r="GW153" s="150"/>
      <c r="GX153" s="150"/>
      <c r="GY153" s="150"/>
      <c r="GZ153" s="150"/>
      <c r="HA153" s="150"/>
      <c r="HB153" s="150"/>
      <c r="HC153" s="150"/>
      <c r="HD153" s="150"/>
      <c r="HE153" s="150"/>
      <c r="HF153" s="150"/>
      <c r="HG153" s="150"/>
      <c r="HH153" s="150"/>
      <c r="HI153" s="150"/>
      <c r="HJ153" s="150"/>
      <c r="HK153" s="150"/>
      <c r="HL153" s="150"/>
      <c r="HM153" s="150"/>
      <c r="HN153" s="150"/>
      <c r="HO153" s="150"/>
      <c r="HP153" s="150"/>
      <c r="HQ153" s="150"/>
      <c r="HR153" s="150"/>
      <c r="HS153" s="150"/>
      <c r="HT153" s="150"/>
      <c r="HU153" s="150"/>
      <c r="HV153" s="150"/>
      <c r="HW153" s="150"/>
      <c r="HX153" s="150"/>
      <c r="HY153" s="150"/>
      <c r="HZ153" s="150"/>
      <c r="IA153" s="150"/>
      <c r="IB153" s="150"/>
      <c r="IC153" s="150"/>
      <c r="ID153" s="150"/>
      <c r="IE153" s="150"/>
      <c r="IF153" s="150"/>
      <c r="IG153" s="150"/>
      <c r="IH153" s="150"/>
      <c r="II153" s="150"/>
      <c r="IJ153" s="150"/>
      <c r="IK153" s="150"/>
      <c r="IL153" s="150"/>
      <c r="IM153" s="150"/>
      <c r="IN153" s="150"/>
      <c r="IO153" s="150"/>
      <c r="IP153" s="150"/>
      <c r="IQ153" s="150"/>
      <c r="IR153" s="150"/>
      <c r="IS153" s="150"/>
      <c r="IT153" s="150"/>
      <c r="IU153" s="150"/>
      <c r="IV153" s="150"/>
      <c r="IW153" s="150"/>
      <c r="IX153" s="150"/>
      <c r="IY153" s="150"/>
      <c r="IZ153" s="150"/>
      <c r="JA153" s="150"/>
      <c r="JB153" s="150"/>
      <c r="JC153" s="150"/>
      <c r="JD153" s="150"/>
      <c r="JE153" s="150"/>
      <c r="JF153" s="150"/>
      <c r="JG153" s="150"/>
      <c r="JH153" s="150"/>
      <c r="JI153" s="150"/>
      <c r="JJ153" s="150"/>
      <c r="JK153" s="150"/>
      <c r="JL153" s="150"/>
      <c r="JM153" s="150"/>
      <c r="JN153" s="150"/>
      <c r="JO153" s="150"/>
      <c r="JP153" s="150"/>
      <c r="JQ153" s="150"/>
      <c r="JR153" s="150"/>
      <c r="JS153" s="150"/>
      <c r="JT153" s="150"/>
      <c r="JU153" s="150"/>
      <c r="JV153" s="150"/>
      <c r="JW153" s="150"/>
      <c r="JX153" s="150"/>
      <c r="JY153" s="150"/>
      <c r="JZ153" s="150"/>
      <c r="KA153" s="150"/>
      <c r="KB153" s="150"/>
      <c r="KC153" s="150"/>
      <c r="KD153" s="150"/>
      <c r="KE153" s="150"/>
      <c r="KF153" s="150"/>
      <c r="KG153" s="150"/>
      <c r="KH153" s="150"/>
      <c r="KI153" s="150"/>
      <c r="KJ153" s="150"/>
      <c r="KK153" s="150"/>
      <c r="KL153" s="150"/>
      <c r="KM153" s="150"/>
      <c r="KN153" s="150"/>
      <c r="KO153" s="150"/>
      <c r="KP153" s="150"/>
      <c r="KQ153" s="150"/>
      <c r="KR153" s="150"/>
      <c r="KS153" s="150"/>
      <c r="KT153" s="150"/>
      <c r="KU153" s="150"/>
      <c r="KV153" s="150"/>
      <c r="KW153" s="150"/>
      <c r="KX153" s="150"/>
      <c r="KY153" s="150"/>
      <c r="KZ153" s="150"/>
      <c r="LA153" s="150"/>
      <c r="LB153" s="150"/>
      <c r="LC153" s="150"/>
      <c r="LD153" s="150"/>
      <c r="LE153" s="150"/>
      <c r="LF153" s="150"/>
      <c r="LG153" s="150"/>
      <c r="LH153" s="150"/>
      <c r="LI153" s="150"/>
      <c r="LJ153" s="150"/>
      <c r="LK153" s="150"/>
      <c r="LL153" s="150"/>
      <c r="LM153" s="150"/>
      <c r="LN153" s="150"/>
      <c r="LO153" s="150"/>
      <c r="LP153" s="150"/>
      <c r="LQ153" s="150"/>
      <c r="LR153" s="150"/>
      <c r="LS153" s="150"/>
      <c r="LT153" s="150"/>
      <c r="LU153" s="150"/>
      <c r="LV153" s="150"/>
      <c r="LW153" s="150"/>
      <c r="LX153" s="150"/>
      <c r="LY153" s="150"/>
      <c r="LZ153" s="150"/>
      <c r="MA153" s="150"/>
      <c r="MB153" s="150"/>
      <c r="MC153" s="150"/>
      <c r="MD153" s="150"/>
      <c r="ME153" s="150"/>
      <c r="MF153" s="150"/>
      <c r="MG153" s="150"/>
      <c r="MH153" s="150"/>
      <c r="MI153" s="150"/>
      <c r="MJ153" s="150"/>
      <c r="MK153" s="150"/>
      <c r="ML153" s="150"/>
      <c r="MM153" s="150"/>
      <c r="MN153" s="150"/>
      <c r="MO153" s="150"/>
      <c r="MP153" s="150"/>
      <c r="MQ153" s="150"/>
      <c r="MR153" s="150"/>
      <c r="MS153" s="150"/>
      <c r="MT153" s="150"/>
      <c r="MU153" s="150"/>
      <c r="MV153" s="150"/>
      <c r="MW153" s="150"/>
      <c r="MX153" s="150"/>
      <c r="MY153" s="150"/>
      <c r="MZ153" s="150"/>
      <c r="NA153" s="150"/>
      <c r="NB153" s="150"/>
      <c r="NC153" s="150"/>
      <c r="ND153" s="150"/>
      <c r="NE153" s="150"/>
      <c r="NF153" s="150"/>
      <c r="NG153" s="150"/>
      <c r="NH153" s="150"/>
      <c r="NI153" s="150"/>
      <c r="NJ153" s="150"/>
      <c r="NK153" s="150"/>
      <c r="NL153" s="150"/>
      <c r="NM153" s="150"/>
      <c r="NN153" s="150"/>
      <c r="NO153" s="150"/>
      <c r="NP153" s="150"/>
      <c r="NQ153" s="150"/>
      <c r="NR153" s="150"/>
      <c r="NS153" s="150"/>
      <c r="NT153" s="150"/>
      <c r="NU153" s="150"/>
      <c r="NV153" s="150"/>
      <c r="NW153" s="150"/>
      <c r="NX153" s="150"/>
      <c r="NY153" s="150"/>
      <c r="NZ153" s="150"/>
      <c r="OA153" s="150"/>
      <c r="OB153" s="150"/>
      <c r="OC153" s="150"/>
      <c r="OD153" s="150"/>
      <c r="OE153" s="150"/>
    </row>
  </sheetData>
  <sheetProtection algorithmName="SHA-512" hashValue="vqCdM0ODVIZ2Fw/JNb1qzO3JszYsQCABm+CLeFirnw62latzAiJsUVikm7yuDJCy00rE28Kjhm6TsL21bRrAkw==" saltValue="H+cbmotw8YCfTMHY1GWigQ==" spinCount="100000" sheet="1" objects="1" scenarios="1"/>
  <mergeCells count="37">
    <mergeCell ref="AQ4:AQ5"/>
    <mergeCell ref="AR4:AW4"/>
    <mergeCell ref="C41:C42"/>
    <mergeCell ref="D41:I41"/>
    <mergeCell ref="K41:K42"/>
    <mergeCell ref="L41:Q41"/>
    <mergeCell ref="S41:S42"/>
    <mergeCell ref="T41:Y41"/>
    <mergeCell ref="AA41:AA42"/>
    <mergeCell ref="AB41:AG41"/>
    <mergeCell ref="AI41:AI42"/>
    <mergeCell ref="AJ41:AO41"/>
    <mergeCell ref="AQ41:AQ42"/>
    <mergeCell ref="AR41:AW41"/>
    <mergeCell ref="AN109:AP109"/>
    <mergeCell ref="C4:C5"/>
    <mergeCell ref="K4:K5"/>
    <mergeCell ref="L4:Q4"/>
    <mergeCell ref="S4:S5"/>
    <mergeCell ref="T4:Y4"/>
    <mergeCell ref="AA4:AA5"/>
    <mergeCell ref="AB4:AG4"/>
    <mergeCell ref="AI4:AI5"/>
    <mergeCell ref="AJ4:AO4"/>
    <mergeCell ref="D109:F109"/>
    <mergeCell ref="G109:I109"/>
    <mergeCell ref="J109:L109"/>
    <mergeCell ref="M109:O109"/>
    <mergeCell ref="P109:R109"/>
    <mergeCell ref="S109:U109"/>
    <mergeCell ref="AK109:AM109"/>
    <mergeCell ref="D4:I4"/>
    <mergeCell ref="V109:X109"/>
    <mergeCell ref="Y109:AA109"/>
    <mergeCell ref="AB109:AD109"/>
    <mergeCell ref="AE109:AG109"/>
    <mergeCell ref="AH109:AJ109"/>
  </mergeCells>
  <pageMargins left="0.7" right="0.7" top="0.75" bottom="0.75" header="0.3" footer="0.3"/>
  <pageSetup paperSize="9" orientation="portrait" verticalDpi="0" r:id="rId1"/>
  <headerFooter>
    <oddFooter>&amp;C_x000D_&amp;1#&amp;"Verdana"&amp;7&amp;K000000 Confidential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EF2D1-3C45-41E9-BDB1-6EEC15667C26}">
  <sheetPr>
    <tabColor theme="0" tint="-0.14999847407452621"/>
  </sheetPr>
  <dimension ref="A1:AC88"/>
  <sheetViews>
    <sheetView workbookViewId="0">
      <selection activeCell="C8" sqref="C8"/>
    </sheetView>
  </sheetViews>
  <sheetFormatPr defaultColWidth="9.140625" defaultRowHeight="12.75"/>
  <cols>
    <col min="1" max="1" width="17.140625" style="16" customWidth="1"/>
    <col min="2" max="2" width="9.140625" style="16"/>
    <col min="3" max="3" width="7.5703125" style="16" customWidth="1"/>
    <col min="4" max="4" width="8.85546875" style="16" customWidth="1"/>
    <col min="5" max="5" width="65.140625" style="16" customWidth="1"/>
    <col min="6" max="6" width="84.42578125" style="16" bestFit="1" customWidth="1"/>
    <col min="7" max="7" width="16.7109375" style="16" customWidth="1"/>
    <col min="8" max="16384" width="9.140625" style="16"/>
  </cols>
  <sheetData>
    <row r="1" spans="1:29">
      <c r="A1" s="19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</row>
    <row r="2" spans="1:29" ht="20.25">
      <c r="A2" s="19"/>
      <c r="B2" s="17"/>
      <c r="C2" s="151" t="s">
        <v>367</v>
      </c>
      <c r="D2" s="151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</row>
    <row r="3" spans="1:29">
      <c r="A3" s="19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>
      <c r="A4" s="19"/>
      <c r="B4" s="17"/>
      <c r="C4" s="167" t="s">
        <v>368</v>
      </c>
      <c r="D4" s="167" t="s">
        <v>372</v>
      </c>
      <c r="E4" s="167" t="s">
        <v>322</v>
      </c>
      <c r="F4" s="167" t="s">
        <v>378</v>
      </c>
      <c r="G4" s="167" t="s">
        <v>369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>
      <c r="A5" s="19"/>
      <c r="B5" s="17"/>
      <c r="C5" s="48" t="s">
        <v>370</v>
      </c>
      <c r="D5" s="166" t="s">
        <v>373</v>
      </c>
      <c r="E5" s="114" t="s">
        <v>371</v>
      </c>
      <c r="F5" s="114"/>
      <c r="G5" s="114" t="s">
        <v>376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</row>
    <row r="6" spans="1:29">
      <c r="A6" s="19"/>
      <c r="B6" s="17"/>
      <c r="C6" s="48" t="s">
        <v>374</v>
      </c>
      <c r="D6" s="166" t="s">
        <v>375</v>
      </c>
      <c r="E6" s="113" t="s">
        <v>380</v>
      </c>
      <c r="F6" s="113" t="s">
        <v>379</v>
      </c>
      <c r="G6" s="114" t="s">
        <v>377</v>
      </c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>
      <c r="A7" s="19"/>
      <c r="B7" s="17"/>
      <c r="C7" s="168" t="s">
        <v>382</v>
      </c>
      <c r="D7" s="169" t="s">
        <v>383</v>
      </c>
      <c r="E7" s="113" t="s">
        <v>384</v>
      </c>
      <c r="F7" s="113" t="s">
        <v>320</v>
      </c>
      <c r="G7" s="114" t="s">
        <v>385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>
      <c r="A8" s="19"/>
      <c r="B8" s="17"/>
      <c r="C8" s="168" t="s">
        <v>405</v>
      </c>
      <c r="D8" s="169" t="s">
        <v>413</v>
      </c>
      <c r="E8" s="113" t="s">
        <v>417</v>
      </c>
      <c r="F8" s="113" t="s">
        <v>388</v>
      </c>
      <c r="G8" s="114" t="s">
        <v>385</v>
      </c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>
      <c r="A9" s="19"/>
      <c r="B9" s="17"/>
      <c r="C9" s="48"/>
      <c r="D9" s="166"/>
      <c r="E9" s="113"/>
      <c r="F9" s="113"/>
      <c r="G9" s="114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>
      <c r="A10" s="19"/>
      <c r="B10" s="17"/>
      <c r="C10" s="48"/>
      <c r="D10" s="166"/>
      <c r="E10" s="113"/>
      <c r="F10" s="113"/>
      <c r="G10" s="114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>
      <c r="A11" s="19"/>
      <c r="B11" s="17"/>
      <c r="C11" s="48"/>
      <c r="D11" s="166"/>
      <c r="E11" s="113"/>
      <c r="F11" s="113"/>
      <c r="G11" s="114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>
      <c r="A12" s="19"/>
      <c r="B12" s="17"/>
      <c r="C12" s="48"/>
      <c r="D12" s="166"/>
      <c r="E12" s="113"/>
      <c r="F12" s="113"/>
      <c r="G12" s="114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>
      <c r="A13" s="19"/>
      <c r="B13" s="17"/>
      <c r="C13" s="48"/>
      <c r="D13" s="166"/>
      <c r="E13" s="113"/>
      <c r="F13" s="113"/>
      <c r="G13" s="114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</row>
    <row r="14" spans="1:29">
      <c r="A14" s="19"/>
      <c r="B14" s="17"/>
      <c r="C14" s="48"/>
      <c r="D14" s="166"/>
      <c r="E14" s="113"/>
      <c r="F14" s="113"/>
      <c r="G14" s="114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29">
      <c r="A15" s="19"/>
      <c r="B15" s="17"/>
      <c r="C15" s="48"/>
      <c r="D15" s="166"/>
      <c r="E15" s="113"/>
      <c r="F15" s="113"/>
      <c r="G15" s="114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</row>
    <row r="16" spans="1:29">
      <c r="A16" s="19"/>
      <c r="B16" s="17"/>
      <c r="C16" s="48"/>
      <c r="D16" s="166"/>
      <c r="E16" s="113"/>
      <c r="F16" s="113"/>
      <c r="G16" s="114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</row>
    <row r="17" spans="1:29">
      <c r="A17" s="19"/>
      <c r="B17" s="17"/>
      <c r="C17" s="48"/>
      <c r="D17" s="166"/>
      <c r="E17" s="113"/>
      <c r="F17" s="113"/>
      <c r="G17" s="114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</row>
    <row r="18" spans="1:29">
      <c r="A18" s="19"/>
      <c r="B18" s="17"/>
      <c r="C18" s="48"/>
      <c r="D18" s="166"/>
      <c r="E18" s="113"/>
      <c r="F18" s="113"/>
      <c r="G18" s="114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</row>
    <row r="19" spans="1:29">
      <c r="A19" s="19"/>
      <c r="B19" s="17"/>
      <c r="C19" s="48"/>
      <c r="D19" s="166"/>
      <c r="E19" s="113"/>
      <c r="F19" s="113"/>
      <c r="G19" s="114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>
      <c r="A20" s="19"/>
      <c r="B20" s="17"/>
      <c r="C20" s="48"/>
      <c r="D20" s="166"/>
      <c r="E20" s="113"/>
      <c r="F20" s="113"/>
      <c r="G20" s="114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</row>
    <row r="21" spans="1:29">
      <c r="A21" s="19"/>
      <c r="B21" s="17"/>
      <c r="C21" s="48"/>
      <c r="D21" s="166"/>
      <c r="E21" s="113"/>
      <c r="F21" s="113"/>
      <c r="G21" s="114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</row>
    <row r="22" spans="1:29">
      <c r="A22" s="19"/>
      <c r="B22" s="17"/>
      <c r="C22" s="48"/>
      <c r="D22" s="166"/>
      <c r="E22" s="113"/>
      <c r="F22" s="113"/>
      <c r="G22" s="114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</row>
    <row r="23" spans="1:29">
      <c r="A23" s="19"/>
      <c r="B23" s="17"/>
      <c r="C23" s="48"/>
      <c r="D23" s="166"/>
      <c r="E23" s="113"/>
      <c r="F23" s="113"/>
      <c r="G23" s="114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1:29">
      <c r="A24" s="19"/>
      <c r="B24" s="17"/>
      <c r="C24" s="48"/>
      <c r="D24" s="166"/>
      <c r="E24" s="113"/>
      <c r="F24" s="113"/>
      <c r="G24" s="115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>
      <c r="A25" s="19"/>
      <c r="B25" s="17"/>
      <c r="C25" s="48"/>
      <c r="D25" s="166"/>
      <c r="E25" s="113"/>
      <c r="F25" s="113"/>
      <c r="G25" s="115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>
      <c r="A26" s="19"/>
      <c r="B26" s="17"/>
      <c r="C26" s="48"/>
      <c r="D26" s="166"/>
      <c r="E26" s="113"/>
      <c r="F26" s="113"/>
      <c r="G26" s="115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>
      <c r="A27" s="19"/>
      <c r="B27" s="17"/>
      <c r="C27" s="48"/>
      <c r="D27" s="166"/>
      <c r="E27" s="113"/>
      <c r="F27" s="113"/>
      <c r="G27" s="115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>
      <c r="A28" s="19"/>
      <c r="B28" s="17"/>
      <c r="C28" s="48"/>
      <c r="D28" s="166"/>
      <c r="E28" s="113"/>
      <c r="F28" s="113"/>
      <c r="G28" s="115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>
      <c r="A29" s="19"/>
      <c r="B29" s="17"/>
      <c r="C29" s="48"/>
      <c r="D29" s="166"/>
      <c r="E29" s="113"/>
      <c r="F29" s="113"/>
      <c r="G29" s="115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>
      <c r="A30" s="19"/>
      <c r="B30" s="17"/>
      <c r="C30" s="48"/>
      <c r="D30" s="166"/>
      <c r="E30" s="113"/>
      <c r="F30" s="113"/>
      <c r="G30" s="115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>
      <c r="A31" s="19"/>
      <c r="B31" s="17"/>
      <c r="C31" s="48"/>
      <c r="D31" s="166"/>
      <c r="E31" s="113"/>
      <c r="F31" s="113"/>
      <c r="G31" s="115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>
      <c r="A32" s="19"/>
      <c r="B32" s="17"/>
      <c r="C32" s="48"/>
      <c r="D32" s="166"/>
      <c r="E32" s="113"/>
      <c r="F32" s="113"/>
      <c r="G32" s="115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>
      <c r="A33" s="19"/>
      <c r="B33" s="17"/>
      <c r="C33" s="48"/>
      <c r="D33" s="166"/>
      <c r="E33" s="113"/>
      <c r="F33" s="113"/>
      <c r="G33" s="115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>
      <c r="A34" s="19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>
      <c r="A35" s="19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>
      <c r="A36" s="19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>
      <c r="A37" s="19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>
      <c r="A38" s="1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>
      <c r="A39" s="19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>
      <c r="A40" s="19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>
      <c r="A41" s="19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>
      <c r="A42" s="19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</row>
    <row r="43" spans="1:29">
      <c r="A43" s="19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</row>
    <row r="44" spans="1:29">
      <c r="A44" s="19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</row>
    <row r="45" spans="1:29">
      <c r="A45" s="19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>
      <c r="A46" s="19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>
      <c r="A47" s="19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>
      <c r="A48" s="19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>
      <c r="A49" s="19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>
      <c r="A50" s="19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>
      <c r="A51" s="19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>
      <c r="A52" s="19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</row>
    <row r="53" spans="1:29">
      <c r="A53" s="19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</row>
    <row r="54" spans="1:29">
      <c r="A54" s="19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</row>
    <row r="55" spans="1:29">
      <c r="A55" s="19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</row>
    <row r="56" spans="1:29">
      <c r="A56" s="19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</row>
    <row r="57" spans="1:29">
      <c r="A57" s="19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</row>
    <row r="58" spans="1:29">
      <c r="A58" s="19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</row>
    <row r="59" spans="1:29">
      <c r="A59" s="19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</row>
    <row r="60" spans="1:29">
      <c r="A60" s="19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>
      <c r="A61" s="19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</row>
    <row r="62" spans="1:29">
      <c r="A62" s="19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</row>
    <row r="63" spans="1:29">
      <c r="A63" s="19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</row>
    <row r="64" spans="1:29">
      <c r="A64" s="19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</row>
    <row r="65" spans="1:29">
      <c r="A65" s="19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</row>
    <row r="66" spans="1:29">
      <c r="A66" s="19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</row>
    <row r="67" spans="1:29">
      <c r="A67" s="19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>
      <c r="A68" s="19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</row>
    <row r="69" spans="1:29">
      <c r="A69" s="19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</row>
    <row r="70" spans="1:29">
      <c r="A70" s="19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</row>
    <row r="71" spans="1:29">
      <c r="A71" s="19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</row>
    <row r="72" spans="1:29">
      <c r="A72" s="19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</row>
    <row r="73" spans="1:29">
      <c r="A73" s="19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</row>
    <row r="74" spans="1:29">
      <c r="A74" s="19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</row>
    <row r="75" spans="1:29">
      <c r="A75" s="19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</row>
    <row r="76" spans="1:29">
      <c r="A76" s="19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</row>
    <row r="77" spans="1:29">
      <c r="A77" s="19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</row>
    <row r="78" spans="1:29">
      <c r="A78" s="19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</row>
    <row r="79" spans="1:29">
      <c r="A79" s="19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</row>
    <row r="80" spans="1:29">
      <c r="A80" s="19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</row>
    <row r="81" spans="1:29">
      <c r="A81" s="19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</row>
    <row r="82" spans="1:29">
      <c r="A82" s="19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</row>
    <row r="83" spans="1:29">
      <c r="A83" s="19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</row>
    <row r="84" spans="1:29">
      <c r="A84" s="19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</row>
    <row r="85" spans="1:29">
      <c r="A85" s="19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</row>
    <row r="86" spans="1:29">
      <c r="A86" s="19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</row>
    <row r="87" spans="1:29">
      <c r="A87" s="19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</row>
    <row r="88" spans="1:29">
      <c r="A88" s="19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</row>
  </sheetData>
  <sheetProtection algorithmName="SHA-512" hashValue="eCGUv/HvBWDGn/E39qLt9xpv1ro0MU31BmbuM2cF9kNS7P1Uf9mG4rA5s2rOpLEe882RUQmeLDWDeZSSeOhL5A==" saltValue="CVAVNcnh+aMmwHKRxtPxAA==" spinCount="100000" sheet="1" objects="1" scenarios="1"/>
  <pageMargins left="0.7" right="0.7" top="0.75" bottom="0.75" header="0.3" footer="0.3"/>
  <headerFooter>
    <oddFooter>&amp;C_x000D_&amp;1#&amp;"Verdana"&amp;7&amp;K000000 Confidential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1A4D4-C13B-4102-B908-BF44F5758697}">
  <dimension ref="B2:O38"/>
  <sheetViews>
    <sheetView workbookViewId="0">
      <selection activeCell="B32" sqref="B32"/>
    </sheetView>
  </sheetViews>
  <sheetFormatPr defaultColWidth="9.140625" defaultRowHeight="12.75"/>
  <cols>
    <col min="1" max="1" width="9.140625" style="1"/>
    <col min="2" max="2" width="51" style="1" bestFit="1" customWidth="1"/>
    <col min="3" max="3" width="33.42578125" style="1" bestFit="1" customWidth="1"/>
    <col min="4" max="4" width="9.140625" style="1"/>
    <col min="5" max="5" width="12.28515625" style="1" customWidth="1"/>
    <col min="6" max="6" width="11" style="1" bestFit="1" customWidth="1"/>
    <col min="7" max="7" width="9.140625" style="1"/>
    <col min="8" max="8" width="13.28515625" style="1" bestFit="1" customWidth="1"/>
    <col min="9" max="9" width="11.42578125" style="1" customWidth="1"/>
    <col min="10" max="10" width="10" style="1" bestFit="1" customWidth="1"/>
    <col min="11" max="11" width="11.5703125" style="1" customWidth="1"/>
    <col min="12" max="16384" width="9.140625" style="1"/>
  </cols>
  <sheetData>
    <row r="2" spans="2:15">
      <c r="D2" s="220" t="s">
        <v>117</v>
      </c>
      <c r="E2" s="220"/>
      <c r="F2" s="220"/>
      <c r="G2" s="220"/>
      <c r="H2" s="220"/>
      <c r="I2" s="220"/>
      <c r="J2" s="220" t="s">
        <v>118</v>
      </c>
      <c r="K2" s="220"/>
      <c r="L2" s="220"/>
      <c r="M2" s="220"/>
      <c r="N2" s="220"/>
      <c r="O2" s="220"/>
    </row>
    <row r="3" spans="2:15">
      <c r="D3" s="13" t="s">
        <v>10</v>
      </c>
      <c r="E3" s="13" t="s">
        <v>48</v>
      </c>
      <c r="F3" s="13" t="s">
        <v>46</v>
      </c>
      <c r="G3" s="13" t="s">
        <v>45</v>
      </c>
      <c r="H3" s="13" t="s">
        <v>47</v>
      </c>
      <c r="I3" s="13" t="s">
        <v>44</v>
      </c>
      <c r="J3" s="13" t="s">
        <v>10</v>
      </c>
      <c r="K3" s="13" t="s">
        <v>48</v>
      </c>
      <c r="L3" s="13" t="s">
        <v>46</v>
      </c>
      <c r="M3" s="13" t="s">
        <v>45</v>
      </c>
      <c r="N3" s="13" t="s">
        <v>47</v>
      </c>
      <c r="O3" s="13" t="s">
        <v>44</v>
      </c>
    </row>
    <row r="4" spans="2:15">
      <c r="B4" s="12" t="s">
        <v>58</v>
      </c>
      <c r="C4" s="1" t="s">
        <v>36</v>
      </c>
      <c r="D4" s="3">
        <f>VLOOKUP($B4,'Statistikk 05940 antall'!$B$5:$S$21,18,0)</f>
        <v>107.2</v>
      </c>
      <c r="E4" s="3">
        <f>VLOOKUP($B4,'Statistikk 05940 antall'!$B$22:$S$38,18,0)</f>
        <v>72.2</v>
      </c>
      <c r="F4" s="3">
        <f>VLOOKUP($B4,'Statistikk 05940 antall'!$B$39:$S$55,18,0)</f>
        <v>123.4</v>
      </c>
      <c r="G4" s="3">
        <f>VLOOKUP($B4,'Statistikk 05940 antall'!$B$56:$S$72,18,0)</f>
        <v>225.6</v>
      </c>
      <c r="H4" s="3">
        <f>VLOOKUP($B4,'Statistikk 05940 antall'!$B$73:$S$89,18,0)</f>
        <v>121.4</v>
      </c>
      <c r="I4" s="3">
        <f>VLOOKUP($B4,'Statistikk 05940 antall'!$B$90:$S$106,18,0)</f>
        <v>468.2</v>
      </c>
      <c r="J4" s="3">
        <f>VLOOKUP($B4,'Statistikk 05940 m2'!$B$5:$S$21,18,0)</f>
        <v>22915</v>
      </c>
      <c r="K4" s="3">
        <f>VLOOKUP($B4,'Statistikk 05940 m2'!$B$22:$S$38,18,0)</f>
        <v>18073</v>
      </c>
      <c r="L4" s="3">
        <f>VLOOKUP($B4,'Statistikk 05940 m2'!$B$39:$S$55,18,0)</f>
        <v>37538.6</v>
      </c>
      <c r="M4" s="3">
        <f>VLOOKUP($B4,'Statistikk 05940 m2'!$B$56:$S$72,18,0)</f>
        <v>53332.4</v>
      </c>
      <c r="N4" s="3">
        <f>VLOOKUP($B4,'Statistikk 05940 m2'!$B$73:$S$89,18,0)</f>
        <v>28778.400000000001</v>
      </c>
      <c r="O4" s="3">
        <f>VLOOKUP($B4,'Statistikk 05940 m2'!$B$90:$S$106,18,0)</f>
        <v>111442.2</v>
      </c>
    </row>
    <row r="5" spans="2:15">
      <c r="B5" s="12" t="s">
        <v>59</v>
      </c>
      <c r="C5" s="1" t="s">
        <v>36</v>
      </c>
      <c r="D5" s="3">
        <f>VLOOKUP($B5,'Statistikk 05940 antall'!$B$5:$S$21,18,0)</f>
        <v>49.8</v>
      </c>
      <c r="E5" s="3">
        <f>VLOOKUP($B5,'Statistikk 05940 antall'!$B$22:$S$38,18,0)</f>
        <v>23.4</v>
      </c>
      <c r="F5" s="3">
        <f>VLOOKUP($B5,'Statistikk 05940 antall'!$B$39:$S$55,18,0)</f>
        <v>32.799999999999997</v>
      </c>
      <c r="G5" s="3">
        <f>VLOOKUP($B5,'Statistikk 05940 antall'!$B$56:$S$72,18,0)</f>
        <v>106.2</v>
      </c>
      <c r="H5" s="3">
        <f>VLOOKUP($B5,'Statistikk 05940 antall'!$B$73:$S$89,18,0)</f>
        <v>31.8</v>
      </c>
      <c r="I5" s="3">
        <f>VLOOKUP($B5,'Statistikk 05940 antall'!$B$90:$S$106,18,0)</f>
        <v>21.6</v>
      </c>
      <c r="J5" s="3">
        <f>VLOOKUP($B5,'Statistikk 05940 m2'!$B$5:$S$21,18,0)</f>
        <v>6714.6</v>
      </c>
      <c r="K5" s="3">
        <f>VLOOKUP($B5,'Statistikk 05940 m2'!$B$22:$S$38,18,0)</f>
        <v>3218</v>
      </c>
      <c r="L5" s="3">
        <f>VLOOKUP($B5,'Statistikk 05940 m2'!$B$39:$S$55,18,0)</f>
        <v>5800.4</v>
      </c>
      <c r="M5" s="3">
        <f>VLOOKUP($B5,'Statistikk 05940 m2'!$B$56:$S$72,18,0)</f>
        <v>15889.4</v>
      </c>
      <c r="N5" s="3">
        <f>VLOOKUP($B5,'Statistikk 05940 m2'!$B$73:$S$89,18,0)</f>
        <v>4697.2</v>
      </c>
      <c r="O5" s="3">
        <f>VLOOKUP($B5,'Statistikk 05940 m2'!$B$90:$S$106,18,0)</f>
        <v>3460.4</v>
      </c>
    </row>
    <row r="6" spans="2:15">
      <c r="B6" s="12" t="s">
        <v>61</v>
      </c>
      <c r="C6" s="1" t="s">
        <v>37</v>
      </c>
      <c r="D6" s="3">
        <f>VLOOKUP($B6,'Statistikk 05940 antall'!$B$5:$S$21,18,0)</f>
        <v>51</v>
      </c>
      <c r="E6" s="3">
        <f>VLOOKUP($B6,'Statistikk 05940 antall'!$B$22:$S$38,18,0)</f>
        <v>76.599999999999994</v>
      </c>
      <c r="F6" s="3">
        <f>VLOOKUP($B6,'Statistikk 05940 antall'!$B$39:$S$55,18,0)</f>
        <v>71</v>
      </c>
      <c r="G6" s="3">
        <f>VLOOKUP($B6,'Statistikk 05940 antall'!$B$56:$S$72,18,0)</f>
        <v>106</v>
      </c>
      <c r="H6" s="3">
        <f>VLOOKUP($B6,'Statistikk 05940 antall'!$B$73:$S$89,18,0)</f>
        <v>64</v>
      </c>
      <c r="I6" s="3">
        <f>VLOOKUP($B6,'Statistikk 05940 antall'!$B$90:$S$106,18,0)</f>
        <v>287.60000000000002</v>
      </c>
      <c r="J6" s="3">
        <f>VLOOKUP($B6,'Statistikk 05940 m2'!$B$5:$S$21,18,0)</f>
        <v>6622.8</v>
      </c>
      <c r="K6" s="3">
        <f>VLOOKUP($B6,'Statistikk 05940 m2'!$B$22:$S$38,18,0)</f>
        <v>13065.4</v>
      </c>
      <c r="L6" s="3">
        <f>VLOOKUP($B6,'Statistikk 05940 m2'!$B$39:$S$55,18,0)</f>
        <v>15373.6</v>
      </c>
      <c r="M6" s="3">
        <f>VLOOKUP($B6,'Statistikk 05940 m2'!$B$56:$S$72,18,0)</f>
        <v>17655</v>
      </c>
      <c r="N6" s="3">
        <f>VLOOKUP($B6,'Statistikk 05940 m2'!$B$73:$S$89,18,0)</f>
        <v>12466</v>
      </c>
      <c r="O6" s="3">
        <f>VLOOKUP($B6,'Statistikk 05940 m2'!$B$90:$S$106,18,0)</f>
        <v>53132.4</v>
      </c>
    </row>
    <row r="7" spans="2:15">
      <c r="B7" s="12" t="s">
        <v>62</v>
      </c>
      <c r="C7" s="1" t="s">
        <v>37</v>
      </c>
      <c r="D7" s="3">
        <f>VLOOKUP($B7,'Statistikk 05940 antall'!$B$5:$S$21,18,0)</f>
        <v>16.2</v>
      </c>
      <c r="E7" s="3">
        <f>VLOOKUP($B7,'Statistikk 05940 antall'!$B$22:$S$38,18,0)</f>
        <v>1</v>
      </c>
      <c r="F7" s="3">
        <f>VLOOKUP($B7,'Statistikk 05940 antall'!$B$39:$S$55,18,0)</f>
        <v>13.8</v>
      </c>
      <c r="G7" s="3">
        <f>VLOOKUP($B7,'Statistikk 05940 antall'!$B$56:$S$72,18,0)</f>
        <v>2</v>
      </c>
      <c r="H7" s="3">
        <f>VLOOKUP($B7,'Statistikk 05940 antall'!$B$73:$S$89,18,0)</f>
        <v>3</v>
      </c>
      <c r="I7" s="3">
        <f>VLOOKUP($B7,'Statistikk 05940 antall'!$B$90:$S$106,18,0)</f>
        <v>36.200000000000003</v>
      </c>
      <c r="J7" s="3">
        <f>VLOOKUP($B7,'Statistikk 05940 m2'!$B$5:$S$21,18,0)</f>
        <v>2090</v>
      </c>
      <c r="K7" s="3">
        <f>VLOOKUP($B7,'Statistikk 05940 m2'!$B$22:$S$38,18,0)</f>
        <v>257.2</v>
      </c>
      <c r="L7" s="3">
        <f>VLOOKUP($B7,'Statistikk 05940 m2'!$B$39:$S$55,18,0)</f>
        <v>2714</v>
      </c>
      <c r="M7" s="3">
        <f>VLOOKUP($B7,'Statistikk 05940 m2'!$B$56:$S$72,18,0)</f>
        <v>376.8</v>
      </c>
      <c r="N7" s="3">
        <f>VLOOKUP($B7,'Statistikk 05940 m2'!$B$73:$S$89,18,0)</f>
        <v>823</v>
      </c>
      <c r="O7" s="3">
        <f>VLOOKUP($B7,'Statistikk 05940 m2'!$B$90:$S$106,18,0)</f>
        <v>8229.2000000000007</v>
      </c>
    </row>
    <row r="8" spans="2:15">
      <c r="B8" s="12" t="s">
        <v>65</v>
      </c>
      <c r="C8" s="1" t="s">
        <v>38</v>
      </c>
      <c r="D8" s="3">
        <f>VLOOKUP($B8,'Statistikk 05940 antall'!$B$5:$S$21,18,0)</f>
        <v>45.8</v>
      </c>
      <c r="E8" s="3">
        <f>VLOOKUP($B8,'Statistikk 05940 antall'!$B$22:$S$38,18,0)</f>
        <v>98.2</v>
      </c>
      <c r="F8" s="3">
        <f>VLOOKUP($B8,'Statistikk 05940 antall'!$B$39:$S$55,18,0)</f>
        <v>51.8</v>
      </c>
      <c r="G8" s="3">
        <f>VLOOKUP($B8,'Statistikk 05940 antall'!$B$56:$S$72,18,0)</f>
        <v>90.2</v>
      </c>
      <c r="H8" s="3">
        <f>VLOOKUP($B8,'Statistikk 05940 antall'!$B$73:$S$89,18,0)</f>
        <v>170.8</v>
      </c>
      <c r="I8" s="3">
        <f>VLOOKUP($B8,'Statistikk 05940 antall'!$B$90:$S$106,18,0)</f>
        <v>212.6</v>
      </c>
      <c r="J8" s="3">
        <f>VLOOKUP($B8,'Statistikk 05940 m2'!$B$5:$S$21,18,0)</f>
        <v>5725.6</v>
      </c>
      <c r="K8" s="3">
        <f>VLOOKUP($B8,'Statistikk 05940 m2'!$B$22:$S$38,18,0)</f>
        <v>13256.2</v>
      </c>
      <c r="L8" s="3">
        <f>VLOOKUP($B8,'Statistikk 05940 m2'!$B$39:$S$55,18,0)</f>
        <v>7902.6</v>
      </c>
      <c r="M8" s="3">
        <f>VLOOKUP($B8,'Statistikk 05940 m2'!$B$56:$S$72,18,0)</f>
        <v>13882.2</v>
      </c>
      <c r="N8" s="3">
        <f>VLOOKUP($B8,'Statistikk 05940 m2'!$B$73:$S$89,18,0)</f>
        <v>24034</v>
      </c>
      <c r="O8" s="3">
        <f>VLOOKUP($B8,'Statistikk 05940 m2'!$B$90:$S$106,18,0)</f>
        <v>34085.800000000003</v>
      </c>
    </row>
    <row r="9" spans="2:15">
      <c r="B9" s="12" t="s">
        <v>66</v>
      </c>
      <c r="C9" s="1" t="s">
        <v>38</v>
      </c>
      <c r="D9" s="3">
        <f>VLOOKUP($B9,'Statistikk 05940 antall'!$B$5:$S$21,18,0)</f>
        <v>21.8</v>
      </c>
      <c r="E9" s="3">
        <f>VLOOKUP($B9,'Statistikk 05940 antall'!$B$22:$S$38,18,0)</f>
        <v>2</v>
      </c>
      <c r="F9" s="3">
        <f>VLOOKUP($B9,'Statistikk 05940 antall'!$B$39:$S$55,18,0)</f>
        <v>4.5999999999999996</v>
      </c>
      <c r="G9" s="3">
        <f>VLOOKUP($B9,'Statistikk 05940 antall'!$B$56:$S$72,18,0)</f>
        <v>5.8</v>
      </c>
      <c r="H9" s="3">
        <f>VLOOKUP($B9,'Statistikk 05940 antall'!$B$73:$S$89,18,0)</f>
        <v>61.6</v>
      </c>
      <c r="I9" s="3">
        <f>VLOOKUP($B9,'Statistikk 05940 antall'!$B$90:$S$106,18,0)</f>
        <v>9.6</v>
      </c>
      <c r="J9" s="3">
        <f>VLOOKUP($B9,'Statistikk 05940 m2'!$B$5:$S$21,18,0)</f>
        <v>3067</v>
      </c>
      <c r="K9" s="3">
        <f>VLOOKUP($B9,'Statistikk 05940 m2'!$B$22:$S$38,18,0)</f>
        <v>365.4</v>
      </c>
      <c r="L9" s="3">
        <f>VLOOKUP($B9,'Statistikk 05940 m2'!$B$39:$S$55,18,0)</f>
        <v>1259.8</v>
      </c>
      <c r="M9" s="3">
        <f>VLOOKUP($B9,'Statistikk 05940 m2'!$B$56:$S$72,18,0)</f>
        <v>1193.2</v>
      </c>
      <c r="N9" s="3">
        <f>VLOOKUP($B9,'Statistikk 05940 m2'!$B$73:$S$89,18,0)</f>
        <v>9211.6</v>
      </c>
      <c r="O9" s="3">
        <f>VLOOKUP($B9,'Statistikk 05940 m2'!$B$90:$S$106,18,0)</f>
        <v>1901</v>
      </c>
    </row>
    <row r="10" spans="2:15">
      <c r="B10" s="12" t="s">
        <v>67</v>
      </c>
      <c r="C10" s="1" t="s">
        <v>12</v>
      </c>
      <c r="D10" s="3">
        <f>VLOOKUP($B10,'Statistikk 05940 antall'!$B$5:$S$21,18,0)</f>
        <v>9.6</v>
      </c>
      <c r="E10" s="3">
        <f>VLOOKUP($B10,'Statistikk 05940 antall'!$B$22:$S$38,18,0)</f>
        <v>0</v>
      </c>
      <c r="F10" s="3">
        <f>VLOOKUP($B10,'Statistikk 05940 antall'!$B$39:$S$55,18,0)</f>
        <v>0</v>
      </c>
      <c r="G10" s="3">
        <f>VLOOKUP($B10,'Statistikk 05940 antall'!$B$56:$S$72,18,0)</f>
        <v>0</v>
      </c>
      <c r="H10" s="3">
        <f>VLOOKUP($B10,'Statistikk 05940 antall'!$B$73:$S$89,18,0)</f>
        <v>0</v>
      </c>
      <c r="I10" s="3">
        <f>VLOOKUP($B10,'Statistikk 05940 antall'!$B$90:$S$106,18,0)</f>
        <v>1</v>
      </c>
      <c r="J10" s="3">
        <f>VLOOKUP($B10,'Statistikk 05940 m2'!$B$5:$S$21,18,0)</f>
        <v>1330.2</v>
      </c>
      <c r="K10" s="3">
        <f>VLOOKUP($B10,'Statistikk 05940 m2'!$B$22:$S$38,18,0)</f>
        <v>6.4</v>
      </c>
      <c r="L10" s="3">
        <f>VLOOKUP($B10,'Statistikk 05940 m2'!$B$39:$S$55,18,0)</f>
        <v>10.8</v>
      </c>
      <c r="M10" s="3">
        <f>VLOOKUP($B10,'Statistikk 05940 m2'!$B$56:$S$72,18,0)</f>
        <v>0</v>
      </c>
      <c r="N10" s="3">
        <f>VLOOKUP($B10,'Statistikk 05940 m2'!$B$73:$S$89,18,0)</f>
        <v>0</v>
      </c>
      <c r="O10" s="3">
        <f>VLOOKUP($B10,'Statistikk 05940 m2'!$B$90:$S$106,18,0)</f>
        <v>260</v>
      </c>
    </row>
    <row r="11" spans="2:15">
      <c r="B11" s="12" t="s">
        <v>68</v>
      </c>
      <c r="C11" s="1" t="s">
        <v>38</v>
      </c>
      <c r="D11" s="3">
        <f>VLOOKUP($B11,'Statistikk 05940 antall'!$B$5:$S$21,18,0)</f>
        <v>16.2</v>
      </c>
      <c r="E11" s="3">
        <f>VLOOKUP($B11,'Statistikk 05940 antall'!$B$22:$S$38,18,0)</f>
        <v>0</v>
      </c>
      <c r="F11" s="3">
        <f>VLOOKUP($B11,'Statistikk 05940 antall'!$B$39:$S$55,18,0)</f>
        <v>8.8000000000000007</v>
      </c>
      <c r="G11" s="3">
        <f>VLOOKUP($B11,'Statistikk 05940 antall'!$B$56:$S$72,18,0)</f>
        <v>41.2</v>
      </c>
      <c r="H11" s="3">
        <f>VLOOKUP($B11,'Statistikk 05940 antall'!$B$73:$S$89,18,0)</f>
        <v>18.399999999999999</v>
      </c>
      <c r="I11" s="3">
        <f>VLOOKUP($B11,'Statistikk 05940 antall'!$B$90:$S$106,18,0)</f>
        <v>58.8</v>
      </c>
      <c r="J11" s="3">
        <f>VLOOKUP($B11,'Statistikk 05940 m2'!$B$5:$S$21,18,0)</f>
        <v>1970.6</v>
      </c>
      <c r="K11" s="3">
        <f>VLOOKUP($B11,'Statistikk 05940 m2'!$B$22:$S$38,18,0)</f>
        <v>19.399999999999999</v>
      </c>
      <c r="L11" s="3">
        <f>VLOOKUP($B11,'Statistikk 05940 m2'!$B$39:$S$55,18,0)</f>
        <v>818.8</v>
      </c>
      <c r="M11" s="3">
        <f>VLOOKUP($B11,'Statistikk 05940 m2'!$B$56:$S$72,18,0)</f>
        <v>3449.2</v>
      </c>
      <c r="N11" s="3">
        <f>VLOOKUP($B11,'Statistikk 05940 m2'!$B$73:$S$89,18,0)</f>
        <v>1457.2</v>
      </c>
      <c r="O11" s="3">
        <f>VLOOKUP($B11,'Statistikk 05940 m2'!$B$90:$S$106,18,0)</f>
        <v>10946.4</v>
      </c>
    </row>
    <row r="12" spans="2:15">
      <c r="B12" s="12" t="s">
        <v>69</v>
      </c>
      <c r="C12" s="1" t="s">
        <v>12</v>
      </c>
      <c r="D12" s="3">
        <f>VLOOKUP($B12,'Statistikk 05940 antall'!$B$5:$S$21,18,0)</f>
        <v>9</v>
      </c>
      <c r="E12" s="3">
        <f>VLOOKUP($B12,'Statistikk 05940 antall'!$B$22:$S$38,18,0)</f>
        <v>0</v>
      </c>
      <c r="F12" s="3">
        <f>VLOOKUP($B12,'Statistikk 05940 antall'!$B$39:$S$55,18,0)</f>
        <v>13.6</v>
      </c>
      <c r="G12" s="3">
        <f>VLOOKUP($B12,'Statistikk 05940 antall'!$B$56:$S$72,18,0)</f>
        <v>12.4</v>
      </c>
      <c r="H12" s="3">
        <f>VLOOKUP($B12,'Statistikk 05940 antall'!$B$73:$S$89,18,0)</f>
        <v>30.4</v>
      </c>
      <c r="I12" s="3">
        <f>VLOOKUP($B12,'Statistikk 05940 antall'!$B$90:$S$106,18,0)</f>
        <v>27.4</v>
      </c>
      <c r="J12" s="3">
        <f>VLOOKUP($B12,'Statistikk 05940 m2'!$B$5:$S$21,18,0)</f>
        <v>997</v>
      </c>
      <c r="K12" s="3">
        <f>VLOOKUP($B12,'Statistikk 05940 m2'!$B$22:$S$38,18,0)</f>
        <v>64</v>
      </c>
      <c r="L12" s="3">
        <f>VLOOKUP($B12,'Statistikk 05940 m2'!$B$39:$S$55,18,0)</f>
        <v>719.6</v>
      </c>
      <c r="M12" s="3">
        <f>VLOOKUP($B12,'Statistikk 05940 m2'!$B$56:$S$72,18,0)</f>
        <v>769.6</v>
      </c>
      <c r="N12" s="3">
        <f>VLOOKUP($B12,'Statistikk 05940 m2'!$B$73:$S$89,18,0)</f>
        <v>2711.6</v>
      </c>
      <c r="O12" s="3">
        <f>VLOOKUP($B12,'Statistikk 05940 m2'!$B$90:$S$106,18,0)</f>
        <v>2998</v>
      </c>
    </row>
    <row r="13" spans="2:15">
      <c r="B13" s="12" t="s">
        <v>70</v>
      </c>
      <c r="C13" s="1" t="s">
        <v>12</v>
      </c>
      <c r="D13" s="3">
        <f>VLOOKUP($B13,'Statistikk 05940 antall'!$B$5:$S$21,18,0)</f>
        <v>138.80000000000001</v>
      </c>
      <c r="E13" s="3">
        <f>VLOOKUP($B13,'Statistikk 05940 antall'!$B$22:$S$38,18,0)</f>
        <v>44.8</v>
      </c>
      <c r="F13" s="3">
        <f>VLOOKUP($B13,'Statistikk 05940 antall'!$B$39:$S$55,18,0)</f>
        <v>323</v>
      </c>
      <c r="G13" s="3">
        <f>VLOOKUP($B13,'Statistikk 05940 antall'!$B$56:$S$72,18,0)</f>
        <v>165.2</v>
      </c>
      <c r="H13" s="3">
        <f>VLOOKUP($B13,'Statistikk 05940 antall'!$B$73:$S$89,18,0)</f>
        <v>258.8</v>
      </c>
      <c r="I13" s="3">
        <f>VLOOKUP($B13,'Statistikk 05940 antall'!$B$90:$S$106,18,0)</f>
        <v>319.8</v>
      </c>
      <c r="J13" s="3">
        <f>VLOOKUP($B13,'Statistikk 05940 m2'!$B$5:$S$21,18,0)</f>
        <v>20361.2</v>
      </c>
      <c r="K13" s="3">
        <f>VLOOKUP($B13,'Statistikk 05940 m2'!$B$22:$S$38,18,0)</f>
        <v>4891.3999999999996</v>
      </c>
      <c r="L13" s="3">
        <f>VLOOKUP($B13,'Statistikk 05940 m2'!$B$39:$S$55,18,0)</f>
        <v>36099.199999999997</v>
      </c>
      <c r="M13" s="3">
        <f>VLOOKUP($B13,'Statistikk 05940 m2'!$B$56:$S$72,18,0)</f>
        <v>16649</v>
      </c>
      <c r="N13" s="3">
        <f>VLOOKUP($B13,'Statistikk 05940 m2'!$B$73:$S$89,18,0)</f>
        <v>22163</v>
      </c>
      <c r="O13" s="3">
        <f>VLOOKUP($B13,'Statistikk 05940 m2'!$B$90:$S$106,18,0)</f>
        <v>33892.199999999997</v>
      </c>
    </row>
    <row r="14" spans="2:15">
      <c r="B14" s="12" t="s">
        <v>71</v>
      </c>
      <c r="C14" s="1" t="s">
        <v>12</v>
      </c>
      <c r="D14" s="3">
        <f>VLOOKUP($B14,'Statistikk 05940 antall'!$B$5:$S$21,18,0)</f>
        <v>216.2</v>
      </c>
      <c r="E14" s="3">
        <f>VLOOKUP($B14,'Statistikk 05940 antall'!$B$22:$S$38,18,0)</f>
        <v>493.8</v>
      </c>
      <c r="F14" s="3">
        <f>VLOOKUP($B14,'Statistikk 05940 antall'!$B$39:$S$55,18,0)</f>
        <v>430.8</v>
      </c>
      <c r="G14" s="3">
        <f>VLOOKUP($B14,'Statistikk 05940 antall'!$B$56:$S$72,18,0)</f>
        <v>335</v>
      </c>
      <c r="H14" s="3">
        <f>VLOOKUP($B14,'Statistikk 05940 antall'!$B$73:$S$89,18,0)</f>
        <v>607.4</v>
      </c>
      <c r="I14" s="3">
        <f>VLOOKUP($B14,'Statistikk 05940 antall'!$B$90:$S$106,18,0)</f>
        <v>4688.3999999999996</v>
      </c>
      <c r="J14" s="3">
        <f>VLOOKUP($B14,'Statistikk 05940 m2'!$B$5:$S$21,18,0)</f>
        <v>25964.6</v>
      </c>
      <c r="K14" s="3">
        <f>VLOOKUP($B14,'Statistikk 05940 m2'!$B$22:$S$38,18,0)</f>
        <v>47496.6</v>
      </c>
      <c r="L14" s="3">
        <f>VLOOKUP($B14,'Statistikk 05940 m2'!$B$39:$S$55,18,0)</f>
        <v>43451.6</v>
      </c>
      <c r="M14" s="3">
        <f>VLOOKUP($B14,'Statistikk 05940 m2'!$B$56:$S$72,18,0)</f>
        <v>31251.599999999999</v>
      </c>
      <c r="N14" s="3">
        <f>VLOOKUP($B14,'Statistikk 05940 m2'!$B$73:$S$89,18,0)</f>
        <v>58884.2</v>
      </c>
      <c r="O14" s="3">
        <f>VLOOKUP($B14,'Statistikk 05940 m2'!$B$90:$S$106,18,0)</f>
        <v>453808.4</v>
      </c>
    </row>
    <row r="15" spans="2:15">
      <c r="B15" s="12" t="s">
        <v>72</v>
      </c>
      <c r="C15" s="1" t="s">
        <v>12</v>
      </c>
      <c r="D15" s="3">
        <f>VLOOKUP($B15,'Statistikk 05940 antall'!$B$5:$S$21,18,0)</f>
        <v>1.6</v>
      </c>
      <c r="E15" s="3">
        <f>VLOOKUP($B15,'Statistikk 05940 antall'!$B$22:$S$38,18,0)</f>
        <v>0</v>
      </c>
      <c r="F15" s="3">
        <f>VLOOKUP($B15,'Statistikk 05940 antall'!$B$39:$S$55,18,0)</f>
        <v>0</v>
      </c>
      <c r="G15" s="3">
        <f>VLOOKUP($B15,'Statistikk 05940 antall'!$B$56:$S$72,18,0)</f>
        <v>0</v>
      </c>
      <c r="H15" s="3">
        <f>VLOOKUP($B15,'Statistikk 05940 antall'!$B$73:$S$89,18,0)</f>
        <v>0</v>
      </c>
      <c r="I15" s="3">
        <f>VLOOKUP($B15,'Statistikk 05940 antall'!$B$90:$S$106,18,0)</f>
        <v>0</v>
      </c>
      <c r="J15" s="3">
        <f>VLOOKUP($B15,'Statistikk 05940 m2'!$B$5:$S$21,18,0)</f>
        <v>320</v>
      </c>
      <c r="K15" s="3">
        <f>VLOOKUP($B15,'Statistikk 05940 m2'!$B$22:$S$38,18,0)</f>
        <v>0</v>
      </c>
      <c r="L15" s="3">
        <f>VLOOKUP($B15,'Statistikk 05940 m2'!$B$39:$S$55,18,0)</f>
        <v>57</v>
      </c>
      <c r="M15" s="3">
        <f>VLOOKUP($B15,'Statistikk 05940 m2'!$B$56:$S$72,18,0)</f>
        <v>0</v>
      </c>
      <c r="N15" s="3">
        <f>VLOOKUP($B15,'Statistikk 05940 m2'!$B$73:$S$89,18,0)</f>
        <v>0</v>
      </c>
      <c r="O15" s="3">
        <f>VLOOKUP($B15,'Statistikk 05940 m2'!$B$90:$S$106,18,0)</f>
        <v>0</v>
      </c>
    </row>
    <row r="16" spans="2:15">
      <c r="B16" s="12" t="s">
        <v>73</v>
      </c>
      <c r="C16" s="1" t="s">
        <v>12</v>
      </c>
      <c r="D16" s="3">
        <f>VLOOKUP($B16,'Statistikk 05940 antall'!$B$5:$S$21,18,0)</f>
        <v>26.6</v>
      </c>
      <c r="E16" s="3">
        <f>VLOOKUP($B16,'Statistikk 05940 antall'!$B$22:$S$38,18,0)</f>
        <v>5.6</v>
      </c>
      <c r="F16" s="3">
        <f>VLOOKUP($B16,'Statistikk 05940 antall'!$B$39:$S$55,18,0)</f>
        <v>12</v>
      </c>
      <c r="G16" s="3">
        <f>VLOOKUP($B16,'Statistikk 05940 antall'!$B$56:$S$72,18,0)</f>
        <v>10.6</v>
      </c>
      <c r="H16" s="3">
        <f>VLOOKUP($B16,'Statistikk 05940 antall'!$B$73:$S$89,18,0)</f>
        <v>0</v>
      </c>
      <c r="I16" s="3">
        <f>VLOOKUP($B16,'Statistikk 05940 antall'!$B$90:$S$106,18,0)</f>
        <v>0</v>
      </c>
      <c r="J16" s="3">
        <f>VLOOKUP($B16,'Statistikk 05940 m2'!$B$5:$S$21,18,0)</f>
        <v>4040</v>
      </c>
      <c r="K16" s="3">
        <f>VLOOKUP($B16,'Statistikk 05940 m2'!$B$22:$S$38,18,0)</f>
        <v>404.8</v>
      </c>
      <c r="L16" s="3">
        <f>VLOOKUP($B16,'Statistikk 05940 m2'!$B$39:$S$55,18,0)</f>
        <v>1428.4</v>
      </c>
      <c r="M16" s="3">
        <f>VLOOKUP($B16,'Statistikk 05940 m2'!$B$56:$S$72,18,0)</f>
        <v>965.4</v>
      </c>
      <c r="N16" s="3">
        <f>VLOOKUP($B16,'Statistikk 05940 m2'!$B$73:$S$89,18,0)</f>
        <v>0</v>
      </c>
      <c r="O16" s="3">
        <f>VLOOKUP($B16,'Statistikk 05940 m2'!$B$90:$S$106,18,0)</f>
        <v>0</v>
      </c>
    </row>
    <row r="17" spans="2:15">
      <c r="B17" s="12" t="s">
        <v>74</v>
      </c>
      <c r="C17" s="1" t="s">
        <v>12</v>
      </c>
      <c r="D17" s="3">
        <f>VLOOKUP($B17,'Statistikk 05940 antall'!$B$5:$S$21,18,0)</f>
        <v>82.2</v>
      </c>
      <c r="E17" s="3">
        <f>VLOOKUP($B17,'Statistikk 05940 antall'!$B$22:$S$38,18,0)</f>
        <v>72.2</v>
      </c>
      <c r="F17" s="3">
        <f>VLOOKUP($B17,'Statistikk 05940 antall'!$B$39:$S$55,18,0)</f>
        <v>14.2</v>
      </c>
      <c r="G17" s="3">
        <f>VLOOKUP($B17,'Statistikk 05940 antall'!$B$56:$S$72,18,0)</f>
        <v>109.2</v>
      </c>
      <c r="H17" s="3">
        <f>VLOOKUP($B17,'Statistikk 05940 antall'!$B$73:$S$89,18,0)</f>
        <v>226.6</v>
      </c>
      <c r="I17" s="3">
        <f>VLOOKUP($B17,'Statistikk 05940 antall'!$B$90:$S$106,18,0)</f>
        <v>156.19999999999999</v>
      </c>
      <c r="J17" s="3">
        <f>VLOOKUP($B17,'Statistikk 05940 m2'!$B$5:$S$21,18,0)</f>
        <v>11494.2</v>
      </c>
      <c r="K17" s="3">
        <f>VLOOKUP($B17,'Statistikk 05940 m2'!$B$22:$S$38,18,0)</f>
        <v>6294.4</v>
      </c>
      <c r="L17" s="3">
        <f>VLOOKUP($B17,'Statistikk 05940 m2'!$B$39:$S$55,18,0)</f>
        <v>1281.2</v>
      </c>
      <c r="M17" s="3">
        <f>VLOOKUP($B17,'Statistikk 05940 m2'!$B$56:$S$72,18,0)</f>
        <v>14023.4</v>
      </c>
      <c r="N17" s="3">
        <f>VLOOKUP($B17,'Statistikk 05940 m2'!$B$73:$S$89,18,0)</f>
        <v>18919</v>
      </c>
      <c r="O17" s="3">
        <f>VLOOKUP($B17,'Statistikk 05940 m2'!$B$90:$S$106,18,0)</f>
        <v>13287.2</v>
      </c>
    </row>
    <row r="19" spans="2:15">
      <c r="B19" s="4"/>
      <c r="D19" s="11">
        <v>5</v>
      </c>
      <c r="E19" s="1">
        <f>D20+1</f>
        <v>22</v>
      </c>
      <c r="F19" s="1">
        <f t="shared" ref="F19:I19" si="0">E20+1</f>
        <v>39</v>
      </c>
      <c r="G19" s="1">
        <f t="shared" si="0"/>
        <v>56</v>
      </c>
      <c r="H19" s="1">
        <f t="shared" si="0"/>
        <v>73</v>
      </c>
      <c r="I19" s="1">
        <f t="shared" si="0"/>
        <v>90</v>
      </c>
    </row>
    <row r="20" spans="2:15">
      <c r="B20" s="4"/>
      <c r="D20" s="1">
        <v>21</v>
      </c>
      <c r="E20" s="1">
        <f>E19+$D$21</f>
        <v>38</v>
      </c>
      <c r="F20" s="1">
        <f t="shared" ref="F20:I20" si="1">F19+$D$21</f>
        <v>55</v>
      </c>
      <c r="G20" s="1">
        <f t="shared" si="1"/>
        <v>72</v>
      </c>
      <c r="H20" s="1">
        <f t="shared" si="1"/>
        <v>89</v>
      </c>
      <c r="I20" s="1">
        <f t="shared" si="1"/>
        <v>106</v>
      </c>
    </row>
    <row r="21" spans="2:15">
      <c r="B21" s="4"/>
      <c r="D21" s="1">
        <f>D20-D19</f>
        <v>16</v>
      </c>
    </row>
    <row r="22" spans="2:15">
      <c r="B22" s="4"/>
    </row>
    <row r="25" spans="2:15">
      <c r="D25" s="220" t="s">
        <v>117</v>
      </c>
      <c r="E25" s="220"/>
      <c r="F25" s="220"/>
      <c r="G25" s="220"/>
      <c r="H25" s="220"/>
      <c r="I25" s="220"/>
      <c r="J25" s="220" t="s">
        <v>129</v>
      </c>
      <c r="K25" s="220"/>
      <c r="L25" s="220"/>
      <c r="M25" s="220"/>
      <c r="N25" s="220"/>
      <c r="O25" s="220"/>
    </row>
    <row r="26" spans="2:15">
      <c r="D26" s="13" t="s">
        <v>10</v>
      </c>
      <c r="E26" s="13" t="s">
        <v>48</v>
      </c>
      <c r="F26" s="13" t="s">
        <v>46</v>
      </c>
      <c r="G26" s="13" t="s">
        <v>45</v>
      </c>
      <c r="H26" s="13" t="s">
        <v>47</v>
      </c>
      <c r="I26" s="13" t="s">
        <v>44</v>
      </c>
      <c r="J26" s="13" t="s">
        <v>10</v>
      </c>
      <c r="K26" s="13" t="s">
        <v>48</v>
      </c>
      <c r="L26" s="13" t="s">
        <v>46</v>
      </c>
      <c r="M26" s="13" t="s">
        <v>45</v>
      </c>
      <c r="N26" s="13" t="s">
        <v>47</v>
      </c>
      <c r="O26" s="13" t="s">
        <v>44</v>
      </c>
    </row>
    <row r="27" spans="2:15">
      <c r="C27" s="1" t="s">
        <v>36</v>
      </c>
      <c r="D27" s="3">
        <f t="shared" ref="D27:I30" si="2">SUMIFS(D$4:D$17,$C$4:$C$17,$C27)</f>
        <v>157</v>
      </c>
      <c r="E27" s="3">
        <f t="shared" si="2"/>
        <v>95.6</v>
      </c>
      <c r="F27" s="3">
        <f t="shared" si="2"/>
        <v>156.19999999999999</v>
      </c>
      <c r="G27" s="3">
        <f t="shared" si="2"/>
        <v>331.8</v>
      </c>
      <c r="H27" s="3">
        <f t="shared" si="2"/>
        <v>153.20000000000002</v>
      </c>
      <c r="I27" s="3">
        <f t="shared" si="2"/>
        <v>489.8</v>
      </c>
      <c r="J27" s="2">
        <f>D27/SUM(D$27:D$30)</f>
        <v>0.19823232323232323</v>
      </c>
      <c r="K27" s="2">
        <f t="shared" ref="K27:N27" si="3">E27/SUM(E$27:E$30)</f>
        <v>0.10743987412901775</v>
      </c>
      <c r="L27" s="2">
        <f t="shared" si="3"/>
        <v>0.14202582287688667</v>
      </c>
      <c r="M27" s="2">
        <f t="shared" si="3"/>
        <v>0.27435091781048454</v>
      </c>
      <c r="N27" s="2">
        <f t="shared" si="3"/>
        <v>9.6098356542466457E-2</v>
      </c>
      <c r="O27" s="2">
        <f>I27/SUM(I$27:I$30)</f>
        <v>7.7901835416865489E-2</v>
      </c>
    </row>
    <row r="28" spans="2:15">
      <c r="C28" s="1" t="s">
        <v>37</v>
      </c>
      <c r="D28" s="3">
        <f t="shared" si="2"/>
        <v>67.2</v>
      </c>
      <c r="E28" s="3">
        <f t="shared" si="2"/>
        <v>77.599999999999994</v>
      </c>
      <c r="F28" s="3">
        <f t="shared" si="2"/>
        <v>84.8</v>
      </c>
      <c r="G28" s="3">
        <f t="shared" si="2"/>
        <v>108</v>
      </c>
      <c r="H28" s="3">
        <f t="shared" si="2"/>
        <v>67</v>
      </c>
      <c r="I28" s="3">
        <f t="shared" si="2"/>
        <v>323.8</v>
      </c>
      <c r="J28" s="2">
        <f t="shared" ref="J28:J29" si="4">D28/SUM(D$27:D$30)</f>
        <v>8.4848484848484854E-2</v>
      </c>
      <c r="K28" s="2">
        <f t="shared" ref="K28:K30" si="5">E28/SUM(E$27:E$30)</f>
        <v>8.7210609125646196E-2</v>
      </c>
      <c r="L28" s="2">
        <f t="shared" ref="L28:L30" si="6">F28/SUM(F$27:F$30)</f>
        <v>7.7104928168757941E-2</v>
      </c>
      <c r="M28" s="2">
        <f t="shared" ref="M28:M30" si="7">G28/SUM(G$27:G$30)</f>
        <v>8.9300479576649577E-2</v>
      </c>
      <c r="N28" s="2">
        <f t="shared" ref="N28:N30" si="8">H28/SUM(H$27:H$30)</f>
        <v>4.2027349140634808E-2</v>
      </c>
      <c r="O28" s="2">
        <f t="shared" ref="O28:O30" si="9">I28/SUM(I$27:I$30)</f>
        <v>5.1499825046919238E-2</v>
      </c>
    </row>
    <row r="29" spans="2:15">
      <c r="C29" s="1" t="s">
        <v>38</v>
      </c>
      <c r="D29" s="3">
        <f t="shared" si="2"/>
        <v>83.8</v>
      </c>
      <c r="E29" s="3">
        <f t="shared" si="2"/>
        <v>100.2</v>
      </c>
      <c r="F29" s="3">
        <f t="shared" si="2"/>
        <v>65.2</v>
      </c>
      <c r="G29" s="3">
        <f t="shared" si="2"/>
        <v>137.19999999999999</v>
      </c>
      <c r="H29" s="3">
        <f t="shared" si="2"/>
        <v>250.8</v>
      </c>
      <c r="I29" s="3">
        <f t="shared" si="2"/>
        <v>281</v>
      </c>
      <c r="J29" s="2">
        <f t="shared" si="4"/>
        <v>0.10580808080808081</v>
      </c>
      <c r="K29" s="2">
        <f t="shared" si="5"/>
        <v>0.11260957518543492</v>
      </c>
      <c r="L29" s="2">
        <f t="shared" si="6"/>
        <v>5.928350609201672E-2</v>
      </c>
      <c r="M29" s="2">
        <f t="shared" si="7"/>
        <v>0.11344468331404001</v>
      </c>
      <c r="N29" s="2">
        <f t="shared" si="8"/>
        <v>0.15732028603688372</v>
      </c>
      <c r="O29" s="2">
        <f t="shared" si="9"/>
        <v>4.4692559722619846E-2</v>
      </c>
    </row>
    <row r="30" spans="2:15">
      <c r="C30" s="1" t="s">
        <v>12</v>
      </c>
      <c r="D30" s="3">
        <f t="shared" si="2"/>
        <v>484.00000000000006</v>
      </c>
      <c r="E30" s="3">
        <f t="shared" si="2"/>
        <v>616.40000000000009</v>
      </c>
      <c r="F30" s="3">
        <f t="shared" si="2"/>
        <v>793.60000000000014</v>
      </c>
      <c r="G30" s="3">
        <f t="shared" si="2"/>
        <v>632.40000000000009</v>
      </c>
      <c r="H30" s="3">
        <f t="shared" si="2"/>
        <v>1123.1999999999998</v>
      </c>
      <c r="I30" s="3">
        <f t="shared" si="2"/>
        <v>5192.7999999999993</v>
      </c>
      <c r="J30" s="2">
        <f>D30/SUM(D$27:D$30)</f>
        <v>0.61111111111111116</v>
      </c>
      <c r="K30" s="2">
        <f t="shared" si="5"/>
        <v>0.69273994155990115</v>
      </c>
      <c r="L30" s="2">
        <f t="shared" si="6"/>
        <v>0.72158574286233856</v>
      </c>
      <c r="M30" s="2">
        <f t="shared" si="7"/>
        <v>0.52290391929882585</v>
      </c>
      <c r="N30" s="2">
        <f t="shared" si="8"/>
        <v>0.70455400828001502</v>
      </c>
      <c r="O30" s="2">
        <f t="shared" si="9"/>
        <v>0.82590577981359536</v>
      </c>
    </row>
    <row r="31" spans="2:15">
      <c r="B31"/>
    </row>
    <row r="32" spans="2:15">
      <c r="B32"/>
      <c r="D32" s="220" t="s">
        <v>118</v>
      </c>
      <c r="E32" s="220"/>
      <c r="F32" s="220"/>
      <c r="G32" s="220"/>
      <c r="H32" s="220"/>
      <c r="I32" s="220"/>
      <c r="J32" s="220" t="s">
        <v>131</v>
      </c>
      <c r="K32" s="220"/>
      <c r="L32" s="220"/>
      <c r="M32" s="220"/>
      <c r="N32" s="220"/>
      <c r="O32" s="220"/>
    </row>
    <row r="33" spans="2:15">
      <c r="B33"/>
      <c r="D33" s="13" t="s">
        <v>10</v>
      </c>
      <c r="E33" s="13" t="s">
        <v>48</v>
      </c>
      <c r="F33" s="13" t="s">
        <v>46</v>
      </c>
      <c r="G33" s="13" t="s">
        <v>45</v>
      </c>
      <c r="H33" s="13" t="s">
        <v>47</v>
      </c>
      <c r="I33" s="13" t="s">
        <v>44</v>
      </c>
      <c r="J33" s="13" t="s">
        <v>10</v>
      </c>
      <c r="K33" s="13" t="s">
        <v>48</v>
      </c>
      <c r="L33" s="13" t="s">
        <v>46</v>
      </c>
      <c r="M33" s="13" t="s">
        <v>45</v>
      </c>
      <c r="N33" s="13" t="s">
        <v>47</v>
      </c>
      <c r="O33" s="13" t="s">
        <v>44</v>
      </c>
    </row>
    <row r="34" spans="2:15">
      <c r="B34"/>
      <c r="C34" s="1" t="s">
        <v>36</v>
      </c>
      <c r="D34" s="3">
        <f t="shared" ref="D34:I37" si="10">SUMIFS(J$4:J$17,$C$4:$C$17,$C27)</f>
        <v>29629.599999999999</v>
      </c>
      <c r="E34" s="3">
        <f t="shared" si="10"/>
        <v>21291</v>
      </c>
      <c r="F34" s="3">
        <f t="shared" si="10"/>
        <v>43339</v>
      </c>
      <c r="G34" s="3">
        <f t="shared" si="10"/>
        <v>69221.8</v>
      </c>
      <c r="H34" s="3">
        <f t="shared" si="10"/>
        <v>33475.599999999999</v>
      </c>
      <c r="I34" s="3">
        <f t="shared" si="10"/>
        <v>114902.59999999999</v>
      </c>
      <c r="J34" s="3">
        <f t="shared" ref="J34:O37" si="11">D34/D27</f>
        <v>188.72356687898088</v>
      </c>
      <c r="K34" s="3">
        <f t="shared" si="11"/>
        <v>222.70920502092051</v>
      </c>
      <c r="L34" s="3">
        <f t="shared" si="11"/>
        <v>277.45838668373881</v>
      </c>
      <c r="M34" s="3">
        <f t="shared" si="11"/>
        <v>208.62507534659434</v>
      </c>
      <c r="N34" s="3">
        <f t="shared" si="11"/>
        <v>218.50913838120101</v>
      </c>
      <c r="O34" s="3">
        <f t="shared" si="11"/>
        <v>234.59085340955491</v>
      </c>
    </row>
    <row r="35" spans="2:15">
      <c r="B35"/>
      <c r="C35" s="1" t="s">
        <v>37</v>
      </c>
      <c r="D35" s="3">
        <f t="shared" si="10"/>
        <v>8712.7999999999993</v>
      </c>
      <c r="E35" s="3">
        <f t="shared" si="10"/>
        <v>13322.6</v>
      </c>
      <c r="F35" s="3">
        <f t="shared" si="10"/>
        <v>18087.599999999999</v>
      </c>
      <c r="G35" s="3">
        <f t="shared" si="10"/>
        <v>18031.8</v>
      </c>
      <c r="H35" s="3">
        <f t="shared" si="10"/>
        <v>13289</v>
      </c>
      <c r="I35" s="3">
        <f t="shared" si="10"/>
        <v>61361.600000000006</v>
      </c>
      <c r="J35" s="3">
        <f t="shared" si="11"/>
        <v>129.6547619047619</v>
      </c>
      <c r="K35" s="3">
        <f t="shared" si="11"/>
        <v>171.68298969072166</v>
      </c>
      <c r="L35" s="3">
        <f t="shared" si="11"/>
        <v>213.29716981132074</v>
      </c>
      <c r="M35" s="3">
        <f t="shared" si="11"/>
        <v>166.96111111111111</v>
      </c>
      <c r="N35" s="3">
        <f t="shared" si="11"/>
        <v>198.34328358208955</v>
      </c>
      <c r="O35" s="3">
        <f t="shared" si="11"/>
        <v>189.50463248919087</v>
      </c>
    </row>
    <row r="36" spans="2:15">
      <c r="B36"/>
      <c r="C36" s="1" t="s">
        <v>38</v>
      </c>
      <c r="D36" s="3">
        <f t="shared" si="10"/>
        <v>10763.2</v>
      </c>
      <c r="E36" s="3">
        <f t="shared" si="10"/>
        <v>13641</v>
      </c>
      <c r="F36" s="3">
        <f t="shared" si="10"/>
        <v>9981.1999999999989</v>
      </c>
      <c r="G36" s="3">
        <f t="shared" si="10"/>
        <v>18524.600000000002</v>
      </c>
      <c r="H36" s="3">
        <f t="shared" si="10"/>
        <v>34702.799999999996</v>
      </c>
      <c r="I36" s="3">
        <f t="shared" si="10"/>
        <v>46933.200000000004</v>
      </c>
      <c r="J36" s="3">
        <f t="shared" si="11"/>
        <v>128.43914081145587</v>
      </c>
      <c r="K36" s="3">
        <f t="shared" si="11"/>
        <v>136.13772455089821</v>
      </c>
      <c r="L36" s="3">
        <f t="shared" si="11"/>
        <v>153.08588957055213</v>
      </c>
      <c r="M36" s="3">
        <f t="shared" si="11"/>
        <v>135.01895043731781</v>
      </c>
      <c r="N36" s="3">
        <f t="shared" si="11"/>
        <v>138.36842105263156</v>
      </c>
      <c r="O36" s="3">
        <f t="shared" si="11"/>
        <v>167.02206405693951</v>
      </c>
    </row>
    <row r="37" spans="2:15">
      <c r="B37"/>
      <c r="C37" s="1" t="s">
        <v>12</v>
      </c>
      <c r="D37" s="3">
        <f t="shared" si="10"/>
        <v>64507.199999999997</v>
      </c>
      <c r="E37" s="3">
        <f t="shared" si="10"/>
        <v>59157.599999999999</v>
      </c>
      <c r="F37" s="3">
        <f t="shared" si="10"/>
        <v>83047.799999999988</v>
      </c>
      <c r="G37" s="3">
        <f t="shared" si="10"/>
        <v>63659</v>
      </c>
      <c r="H37" s="3">
        <f t="shared" si="10"/>
        <v>102677.79999999999</v>
      </c>
      <c r="I37" s="3">
        <f t="shared" si="10"/>
        <v>504245.80000000005</v>
      </c>
      <c r="J37" s="3">
        <f t="shared" si="11"/>
        <v>133.27933884297519</v>
      </c>
      <c r="K37" s="3">
        <f t="shared" si="11"/>
        <v>95.972744970798161</v>
      </c>
      <c r="L37" s="3">
        <f t="shared" si="11"/>
        <v>104.64692540322578</v>
      </c>
      <c r="M37" s="3">
        <f t="shared" si="11"/>
        <v>100.66255534471851</v>
      </c>
      <c r="N37" s="3">
        <f t="shared" si="11"/>
        <v>91.415420227920237</v>
      </c>
      <c r="O37" s="3">
        <f t="shared" si="11"/>
        <v>97.10479895239564</v>
      </c>
    </row>
    <row r="38" spans="2:15">
      <c r="B38"/>
    </row>
  </sheetData>
  <mergeCells count="6">
    <mergeCell ref="D2:I2"/>
    <mergeCell ref="J2:O2"/>
    <mergeCell ref="D25:I25"/>
    <mergeCell ref="D32:I32"/>
    <mergeCell ref="J32:O32"/>
    <mergeCell ref="J25:O25"/>
  </mergeCells>
  <pageMargins left="0.7" right="0.7" top="0.75" bottom="0.75" header="0.3" footer="0.3"/>
  <headerFooter>
    <oddFooter>&amp;C_x000D_&amp;1#&amp;"Verdana"&amp;7&amp;K000000 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010ED-E624-4827-A1E9-23A5DF8D7AB2}">
  <dimension ref="A1:S169"/>
  <sheetViews>
    <sheetView workbookViewId="0"/>
  </sheetViews>
  <sheetFormatPr defaultRowHeight="12.75"/>
  <cols>
    <col min="1" max="1" width="19.85546875" customWidth="1"/>
    <col min="2" max="2" width="51" bestFit="1" customWidth="1"/>
  </cols>
  <sheetData>
    <row r="1" spans="1:19" ht="18.75">
      <c r="A1" s="8" t="s">
        <v>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3" spans="1:19" ht="15">
      <c r="A3" s="5"/>
      <c r="B3" s="5"/>
      <c r="C3" s="6" t="s">
        <v>50</v>
      </c>
      <c r="D3" s="5"/>
      <c r="E3" s="5"/>
      <c r="F3" s="5"/>
      <c r="G3" s="5"/>
      <c r="H3" s="6" t="s">
        <v>51</v>
      </c>
      <c r="I3" s="5"/>
      <c r="J3" s="5"/>
      <c r="K3" s="5"/>
      <c r="L3" s="5"/>
      <c r="N3" s="222" t="s">
        <v>7</v>
      </c>
      <c r="O3" s="222"/>
      <c r="P3" s="222"/>
      <c r="Q3" s="222"/>
      <c r="R3" s="222"/>
    </row>
    <row r="4" spans="1:19" ht="15">
      <c r="A4" s="5"/>
      <c r="B4" s="5"/>
      <c r="C4" s="6" t="s">
        <v>52</v>
      </c>
      <c r="D4" s="6" t="s">
        <v>53</v>
      </c>
      <c r="E4" s="6" t="s">
        <v>54</v>
      </c>
      <c r="F4" s="6" t="s">
        <v>55</v>
      </c>
      <c r="G4" s="6" t="s">
        <v>56</v>
      </c>
      <c r="H4" s="6" t="s">
        <v>52</v>
      </c>
      <c r="I4" s="6" t="s">
        <v>53</v>
      </c>
      <c r="J4" s="6" t="s">
        <v>54</v>
      </c>
      <c r="K4" s="6" t="s">
        <v>55</v>
      </c>
      <c r="L4" s="6" t="s">
        <v>56</v>
      </c>
      <c r="N4" s="6" t="s">
        <v>52</v>
      </c>
      <c r="O4" s="6" t="s">
        <v>53</v>
      </c>
      <c r="P4" s="6" t="s">
        <v>54</v>
      </c>
      <c r="Q4" s="6" t="s">
        <v>55</v>
      </c>
      <c r="R4" s="6" t="s">
        <v>56</v>
      </c>
      <c r="S4" s="6" t="s">
        <v>116</v>
      </c>
    </row>
    <row r="5" spans="1:19" ht="15">
      <c r="A5" s="6" t="s">
        <v>57</v>
      </c>
      <c r="B5" s="6" t="s">
        <v>58</v>
      </c>
      <c r="C5" s="7">
        <v>67</v>
      </c>
      <c r="D5" s="7">
        <v>59</v>
      </c>
      <c r="E5" s="7">
        <v>66</v>
      </c>
      <c r="F5" s="7">
        <v>39</v>
      </c>
      <c r="G5" s="7">
        <v>58</v>
      </c>
      <c r="H5" s="7">
        <v>62</v>
      </c>
      <c r="I5" s="7">
        <v>53</v>
      </c>
      <c r="J5" s="7">
        <v>48</v>
      </c>
      <c r="K5" s="7">
        <v>53</v>
      </c>
      <c r="L5" s="7">
        <v>31</v>
      </c>
      <c r="N5" s="9">
        <f>C5+H5</f>
        <v>129</v>
      </c>
      <c r="O5" s="9">
        <f t="shared" ref="O5:R20" si="0">D5+I5</f>
        <v>112</v>
      </c>
      <c r="P5" s="9">
        <f t="shared" si="0"/>
        <v>114</v>
      </c>
      <c r="Q5" s="9">
        <f t="shared" si="0"/>
        <v>92</v>
      </c>
      <c r="R5" s="9">
        <f>G5+L5</f>
        <v>89</v>
      </c>
      <c r="S5" s="10">
        <f>AVERAGEA(N5:R5)</f>
        <v>107.2</v>
      </c>
    </row>
    <row r="6" spans="1:19" ht="15">
      <c r="A6" s="5"/>
      <c r="B6" s="6" t="s">
        <v>59</v>
      </c>
      <c r="C6" s="7">
        <v>26</v>
      </c>
      <c r="D6" s="7">
        <v>16</v>
      </c>
      <c r="E6" s="7">
        <v>24</v>
      </c>
      <c r="F6" s="7">
        <v>36</v>
      </c>
      <c r="G6" s="7">
        <v>34</v>
      </c>
      <c r="H6" s="7">
        <v>18</v>
      </c>
      <c r="I6" s="7">
        <v>22</v>
      </c>
      <c r="J6" s="7">
        <v>18</v>
      </c>
      <c r="K6" s="7">
        <v>19</v>
      </c>
      <c r="L6" s="7">
        <v>36</v>
      </c>
      <c r="N6" s="9">
        <f t="shared" ref="N6:R68" si="1">C6+H6</f>
        <v>44</v>
      </c>
      <c r="O6" s="9">
        <f t="shared" si="0"/>
        <v>38</v>
      </c>
      <c r="P6" s="9">
        <f t="shared" si="0"/>
        <v>42</v>
      </c>
      <c r="Q6" s="9">
        <f t="shared" si="0"/>
        <v>55</v>
      </c>
      <c r="R6" s="9">
        <f t="shared" si="0"/>
        <v>70</v>
      </c>
      <c r="S6" s="10">
        <f t="shared" ref="S6:S69" si="2">AVERAGEA(N6:R6)</f>
        <v>49.8</v>
      </c>
    </row>
    <row r="7" spans="1:19" ht="15">
      <c r="A7" s="5"/>
      <c r="B7" s="6" t="s">
        <v>60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1</v>
      </c>
      <c r="J7" s="7">
        <v>0</v>
      </c>
      <c r="K7" s="7">
        <v>0</v>
      </c>
      <c r="L7" s="7">
        <v>0</v>
      </c>
      <c r="N7" s="9">
        <f t="shared" si="1"/>
        <v>0</v>
      </c>
      <c r="O7" s="9">
        <f t="shared" si="0"/>
        <v>1</v>
      </c>
      <c r="P7" s="9">
        <f t="shared" si="0"/>
        <v>0</v>
      </c>
      <c r="Q7" s="9">
        <f t="shared" si="0"/>
        <v>0</v>
      </c>
      <c r="R7" s="9">
        <f t="shared" si="0"/>
        <v>0</v>
      </c>
      <c r="S7" s="10">
        <f t="shared" si="2"/>
        <v>0.2</v>
      </c>
    </row>
    <row r="8" spans="1:19" ht="15">
      <c r="A8" s="5"/>
      <c r="B8" s="6" t="s">
        <v>61</v>
      </c>
      <c r="C8" s="7">
        <v>20</v>
      </c>
      <c r="D8" s="7">
        <v>24</v>
      </c>
      <c r="E8" s="7">
        <v>16</v>
      </c>
      <c r="F8" s="7">
        <v>63</v>
      </c>
      <c r="G8" s="7">
        <v>25</v>
      </c>
      <c r="H8" s="7">
        <v>25</v>
      </c>
      <c r="I8" s="7">
        <v>20</v>
      </c>
      <c r="J8" s="7">
        <v>16</v>
      </c>
      <c r="K8" s="7">
        <v>21</v>
      </c>
      <c r="L8" s="7">
        <v>25</v>
      </c>
      <c r="N8" s="9">
        <f t="shared" si="1"/>
        <v>45</v>
      </c>
      <c r="O8" s="9">
        <f t="shared" si="0"/>
        <v>44</v>
      </c>
      <c r="P8" s="9">
        <f t="shared" si="0"/>
        <v>32</v>
      </c>
      <c r="Q8" s="9">
        <f t="shared" si="0"/>
        <v>84</v>
      </c>
      <c r="R8" s="9">
        <f t="shared" si="0"/>
        <v>50</v>
      </c>
      <c r="S8" s="10">
        <f t="shared" si="2"/>
        <v>51</v>
      </c>
    </row>
    <row r="9" spans="1:19" ht="15">
      <c r="A9" s="5"/>
      <c r="B9" s="6" t="s">
        <v>62</v>
      </c>
      <c r="C9" s="7">
        <v>12</v>
      </c>
      <c r="D9" s="7">
        <v>4</v>
      </c>
      <c r="E9" s="7">
        <v>6</v>
      </c>
      <c r="F9" s="7">
        <v>4</v>
      </c>
      <c r="G9" s="7">
        <v>6</v>
      </c>
      <c r="H9" s="7">
        <v>14</v>
      </c>
      <c r="I9" s="7">
        <v>3</v>
      </c>
      <c r="J9" s="7">
        <v>1</v>
      </c>
      <c r="K9" s="7">
        <v>17</v>
      </c>
      <c r="L9" s="7">
        <v>14</v>
      </c>
      <c r="N9" s="9">
        <f t="shared" si="1"/>
        <v>26</v>
      </c>
      <c r="O9" s="9">
        <f t="shared" si="0"/>
        <v>7</v>
      </c>
      <c r="P9" s="9">
        <f t="shared" si="0"/>
        <v>7</v>
      </c>
      <c r="Q9" s="9">
        <f t="shared" si="0"/>
        <v>21</v>
      </c>
      <c r="R9" s="9">
        <f t="shared" si="0"/>
        <v>20</v>
      </c>
      <c r="S9" s="10">
        <f t="shared" si="2"/>
        <v>16.2</v>
      </c>
    </row>
    <row r="10" spans="1:19" ht="15">
      <c r="A10" s="5"/>
      <c r="B10" s="6" t="s">
        <v>63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N10" s="9">
        <f t="shared" si="1"/>
        <v>0</v>
      </c>
      <c r="O10" s="9">
        <f t="shared" si="0"/>
        <v>0</v>
      </c>
      <c r="P10" s="9">
        <f t="shared" si="0"/>
        <v>0</v>
      </c>
      <c r="Q10" s="9">
        <f t="shared" si="0"/>
        <v>0</v>
      </c>
      <c r="R10" s="9">
        <f t="shared" si="0"/>
        <v>0</v>
      </c>
      <c r="S10" s="10">
        <f t="shared" si="2"/>
        <v>0</v>
      </c>
    </row>
    <row r="11" spans="1:19" ht="15">
      <c r="A11" s="5"/>
      <c r="B11" s="6" t="s">
        <v>64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N11" s="9">
        <f t="shared" si="1"/>
        <v>0</v>
      </c>
      <c r="O11" s="9">
        <f t="shared" si="0"/>
        <v>0</v>
      </c>
      <c r="P11" s="9">
        <f t="shared" si="0"/>
        <v>0</v>
      </c>
      <c r="Q11" s="9">
        <f t="shared" si="0"/>
        <v>0</v>
      </c>
      <c r="R11" s="9">
        <f t="shared" si="0"/>
        <v>0</v>
      </c>
      <c r="S11" s="10">
        <f t="shared" si="2"/>
        <v>0</v>
      </c>
    </row>
    <row r="12" spans="1:19" ht="15">
      <c r="A12" s="5"/>
      <c r="B12" s="6" t="s">
        <v>65</v>
      </c>
      <c r="C12" s="7">
        <v>26</v>
      </c>
      <c r="D12" s="7">
        <v>37</v>
      </c>
      <c r="E12" s="7">
        <v>0</v>
      </c>
      <c r="F12" s="7">
        <v>63</v>
      </c>
      <c r="G12" s="7">
        <v>2</v>
      </c>
      <c r="H12" s="7">
        <v>26</v>
      </c>
      <c r="I12" s="7">
        <v>19</v>
      </c>
      <c r="J12" s="7">
        <v>37</v>
      </c>
      <c r="K12" s="7">
        <v>9</v>
      </c>
      <c r="L12" s="7">
        <v>10</v>
      </c>
      <c r="N12" s="9">
        <f t="shared" si="1"/>
        <v>52</v>
      </c>
      <c r="O12" s="9">
        <f t="shared" si="0"/>
        <v>56</v>
      </c>
      <c r="P12" s="9">
        <f t="shared" si="0"/>
        <v>37</v>
      </c>
      <c r="Q12" s="9">
        <f t="shared" si="0"/>
        <v>72</v>
      </c>
      <c r="R12" s="9">
        <f t="shared" si="0"/>
        <v>12</v>
      </c>
      <c r="S12" s="10">
        <f t="shared" si="2"/>
        <v>45.8</v>
      </c>
    </row>
    <row r="13" spans="1:19" ht="15">
      <c r="A13" s="5"/>
      <c r="B13" s="6" t="s">
        <v>66</v>
      </c>
      <c r="C13" s="7">
        <v>32</v>
      </c>
      <c r="D13" s="7">
        <v>8</v>
      </c>
      <c r="E13" s="7">
        <v>10</v>
      </c>
      <c r="F13" s="7">
        <v>0</v>
      </c>
      <c r="G13" s="7">
        <v>0</v>
      </c>
      <c r="H13" s="7">
        <v>3</v>
      </c>
      <c r="I13" s="7">
        <v>25</v>
      </c>
      <c r="J13" s="7">
        <v>16</v>
      </c>
      <c r="K13" s="7">
        <v>6</v>
      </c>
      <c r="L13" s="7">
        <v>9</v>
      </c>
      <c r="N13" s="9">
        <f t="shared" si="1"/>
        <v>35</v>
      </c>
      <c r="O13" s="9">
        <f t="shared" si="0"/>
        <v>33</v>
      </c>
      <c r="P13" s="9">
        <f t="shared" si="0"/>
        <v>26</v>
      </c>
      <c r="Q13" s="9">
        <f t="shared" si="0"/>
        <v>6</v>
      </c>
      <c r="R13" s="9">
        <f t="shared" si="0"/>
        <v>9</v>
      </c>
      <c r="S13" s="10">
        <f t="shared" si="2"/>
        <v>21.8</v>
      </c>
    </row>
    <row r="14" spans="1:19" ht="15">
      <c r="A14" s="5"/>
      <c r="B14" s="6" t="s">
        <v>67</v>
      </c>
      <c r="C14" s="7">
        <v>0</v>
      </c>
      <c r="D14" s="7">
        <v>0</v>
      </c>
      <c r="E14" s="7">
        <v>0</v>
      </c>
      <c r="F14" s="7">
        <v>0</v>
      </c>
      <c r="G14" s="7">
        <v>23</v>
      </c>
      <c r="H14" s="7">
        <v>0</v>
      </c>
      <c r="I14" s="7">
        <v>11</v>
      </c>
      <c r="J14" s="7">
        <v>14</v>
      </c>
      <c r="K14" s="7">
        <v>0</v>
      </c>
      <c r="L14" s="7">
        <v>0</v>
      </c>
      <c r="N14" s="9">
        <f t="shared" si="1"/>
        <v>0</v>
      </c>
      <c r="O14" s="9">
        <f t="shared" si="0"/>
        <v>11</v>
      </c>
      <c r="P14" s="9">
        <f t="shared" si="0"/>
        <v>14</v>
      </c>
      <c r="Q14" s="9">
        <f t="shared" si="0"/>
        <v>0</v>
      </c>
      <c r="R14" s="9">
        <f t="shared" si="0"/>
        <v>23</v>
      </c>
      <c r="S14" s="10">
        <f t="shared" si="2"/>
        <v>9.6</v>
      </c>
    </row>
    <row r="15" spans="1:19" ht="15">
      <c r="A15" s="5"/>
      <c r="B15" s="6" t="s">
        <v>68</v>
      </c>
      <c r="C15" s="7">
        <v>6</v>
      </c>
      <c r="D15" s="7">
        <v>12</v>
      </c>
      <c r="E15" s="7">
        <v>27</v>
      </c>
      <c r="F15" s="7">
        <v>4</v>
      </c>
      <c r="G15" s="7">
        <v>0</v>
      </c>
      <c r="H15" s="7">
        <v>1</v>
      </c>
      <c r="I15" s="7">
        <v>6</v>
      </c>
      <c r="J15" s="7">
        <v>13</v>
      </c>
      <c r="K15" s="7">
        <v>8</v>
      </c>
      <c r="L15" s="7">
        <v>4</v>
      </c>
      <c r="N15" s="9">
        <f t="shared" si="1"/>
        <v>7</v>
      </c>
      <c r="O15" s="9">
        <f t="shared" si="0"/>
        <v>18</v>
      </c>
      <c r="P15" s="9">
        <f t="shared" si="0"/>
        <v>40</v>
      </c>
      <c r="Q15" s="9">
        <f t="shared" si="0"/>
        <v>12</v>
      </c>
      <c r="R15" s="9">
        <f t="shared" si="0"/>
        <v>4</v>
      </c>
      <c r="S15" s="10">
        <f t="shared" si="2"/>
        <v>16.2</v>
      </c>
    </row>
    <row r="16" spans="1:19" ht="15">
      <c r="A16" s="5"/>
      <c r="B16" s="6" t="s">
        <v>69</v>
      </c>
      <c r="C16" s="7">
        <v>4</v>
      </c>
      <c r="D16" s="7">
        <v>0</v>
      </c>
      <c r="E16" s="7">
        <v>6</v>
      </c>
      <c r="F16" s="7">
        <v>13</v>
      </c>
      <c r="G16" s="7">
        <v>8</v>
      </c>
      <c r="H16" s="7">
        <v>0</v>
      </c>
      <c r="I16" s="7">
        <v>4</v>
      </c>
      <c r="J16" s="7">
        <v>0</v>
      </c>
      <c r="K16" s="7">
        <v>0</v>
      </c>
      <c r="L16" s="7">
        <v>10</v>
      </c>
      <c r="N16" s="9">
        <f t="shared" si="1"/>
        <v>4</v>
      </c>
      <c r="O16" s="9">
        <f t="shared" si="0"/>
        <v>4</v>
      </c>
      <c r="P16" s="9">
        <f t="shared" si="0"/>
        <v>6</v>
      </c>
      <c r="Q16" s="9">
        <f t="shared" si="0"/>
        <v>13</v>
      </c>
      <c r="R16" s="9">
        <f t="shared" si="0"/>
        <v>18</v>
      </c>
      <c r="S16" s="10">
        <f t="shared" si="2"/>
        <v>9</v>
      </c>
    </row>
    <row r="17" spans="1:19" ht="15">
      <c r="A17" s="5"/>
      <c r="B17" s="6" t="s">
        <v>70</v>
      </c>
      <c r="C17" s="7">
        <v>54</v>
      </c>
      <c r="D17" s="7">
        <v>104</v>
      </c>
      <c r="E17" s="7">
        <v>41</v>
      </c>
      <c r="F17" s="7">
        <v>101</v>
      </c>
      <c r="G17" s="7">
        <v>50</v>
      </c>
      <c r="H17" s="7">
        <v>120</v>
      </c>
      <c r="I17" s="7">
        <v>65</v>
      </c>
      <c r="J17" s="7">
        <v>106</v>
      </c>
      <c r="K17" s="7">
        <v>45</v>
      </c>
      <c r="L17" s="7">
        <v>8</v>
      </c>
      <c r="N17" s="9">
        <f t="shared" si="1"/>
        <v>174</v>
      </c>
      <c r="O17" s="9">
        <f t="shared" si="0"/>
        <v>169</v>
      </c>
      <c r="P17" s="9">
        <f t="shared" si="0"/>
        <v>147</v>
      </c>
      <c r="Q17" s="9">
        <f t="shared" si="0"/>
        <v>146</v>
      </c>
      <c r="R17" s="9">
        <f t="shared" si="0"/>
        <v>58</v>
      </c>
      <c r="S17" s="10">
        <f t="shared" si="2"/>
        <v>138.80000000000001</v>
      </c>
    </row>
    <row r="18" spans="1:19" ht="15">
      <c r="A18" s="5"/>
      <c r="B18" s="6" t="s">
        <v>71</v>
      </c>
      <c r="C18" s="7">
        <v>67</v>
      </c>
      <c r="D18" s="7">
        <v>49</v>
      </c>
      <c r="E18" s="7">
        <v>192</v>
      </c>
      <c r="F18" s="7">
        <v>85</v>
      </c>
      <c r="G18" s="7">
        <v>44</v>
      </c>
      <c r="H18" s="7">
        <v>98</v>
      </c>
      <c r="I18" s="7">
        <v>232</v>
      </c>
      <c r="J18" s="7">
        <v>122</v>
      </c>
      <c r="K18" s="7">
        <v>60</v>
      </c>
      <c r="L18" s="7">
        <v>132</v>
      </c>
      <c r="N18" s="9">
        <f t="shared" si="1"/>
        <v>165</v>
      </c>
      <c r="O18" s="9">
        <f t="shared" si="0"/>
        <v>281</v>
      </c>
      <c r="P18" s="9">
        <f t="shared" si="0"/>
        <v>314</v>
      </c>
      <c r="Q18" s="9">
        <f t="shared" si="0"/>
        <v>145</v>
      </c>
      <c r="R18" s="9">
        <f t="shared" si="0"/>
        <v>176</v>
      </c>
      <c r="S18" s="10">
        <f t="shared" si="2"/>
        <v>216.2</v>
      </c>
    </row>
    <row r="19" spans="1:19" ht="15">
      <c r="A19" s="5"/>
      <c r="B19" s="6" t="s">
        <v>72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8</v>
      </c>
      <c r="J19" s="7">
        <v>0</v>
      </c>
      <c r="K19" s="7">
        <v>0</v>
      </c>
      <c r="L19" s="7">
        <v>0</v>
      </c>
      <c r="N19" s="9">
        <f t="shared" si="1"/>
        <v>0</v>
      </c>
      <c r="O19" s="9">
        <f t="shared" si="0"/>
        <v>8</v>
      </c>
      <c r="P19" s="9">
        <f t="shared" si="0"/>
        <v>0</v>
      </c>
      <c r="Q19" s="9">
        <f t="shared" si="0"/>
        <v>0</v>
      </c>
      <c r="R19" s="9">
        <f t="shared" si="0"/>
        <v>0</v>
      </c>
      <c r="S19" s="10">
        <f t="shared" si="2"/>
        <v>1.6</v>
      </c>
    </row>
    <row r="20" spans="1:19" ht="15">
      <c r="A20" s="5"/>
      <c r="B20" s="6" t="s">
        <v>73</v>
      </c>
      <c r="C20" s="7">
        <v>0</v>
      </c>
      <c r="D20" s="7">
        <v>0</v>
      </c>
      <c r="E20" s="7">
        <v>0</v>
      </c>
      <c r="F20" s="7">
        <v>39</v>
      </c>
      <c r="G20" s="7">
        <v>48</v>
      </c>
      <c r="H20" s="7">
        <v>6</v>
      </c>
      <c r="I20" s="7">
        <v>0</v>
      </c>
      <c r="J20" s="7">
        <v>0</v>
      </c>
      <c r="K20" s="7">
        <v>0</v>
      </c>
      <c r="L20" s="7">
        <v>40</v>
      </c>
      <c r="N20" s="9">
        <f t="shared" si="1"/>
        <v>6</v>
      </c>
      <c r="O20" s="9">
        <f t="shared" si="0"/>
        <v>0</v>
      </c>
      <c r="P20" s="9">
        <f t="shared" si="0"/>
        <v>0</v>
      </c>
      <c r="Q20" s="9">
        <f t="shared" si="0"/>
        <v>39</v>
      </c>
      <c r="R20" s="9">
        <f t="shared" si="0"/>
        <v>88</v>
      </c>
      <c r="S20" s="10">
        <f t="shared" si="2"/>
        <v>26.6</v>
      </c>
    </row>
    <row r="21" spans="1:19" ht="15">
      <c r="A21" s="5"/>
      <c r="B21" s="6" t="s">
        <v>74</v>
      </c>
      <c r="C21" s="7">
        <v>71</v>
      </c>
      <c r="D21" s="7">
        <v>0</v>
      </c>
      <c r="E21" s="7">
        <v>0</v>
      </c>
      <c r="F21" s="7">
        <v>58</v>
      </c>
      <c r="G21" s="7">
        <v>72</v>
      </c>
      <c r="H21" s="7">
        <v>137</v>
      </c>
      <c r="I21" s="7">
        <v>73</v>
      </c>
      <c r="J21" s="7">
        <v>0</v>
      </c>
      <c r="K21" s="7">
        <v>0</v>
      </c>
      <c r="L21" s="7">
        <v>0</v>
      </c>
      <c r="N21" s="9">
        <f t="shared" si="1"/>
        <v>208</v>
      </c>
      <c r="O21" s="9">
        <f t="shared" si="1"/>
        <v>73</v>
      </c>
      <c r="P21" s="9">
        <f t="shared" si="1"/>
        <v>0</v>
      </c>
      <c r="Q21" s="9">
        <f t="shared" si="1"/>
        <v>58</v>
      </c>
      <c r="R21" s="9">
        <f t="shared" si="1"/>
        <v>72</v>
      </c>
      <c r="S21" s="10">
        <f t="shared" si="2"/>
        <v>82.2</v>
      </c>
    </row>
    <row r="22" spans="1:19" ht="15">
      <c r="A22" s="6" t="s">
        <v>75</v>
      </c>
      <c r="B22" s="6" t="s">
        <v>58</v>
      </c>
      <c r="C22" s="7">
        <v>43</v>
      </c>
      <c r="D22" s="7">
        <v>55</v>
      </c>
      <c r="E22" s="7">
        <v>39</v>
      </c>
      <c r="F22" s="7">
        <v>24</v>
      </c>
      <c r="G22" s="7">
        <v>26</v>
      </c>
      <c r="H22" s="7">
        <v>21</v>
      </c>
      <c r="I22" s="7">
        <v>40</v>
      </c>
      <c r="J22" s="7">
        <v>64</v>
      </c>
      <c r="K22" s="7">
        <v>26</v>
      </c>
      <c r="L22" s="7">
        <v>23</v>
      </c>
      <c r="N22" s="9">
        <f t="shared" si="1"/>
        <v>64</v>
      </c>
      <c r="O22" s="9">
        <f t="shared" si="1"/>
        <v>95</v>
      </c>
      <c r="P22" s="9">
        <f t="shared" si="1"/>
        <v>103</v>
      </c>
      <c r="Q22" s="9">
        <f t="shared" si="1"/>
        <v>50</v>
      </c>
      <c r="R22" s="9">
        <f t="shared" si="1"/>
        <v>49</v>
      </c>
      <c r="S22" s="10">
        <f t="shared" si="2"/>
        <v>72.2</v>
      </c>
    </row>
    <row r="23" spans="1:19" ht="15">
      <c r="A23" s="5"/>
      <c r="B23" s="6" t="s">
        <v>59</v>
      </c>
      <c r="C23" s="7">
        <v>20</v>
      </c>
      <c r="D23" s="7">
        <v>6</v>
      </c>
      <c r="E23" s="7">
        <v>2</v>
      </c>
      <c r="F23" s="7">
        <v>21</v>
      </c>
      <c r="G23" s="7">
        <v>2</v>
      </c>
      <c r="H23" s="7">
        <v>14</v>
      </c>
      <c r="I23" s="7">
        <v>18</v>
      </c>
      <c r="J23" s="7">
        <v>6</v>
      </c>
      <c r="K23" s="7">
        <v>14</v>
      </c>
      <c r="L23" s="7">
        <v>14</v>
      </c>
      <c r="N23" s="9">
        <f t="shared" si="1"/>
        <v>34</v>
      </c>
      <c r="O23" s="9">
        <f t="shared" si="1"/>
        <v>24</v>
      </c>
      <c r="P23" s="9">
        <f t="shared" si="1"/>
        <v>8</v>
      </c>
      <c r="Q23" s="9">
        <f t="shared" si="1"/>
        <v>35</v>
      </c>
      <c r="R23" s="9">
        <f t="shared" si="1"/>
        <v>16</v>
      </c>
      <c r="S23" s="10">
        <f t="shared" si="2"/>
        <v>23.4</v>
      </c>
    </row>
    <row r="24" spans="1:19" ht="15">
      <c r="A24" s="5"/>
      <c r="B24" s="6" t="s">
        <v>60</v>
      </c>
      <c r="C24" s="7">
        <v>0</v>
      </c>
      <c r="D24" s="7">
        <v>2</v>
      </c>
      <c r="E24" s="7">
        <v>0</v>
      </c>
      <c r="F24" s="7">
        <v>0</v>
      </c>
      <c r="G24" s="7">
        <v>1</v>
      </c>
      <c r="H24" s="7">
        <v>0</v>
      </c>
      <c r="I24" s="7">
        <v>0</v>
      </c>
      <c r="J24" s="7">
        <v>1</v>
      </c>
      <c r="K24" s="7">
        <v>1</v>
      </c>
      <c r="L24" s="7">
        <v>0</v>
      </c>
      <c r="N24" s="9">
        <f t="shared" si="1"/>
        <v>0</v>
      </c>
      <c r="O24" s="9">
        <f t="shared" si="1"/>
        <v>2</v>
      </c>
      <c r="P24" s="9">
        <f t="shared" si="1"/>
        <v>1</v>
      </c>
      <c r="Q24" s="9">
        <f t="shared" si="1"/>
        <v>1</v>
      </c>
      <c r="R24" s="9">
        <f t="shared" si="1"/>
        <v>1</v>
      </c>
      <c r="S24" s="10">
        <f t="shared" si="2"/>
        <v>1</v>
      </c>
    </row>
    <row r="25" spans="1:19" ht="15">
      <c r="A25" s="5"/>
      <c r="B25" s="6" t="s">
        <v>61</v>
      </c>
      <c r="C25" s="7">
        <v>49</v>
      </c>
      <c r="D25" s="7">
        <v>43</v>
      </c>
      <c r="E25" s="7">
        <v>47</v>
      </c>
      <c r="F25" s="7">
        <v>34</v>
      </c>
      <c r="G25" s="7">
        <v>27</v>
      </c>
      <c r="H25" s="7">
        <v>39</v>
      </c>
      <c r="I25" s="7">
        <v>40</v>
      </c>
      <c r="J25" s="7">
        <v>24</v>
      </c>
      <c r="K25" s="7">
        <v>39</v>
      </c>
      <c r="L25" s="7">
        <v>41</v>
      </c>
      <c r="N25" s="9">
        <f t="shared" si="1"/>
        <v>88</v>
      </c>
      <c r="O25" s="9">
        <f t="shared" si="1"/>
        <v>83</v>
      </c>
      <c r="P25" s="9">
        <f t="shared" si="1"/>
        <v>71</v>
      </c>
      <c r="Q25" s="9">
        <f t="shared" si="1"/>
        <v>73</v>
      </c>
      <c r="R25" s="9">
        <f t="shared" si="1"/>
        <v>68</v>
      </c>
      <c r="S25" s="10">
        <f t="shared" si="2"/>
        <v>76.599999999999994</v>
      </c>
    </row>
    <row r="26" spans="1:19" ht="15">
      <c r="A26" s="5"/>
      <c r="B26" s="6" t="s">
        <v>62</v>
      </c>
      <c r="C26" s="7">
        <v>0</v>
      </c>
      <c r="D26" s="7">
        <v>0</v>
      </c>
      <c r="E26" s="7">
        <v>1</v>
      </c>
      <c r="F26" s="7">
        <v>1</v>
      </c>
      <c r="G26" s="7">
        <v>0</v>
      </c>
      <c r="H26" s="7">
        <v>0</v>
      </c>
      <c r="I26" s="7">
        <v>0</v>
      </c>
      <c r="J26" s="7">
        <v>1</v>
      </c>
      <c r="K26" s="7">
        <v>2</v>
      </c>
      <c r="L26" s="7">
        <v>0</v>
      </c>
      <c r="N26" s="9">
        <f t="shared" si="1"/>
        <v>0</v>
      </c>
      <c r="O26" s="9">
        <f t="shared" si="1"/>
        <v>0</v>
      </c>
      <c r="P26" s="9">
        <f t="shared" si="1"/>
        <v>2</v>
      </c>
      <c r="Q26" s="9">
        <f t="shared" si="1"/>
        <v>3</v>
      </c>
      <c r="R26" s="9">
        <f t="shared" si="1"/>
        <v>0</v>
      </c>
      <c r="S26" s="10">
        <f t="shared" si="2"/>
        <v>1</v>
      </c>
    </row>
    <row r="27" spans="1:19" ht="15">
      <c r="A27" s="5"/>
      <c r="B27" s="6" t="s">
        <v>63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N27" s="9">
        <f t="shared" si="1"/>
        <v>0</v>
      </c>
      <c r="O27" s="9">
        <f t="shared" si="1"/>
        <v>0</v>
      </c>
      <c r="P27" s="9">
        <f t="shared" si="1"/>
        <v>0</v>
      </c>
      <c r="Q27" s="9">
        <f t="shared" si="1"/>
        <v>0</v>
      </c>
      <c r="R27" s="9">
        <f t="shared" si="1"/>
        <v>0</v>
      </c>
      <c r="S27" s="10">
        <f t="shared" si="2"/>
        <v>0</v>
      </c>
    </row>
    <row r="28" spans="1:19" ht="15">
      <c r="A28" s="5"/>
      <c r="B28" s="6" t="s">
        <v>64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N28" s="9">
        <f t="shared" si="1"/>
        <v>0</v>
      </c>
      <c r="O28" s="9">
        <f t="shared" si="1"/>
        <v>0</v>
      </c>
      <c r="P28" s="9">
        <f t="shared" si="1"/>
        <v>0</v>
      </c>
      <c r="Q28" s="9">
        <f t="shared" si="1"/>
        <v>0</v>
      </c>
      <c r="R28" s="9">
        <f t="shared" si="1"/>
        <v>0</v>
      </c>
      <c r="S28" s="10">
        <f t="shared" si="2"/>
        <v>0</v>
      </c>
    </row>
    <row r="29" spans="1:19" ht="15">
      <c r="A29" s="5"/>
      <c r="B29" s="6" t="s">
        <v>65</v>
      </c>
      <c r="C29" s="7">
        <v>9</v>
      </c>
      <c r="D29" s="7">
        <v>133</v>
      </c>
      <c r="E29" s="7">
        <v>47</v>
      </c>
      <c r="F29" s="7">
        <v>37</v>
      </c>
      <c r="G29" s="7">
        <v>42</v>
      </c>
      <c r="H29" s="7">
        <v>33</v>
      </c>
      <c r="I29" s="7">
        <v>0</v>
      </c>
      <c r="J29" s="7">
        <v>69</v>
      </c>
      <c r="K29" s="7">
        <v>57</v>
      </c>
      <c r="L29" s="7">
        <v>64</v>
      </c>
      <c r="N29" s="9">
        <f t="shared" si="1"/>
        <v>42</v>
      </c>
      <c r="O29" s="9">
        <f t="shared" si="1"/>
        <v>133</v>
      </c>
      <c r="P29" s="9">
        <f t="shared" si="1"/>
        <v>116</v>
      </c>
      <c r="Q29" s="9">
        <f t="shared" si="1"/>
        <v>94</v>
      </c>
      <c r="R29" s="9">
        <f t="shared" si="1"/>
        <v>106</v>
      </c>
      <c r="S29" s="10">
        <f t="shared" si="2"/>
        <v>98.2</v>
      </c>
    </row>
    <row r="30" spans="1:19" ht="15">
      <c r="A30" s="5"/>
      <c r="B30" s="6" t="s">
        <v>66</v>
      </c>
      <c r="C30" s="7">
        <v>0</v>
      </c>
      <c r="D30" s="7">
        <v>0</v>
      </c>
      <c r="E30" s="7">
        <v>6</v>
      </c>
      <c r="F30" s="7">
        <v>0</v>
      </c>
      <c r="G30" s="7">
        <v>0</v>
      </c>
      <c r="H30" s="7">
        <v>2</v>
      </c>
      <c r="I30" s="7">
        <v>0</v>
      </c>
      <c r="J30" s="7">
        <v>0</v>
      </c>
      <c r="K30" s="7">
        <v>2</v>
      </c>
      <c r="L30" s="7">
        <v>0</v>
      </c>
      <c r="N30" s="9">
        <f t="shared" si="1"/>
        <v>2</v>
      </c>
      <c r="O30" s="9">
        <f t="shared" si="1"/>
        <v>0</v>
      </c>
      <c r="P30" s="9">
        <f t="shared" si="1"/>
        <v>6</v>
      </c>
      <c r="Q30" s="9">
        <f t="shared" si="1"/>
        <v>2</v>
      </c>
      <c r="R30" s="9">
        <f t="shared" si="1"/>
        <v>0</v>
      </c>
      <c r="S30" s="10">
        <f t="shared" si="2"/>
        <v>2</v>
      </c>
    </row>
    <row r="31" spans="1:19" ht="15">
      <c r="A31" s="5"/>
      <c r="B31" s="6" t="s">
        <v>67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N31" s="9">
        <f t="shared" si="1"/>
        <v>0</v>
      </c>
      <c r="O31" s="9">
        <f t="shared" si="1"/>
        <v>0</v>
      </c>
      <c r="P31" s="9">
        <f t="shared" si="1"/>
        <v>0</v>
      </c>
      <c r="Q31" s="9">
        <f t="shared" si="1"/>
        <v>0</v>
      </c>
      <c r="R31" s="9">
        <f t="shared" si="1"/>
        <v>0</v>
      </c>
      <c r="S31" s="10">
        <f t="shared" si="2"/>
        <v>0</v>
      </c>
    </row>
    <row r="32" spans="1:19" ht="15">
      <c r="A32" s="5"/>
      <c r="B32" s="6" t="s">
        <v>68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N32" s="9">
        <f t="shared" si="1"/>
        <v>0</v>
      </c>
      <c r="O32" s="9">
        <f t="shared" si="1"/>
        <v>0</v>
      </c>
      <c r="P32" s="9">
        <f t="shared" si="1"/>
        <v>0</v>
      </c>
      <c r="Q32" s="9">
        <f t="shared" si="1"/>
        <v>0</v>
      </c>
      <c r="R32" s="9">
        <f t="shared" si="1"/>
        <v>0</v>
      </c>
      <c r="S32" s="10">
        <f t="shared" si="2"/>
        <v>0</v>
      </c>
    </row>
    <row r="33" spans="1:19" ht="15">
      <c r="A33" s="5"/>
      <c r="B33" s="6" t="s">
        <v>69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N33" s="9">
        <f t="shared" si="1"/>
        <v>0</v>
      </c>
      <c r="O33" s="9">
        <f t="shared" si="1"/>
        <v>0</v>
      </c>
      <c r="P33" s="9">
        <f t="shared" si="1"/>
        <v>0</v>
      </c>
      <c r="Q33" s="9">
        <f t="shared" si="1"/>
        <v>0</v>
      </c>
      <c r="R33" s="9">
        <f t="shared" si="1"/>
        <v>0</v>
      </c>
      <c r="S33" s="10">
        <f t="shared" si="2"/>
        <v>0</v>
      </c>
    </row>
    <row r="34" spans="1:19" ht="15">
      <c r="A34" s="5"/>
      <c r="B34" s="6" t="s">
        <v>70</v>
      </c>
      <c r="C34" s="7">
        <v>23</v>
      </c>
      <c r="D34" s="7">
        <v>0</v>
      </c>
      <c r="E34" s="7">
        <v>58</v>
      </c>
      <c r="F34" s="7">
        <v>9</v>
      </c>
      <c r="G34" s="7">
        <v>8</v>
      </c>
      <c r="H34" s="7">
        <v>0</v>
      </c>
      <c r="I34" s="7">
        <v>26</v>
      </c>
      <c r="J34" s="7">
        <v>0</v>
      </c>
      <c r="K34" s="7">
        <v>58</v>
      </c>
      <c r="L34" s="7">
        <v>42</v>
      </c>
      <c r="N34" s="9">
        <f t="shared" si="1"/>
        <v>23</v>
      </c>
      <c r="O34" s="9">
        <f t="shared" si="1"/>
        <v>26</v>
      </c>
      <c r="P34" s="9">
        <f t="shared" si="1"/>
        <v>58</v>
      </c>
      <c r="Q34" s="9">
        <f t="shared" si="1"/>
        <v>67</v>
      </c>
      <c r="R34" s="9">
        <f t="shared" si="1"/>
        <v>50</v>
      </c>
      <c r="S34" s="10">
        <f t="shared" si="2"/>
        <v>44.8</v>
      </c>
    </row>
    <row r="35" spans="1:19" ht="15">
      <c r="A35" s="5"/>
      <c r="B35" s="6" t="s">
        <v>71</v>
      </c>
      <c r="C35" s="7">
        <v>187</v>
      </c>
      <c r="D35" s="7">
        <v>127</v>
      </c>
      <c r="E35" s="7">
        <v>304</v>
      </c>
      <c r="F35" s="7">
        <v>468</v>
      </c>
      <c r="G35" s="7">
        <v>380</v>
      </c>
      <c r="H35" s="7">
        <v>60</v>
      </c>
      <c r="I35" s="7">
        <v>196</v>
      </c>
      <c r="J35" s="7">
        <v>123</v>
      </c>
      <c r="K35" s="7">
        <v>191</v>
      </c>
      <c r="L35" s="7">
        <v>433</v>
      </c>
      <c r="N35" s="9">
        <f t="shared" si="1"/>
        <v>247</v>
      </c>
      <c r="O35" s="9">
        <f t="shared" si="1"/>
        <v>323</v>
      </c>
      <c r="P35" s="9">
        <f t="shared" si="1"/>
        <v>427</v>
      </c>
      <c r="Q35" s="9">
        <f t="shared" si="1"/>
        <v>659</v>
      </c>
      <c r="R35" s="9">
        <f t="shared" si="1"/>
        <v>813</v>
      </c>
      <c r="S35" s="10">
        <f t="shared" si="2"/>
        <v>493.8</v>
      </c>
    </row>
    <row r="36" spans="1:19" ht="15">
      <c r="A36" s="5"/>
      <c r="B36" s="6" t="s">
        <v>72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N36" s="9">
        <f t="shared" si="1"/>
        <v>0</v>
      </c>
      <c r="O36" s="9">
        <f t="shared" si="1"/>
        <v>0</v>
      </c>
      <c r="P36" s="9">
        <f t="shared" si="1"/>
        <v>0</v>
      </c>
      <c r="Q36" s="9">
        <f t="shared" si="1"/>
        <v>0</v>
      </c>
      <c r="R36" s="9">
        <f t="shared" si="1"/>
        <v>0</v>
      </c>
      <c r="S36" s="10">
        <f t="shared" si="2"/>
        <v>0</v>
      </c>
    </row>
    <row r="37" spans="1:19" ht="15">
      <c r="A37" s="5"/>
      <c r="B37" s="6" t="s">
        <v>73</v>
      </c>
      <c r="C37" s="7">
        <v>0</v>
      </c>
      <c r="D37" s="7">
        <v>14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14</v>
      </c>
      <c r="K37" s="7">
        <v>0</v>
      </c>
      <c r="L37" s="7">
        <v>0</v>
      </c>
      <c r="N37" s="9">
        <f t="shared" si="1"/>
        <v>0</v>
      </c>
      <c r="O37" s="9">
        <f t="shared" si="1"/>
        <v>14</v>
      </c>
      <c r="P37" s="9">
        <f t="shared" si="1"/>
        <v>14</v>
      </c>
      <c r="Q37" s="9">
        <f t="shared" si="1"/>
        <v>0</v>
      </c>
      <c r="R37" s="9">
        <f t="shared" si="1"/>
        <v>0</v>
      </c>
      <c r="S37" s="10">
        <f t="shared" si="2"/>
        <v>5.6</v>
      </c>
    </row>
    <row r="38" spans="1:19" ht="15">
      <c r="A38" s="5"/>
      <c r="B38" s="6" t="s">
        <v>74</v>
      </c>
      <c r="C38" s="7">
        <v>0</v>
      </c>
      <c r="D38" s="7">
        <v>73</v>
      </c>
      <c r="E38" s="7">
        <v>0</v>
      </c>
      <c r="F38" s="7">
        <v>182</v>
      </c>
      <c r="G38" s="7">
        <v>0</v>
      </c>
      <c r="H38" s="7">
        <v>33</v>
      </c>
      <c r="I38" s="7">
        <v>0</v>
      </c>
      <c r="J38" s="7">
        <v>73</v>
      </c>
      <c r="K38" s="7">
        <v>0</v>
      </c>
      <c r="L38" s="7">
        <v>0</v>
      </c>
      <c r="N38" s="9">
        <f t="shared" si="1"/>
        <v>33</v>
      </c>
      <c r="O38" s="9">
        <f t="shared" si="1"/>
        <v>73</v>
      </c>
      <c r="P38" s="9">
        <f t="shared" si="1"/>
        <v>73</v>
      </c>
      <c r="Q38" s="9">
        <f t="shared" si="1"/>
        <v>182</v>
      </c>
      <c r="R38" s="9">
        <f t="shared" si="1"/>
        <v>0</v>
      </c>
      <c r="S38" s="10">
        <f t="shared" si="2"/>
        <v>72.2</v>
      </c>
    </row>
    <row r="39" spans="1:19" ht="15">
      <c r="A39" s="6" t="s">
        <v>76</v>
      </c>
      <c r="B39" s="6" t="s">
        <v>58</v>
      </c>
      <c r="C39" s="7">
        <v>65</v>
      </c>
      <c r="D39" s="7">
        <v>54</v>
      </c>
      <c r="E39" s="7">
        <v>58</v>
      </c>
      <c r="F39" s="7">
        <v>70</v>
      </c>
      <c r="G39" s="7">
        <v>46</v>
      </c>
      <c r="H39" s="7">
        <v>82</v>
      </c>
      <c r="I39" s="7">
        <v>80</v>
      </c>
      <c r="J39" s="7">
        <v>45</v>
      </c>
      <c r="K39" s="7">
        <v>62</v>
      </c>
      <c r="L39" s="7">
        <v>55</v>
      </c>
      <c r="N39" s="9">
        <f t="shared" si="1"/>
        <v>147</v>
      </c>
      <c r="O39" s="9">
        <f t="shared" si="1"/>
        <v>134</v>
      </c>
      <c r="P39" s="9">
        <f t="shared" si="1"/>
        <v>103</v>
      </c>
      <c r="Q39" s="9">
        <f t="shared" si="1"/>
        <v>132</v>
      </c>
      <c r="R39" s="9">
        <f t="shared" si="1"/>
        <v>101</v>
      </c>
      <c r="S39" s="10">
        <f t="shared" si="2"/>
        <v>123.4</v>
      </c>
    </row>
    <row r="40" spans="1:19" ht="15">
      <c r="A40" s="5"/>
      <c r="B40" s="6" t="s">
        <v>59</v>
      </c>
      <c r="C40" s="7">
        <v>10</v>
      </c>
      <c r="D40" s="7">
        <v>12</v>
      </c>
      <c r="E40" s="7">
        <v>13</v>
      </c>
      <c r="F40" s="7">
        <v>14</v>
      </c>
      <c r="G40" s="7">
        <v>26</v>
      </c>
      <c r="H40" s="7">
        <v>26</v>
      </c>
      <c r="I40" s="7">
        <v>13</v>
      </c>
      <c r="J40" s="7">
        <v>10</v>
      </c>
      <c r="K40" s="7">
        <v>26</v>
      </c>
      <c r="L40" s="7">
        <v>14</v>
      </c>
      <c r="N40" s="9">
        <f t="shared" si="1"/>
        <v>36</v>
      </c>
      <c r="O40" s="9">
        <f t="shared" si="1"/>
        <v>25</v>
      </c>
      <c r="P40" s="9">
        <f t="shared" si="1"/>
        <v>23</v>
      </c>
      <c r="Q40" s="9">
        <f t="shared" si="1"/>
        <v>40</v>
      </c>
      <c r="R40" s="9">
        <f t="shared" si="1"/>
        <v>40</v>
      </c>
      <c r="S40" s="10">
        <f t="shared" si="2"/>
        <v>32.799999999999997</v>
      </c>
    </row>
    <row r="41" spans="1:19" ht="15">
      <c r="A41" s="5"/>
      <c r="B41" s="6" t="s">
        <v>60</v>
      </c>
      <c r="C41" s="7">
        <v>0</v>
      </c>
      <c r="D41" s="7">
        <v>1</v>
      </c>
      <c r="E41" s="7">
        <v>1</v>
      </c>
      <c r="F41" s="7">
        <v>0</v>
      </c>
      <c r="G41" s="7">
        <v>0</v>
      </c>
      <c r="H41" s="7">
        <v>0</v>
      </c>
      <c r="I41" s="7">
        <v>1</v>
      </c>
      <c r="J41" s="7">
        <v>0</v>
      </c>
      <c r="K41" s="7">
        <v>0</v>
      </c>
      <c r="L41" s="7">
        <v>2</v>
      </c>
      <c r="N41" s="9">
        <f t="shared" si="1"/>
        <v>0</v>
      </c>
      <c r="O41" s="9">
        <f t="shared" si="1"/>
        <v>2</v>
      </c>
      <c r="P41" s="9">
        <f t="shared" si="1"/>
        <v>1</v>
      </c>
      <c r="Q41" s="9">
        <f t="shared" si="1"/>
        <v>0</v>
      </c>
      <c r="R41" s="9">
        <f t="shared" si="1"/>
        <v>2</v>
      </c>
      <c r="S41" s="10">
        <f t="shared" si="2"/>
        <v>1</v>
      </c>
    </row>
    <row r="42" spans="1:19" ht="15">
      <c r="A42" s="5"/>
      <c r="B42" s="6" t="s">
        <v>61</v>
      </c>
      <c r="C42" s="7">
        <v>39</v>
      </c>
      <c r="D42" s="7">
        <v>26</v>
      </c>
      <c r="E42" s="7">
        <v>12</v>
      </c>
      <c r="F42" s="7">
        <v>40</v>
      </c>
      <c r="G42" s="7">
        <v>53</v>
      </c>
      <c r="H42" s="7">
        <v>44</v>
      </c>
      <c r="I42" s="7">
        <v>58</v>
      </c>
      <c r="J42" s="7">
        <v>14</v>
      </c>
      <c r="K42" s="7">
        <v>26</v>
      </c>
      <c r="L42" s="7">
        <v>43</v>
      </c>
      <c r="N42" s="9">
        <f t="shared" si="1"/>
        <v>83</v>
      </c>
      <c r="O42" s="9">
        <f t="shared" si="1"/>
        <v>84</v>
      </c>
      <c r="P42" s="9">
        <f t="shared" si="1"/>
        <v>26</v>
      </c>
      <c r="Q42" s="9">
        <f t="shared" si="1"/>
        <v>66</v>
      </c>
      <c r="R42" s="9">
        <f t="shared" si="1"/>
        <v>96</v>
      </c>
      <c r="S42" s="10">
        <f t="shared" si="2"/>
        <v>71</v>
      </c>
    </row>
    <row r="43" spans="1:19" ht="15">
      <c r="A43" s="5"/>
      <c r="B43" s="6" t="s">
        <v>62</v>
      </c>
      <c r="C43" s="7">
        <v>22</v>
      </c>
      <c r="D43" s="7">
        <v>2</v>
      </c>
      <c r="E43" s="7">
        <v>9</v>
      </c>
      <c r="F43" s="7">
        <v>4</v>
      </c>
      <c r="G43" s="7">
        <v>1</v>
      </c>
      <c r="H43" s="7">
        <v>0</v>
      </c>
      <c r="I43" s="7">
        <v>16</v>
      </c>
      <c r="J43" s="7">
        <v>4</v>
      </c>
      <c r="K43" s="7">
        <v>8</v>
      </c>
      <c r="L43" s="7">
        <v>3</v>
      </c>
      <c r="N43" s="9">
        <f t="shared" si="1"/>
        <v>22</v>
      </c>
      <c r="O43" s="9">
        <f t="shared" si="1"/>
        <v>18</v>
      </c>
      <c r="P43" s="9">
        <f t="shared" si="1"/>
        <v>13</v>
      </c>
      <c r="Q43" s="9">
        <f t="shared" si="1"/>
        <v>12</v>
      </c>
      <c r="R43" s="9">
        <f t="shared" si="1"/>
        <v>4</v>
      </c>
      <c r="S43" s="10">
        <f t="shared" si="2"/>
        <v>13.8</v>
      </c>
    </row>
    <row r="44" spans="1:19" ht="15">
      <c r="A44" s="5"/>
      <c r="B44" s="6" t="s">
        <v>63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N44" s="9">
        <f t="shared" si="1"/>
        <v>0</v>
      </c>
      <c r="O44" s="9">
        <f t="shared" si="1"/>
        <v>0</v>
      </c>
      <c r="P44" s="9">
        <f t="shared" si="1"/>
        <v>0</v>
      </c>
      <c r="Q44" s="9">
        <f t="shared" si="1"/>
        <v>0</v>
      </c>
      <c r="R44" s="9">
        <f t="shared" si="1"/>
        <v>0</v>
      </c>
      <c r="S44" s="10">
        <f t="shared" si="2"/>
        <v>0</v>
      </c>
    </row>
    <row r="45" spans="1:19" ht="15">
      <c r="A45" s="5"/>
      <c r="B45" s="6" t="s">
        <v>64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N45" s="9">
        <f t="shared" si="1"/>
        <v>0</v>
      </c>
      <c r="O45" s="9">
        <f t="shared" si="1"/>
        <v>0</v>
      </c>
      <c r="P45" s="9">
        <f t="shared" si="1"/>
        <v>0</v>
      </c>
      <c r="Q45" s="9">
        <f t="shared" si="1"/>
        <v>0</v>
      </c>
      <c r="R45" s="9">
        <f t="shared" si="1"/>
        <v>0</v>
      </c>
      <c r="S45" s="10">
        <f t="shared" si="2"/>
        <v>0</v>
      </c>
    </row>
    <row r="46" spans="1:19" ht="15">
      <c r="A46" s="5"/>
      <c r="B46" s="6" t="s">
        <v>65</v>
      </c>
      <c r="C46" s="7">
        <v>10</v>
      </c>
      <c r="D46" s="7">
        <v>44</v>
      </c>
      <c r="E46" s="7">
        <v>38</v>
      </c>
      <c r="F46" s="7">
        <v>1</v>
      </c>
      <c r="G46" s="7">
        <v>31</v>
      </c>
      <c r="H46" s="7">
        <v>29</v>
      </c>
      <c r="I46" s="7">
        <v>10</v>
      </c>
      <c r="J46" s="7">
        <v>24</v>
      </c>
      <c r="K46" s="7">
        <v>20</v>
      </c>
      <c r="L46" s="7">
        <v>52</v>
      </c>
      <c r="N46" s="9">
        <f t="shared" si="1"/>
        <v>39</v>
      </c>
      <c r="O46" s="9">
        <f t="shared" si="1"/>
        <v>54</v>
      </c>
      <c r="P46" s="9">
        <f t="shared" si="1"/>
        <v>62</v>
      </c>
      <c r="Q46" s="9">
        <f t="shared" si="1"/>
        <v>21</v>
      </c>
      <c r="R46" s="9">
        <f t="shared" si="1"/>
        <v>83</v>
      </c>
      <c r="S46" s="10">
        <f t="shared" si="2"/>
        <v>51.8</v>
      </c>
    </row>
    <row r="47" spans="1:19" ht="15">
      <c r="A47" s="5"/>
      <c r="B47" s="6" t="s">
        <v>66</v>
      </c>
      <c r="C47" s="7">
        <v>1</v>
      </c>
      <c r="D47" s="7">
        <v>1</v>
      </c>
      <c r="E47" s="7">
        <v>4</v>
      </c>
      <c r="F47" s="7">
        <v>0</v>
      </c>
      <c r="G47" s="7">
        <v>1</v>
      </c>
      <c r="H47" s="7">
        <v>1</v>
      </c>
      <c r="I47" s="7">
        <v>8</v>
      </c>
      <c r="J47" s="7">
        <v>1</v>
      </c>
      <c r="K47" s="7">
        <v>4</v>
      </c>
      <c r="L47" s="7">
        <v>2</v>
      </c>
      <c r="N47" s="9">
        <f t="shared" si="1"/>
        <v>2</v>
      </c>
      <c r="O47" s="9">
        <f t="shared" si="1"/>
        <v>9</v>
      </c>
      <c r="P47" s="9">
        <f t="shared" si="1"/>
        <v>5</v>
      </c>
      <c r="Q47" s="9">
        <f t="shared" si="1"/>
        <v>4</v>
      </c>
      <c r="R47" s="9">
        <f t="shared" si="1"/>
        <v>3</v>
      </c>
      <c r="S47" s="10">
        <f t="shared" si="2"/>
        <v>4.5999999999999996</v>
      </c>
    </row>
    <row r="48" spans="1:19" ht="15">
      <c r="A48" s="5"/>
      <c r="B48" s="6" t="s">
        <v>67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N48" s="9">
        <f t="shared" si="1"/>
        <v>0</v>
      </c>
      <c r="O48" s="9">
        <f t="shared" si="1"/>
        <v>0</v>
      </c>
      <c r="P48" s="9">
        <f t="shared" si="1"/>
        <v>0</v>
      </c>
      <c r="Q48" s="9">
        <f t="shared" si="1"/>
        <v>0</v>
      </c>
      <c r="R48" s="9">
        <f t="shared" si="1"/>
        <v>0</v>
      </c>
      <c r="S48" s="10">
        <f t="shared" si="2"/>
        <v>0</v>
      </c>
    </row>
    <row r="49" spans="1:19" ht="15">
      <c r="A49" s="5"/>
      <c r="B49" s="6" t="s">
        <v>68</v>
      </c>
      <c r="C49" s="7">
        <v>8</v>
      </c>
      <c r="D49" s="7">
        <v>2</v>
      </c>
      <c r="E49" s="7">
        <v>2</v>
      </c>
      <c r="F49" s="7">
        <v>0</v>
      </c>
      <c r="G49" s="7">
        <v>3</v>
      </c>
      <c r="H49" s="7">
        <v>16</v>
      </c>
      <c r="I49" s="7">
        <v>4</v>
      </c>
      <c r="J49" s="7">
        <v>6</v>
      </c>
      <c r="K49" s="7">
        <v>3</v>
      </c>
      <c r="L49" s="7">
        <v>0</v>
      </c>
      <c r="N49" s="9">
        <f t="shared" si="1"/>
        <v>24</v>
      </c>
      <c r="O49" s="9">
        <f t="shared" si="1"/>
        <v>6</v>
      </c>
      <c r="P49" s="9">
        <f t="shared" si="1"/>
        <v>8</v>
      </c>
      <c r="Q49" s="9">
        <f t="shared" si="1"/>
        <v>3</v>
      </c>
      <c r="R49" s="9">
        <f t="shared" si="1"/>
        <v>3</v>
      </c>
      <c r="S49" s="10">
        <f t="shared" si="2"/>
        <v>8.8000000000000007</v>
      </c>
    </row>
    <row r="50" spans="1:19" ht="15">
      <c r="A50" s="5"/>
      <c r="B50" s="6" t="s">
        <v>69</v>
      </c>
      <c r="C50" s="7">
        <v>0</v>
      </c>
      <c r="D50" s="7">
        <v>0</v>
      </c>
      <c r="E50" s="7">
        <v>6</v>
      </c>
      <c r="F50" s="7">
        <v>0</v>
      </c>
      <c r="G50" s="7">
        <v>0</v>
      </c>
      <c r="H50" s="7">
        <v>56</v>
      </c>
      <c r="I50" s="7">
        <v>0</v>
      </c>
      <c r="J50" s="7">
        <v>0</v>
      </c>
      <c r="K50" s="7">
        <v>6</v>
      </c>
      <c r="L50" s="7">
        <v>0</v>
      </c>
      <c r="N50" s="9">
        <f t="shared" si="1"/>
        <v>56</v>
      </c>
      <c r="O50" s="9">
        <f t="shared" si="1"/>
        <v>0</v>
      </c>
      <c r="P50" s="9">
        <f t="shared" si="1"/>
        <v>6</v>
      </c>
      <c r="Q50" s="9">
        <f t="shared" si="1"/>
        <v>6</v>
      </c>
      <c r="R50" s="9">
        <f t="shared" si="1"/>
        <v>0</v>
      </c>
      <c r="S50" s="10">
        <f t="shared" si="2"/>
        <v>13.6</v>
      </c>
    </row>
    <row r="51" spans="1:19" ht="15">
      <c r="A51" s="5"/>
      <c r="B51" s="6" t="s">
        <v>70</v>
      </c>
      <c r="C51" s="7">
        <v>133</v>
      </c>
      <c r="D51" s="7">
        <v>126</v>
      </c>
      <c r="E51" s="7">
        <v>264</v>
      </c>
      <c r="F51" s="7">
        <v>78</v>
      </c>
      <c r="G51" s="7">
        <v>17</v>
      </c>
      <c r="H51" s="7">
        <v>257</v>
      </c>
      <c r="I51" s="7">
        <v>248</v>
      </c>
      <c r="J51" s="7">
        <v>60</v>
      </c>
      <c r="K51" s="7">
        <v>210</v>
      </c>
      <c r="L51" s="7">
        <v>222</v>
      </c>
      <c r="N51" s="9">
        <f t="shared" si="1"/>
        <v>390</v>
      </c>
      <c r="O51" s="9">
        <f t="shared" si="1"/>
        <v>374</v>
      </c>
      <c r="P51" s="9">
        <f t="shared" si="1"/>
        <v>324</v>
      </c>
      <c r="Q51" s="9">
        <f t="shared" si="1"/>
        <v>288</v>
      </c>
      <c r="R51" s="9">
        <f t="shared" si="1"/>
        <v>239</v>
      </c>
      <c r="S51" s="10">
        <f t="shared" si="2"/>
        <v>323</v>
      </c>
    </row>
    <row r="52" spans="1:19" ht="15">
      <c r="A52" s="5"/>
      <c r="B52" s="6" t="s">
        <v>71</v>
      </c>
      <c r="C52" s="7">
        <v>93</v>
      </c>
      <c r="D52" s="7">
        <v>328</v>
      </c>
      <c r="E52" s="7">
        <v>210</v>
      </c>
      <c r="F52" s="7">
        <v>110</v>
      </c>
      <c r="G52" s="7">
        <v>21</v>
      </c>
      <c r="H52" s="7">
        <v>481</v>
      </c>
      <c r="I52" s="7">
        <v>216</v>
      </c>
      <c r="J52" s="7">
        <v>246</v>
      </c>
      <c r="K52" s="7">
        <v>275</v>
      </c>
      <c r="L52" s="7">
        <v>174</v>
      </c>
      <c r="N52" s="9">
        <f t="shared" si="1"/>
        <v>574</v>
      </c>
      <c r="O52" s="9">
        <f t="shared" si="1"/>
        <v>544</v>
      </c>
      <c r="P52" s="9">
        <f t="shared" si="1"/>
        <v>456</v>
      </c>
      <c r="Q52" s="9">
        <f t="shared" si="1"/>
        <v>385</v>
      </c>
      <c r="R52" s="9">
        <f t="shared" si="1"/>
        <v>195</v>
      </c>
      <c r="S52" s="10">
        <f t="shared" si="2"/>
        <v>430.8</v>
      </c>
    </row>
    <row r="53" spans="1:19" ht="15">
      <c r="A53" s="5"/>
      <c r="B53" s="6" t="s">
        <v>72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N53" s="9">
        <f t="shared" si="1"/>
        <v>0</v>
      </c>
      <c r="O53" s="9">
        <f t="shared" si="1"/>
        <v>0</v>
      </c>
      <c r="P53" s="9">
        <f t="shared" si="1"/>
        <v>0</v>
      </c>
      <c r="Q53" s="9">
        <f t="shared" si="1"/>
        <v>0</v>
      </c>
      <c r="R53" s="9">
        <f t="shared" si="1"/>
        <v>0</v>
      </c>
      <c r="S53" s="10">
        <f t="shared" si="2"/>
        <v>0</v>
      </c>
    </row>
    <row r="54" spans="1:19" ht="15">
      <c r="A54" s="5"/>
      <c r="B54" s="6" t="s">
        <v>73</v>
      </c>
      <c r="C54" s="7">
        <v>0</v>
      </c>
      <c r="D54" s="7">
        <v>0</v>
      </c>
      <c r="E54" s="7">
        <v>30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16</v>
      </c>
      <c r="L54" s="7">
        <v>14</v>
      </c>
      <c r="N54" s="9">
        <f t="shared" si="1"/>
        <v>0</v>
      </c>
      <c r="O54" s="9">
        <f t="shared" si="1"/>
        <v>0</v>
      </c>
      <c r="P54" s="9">
        <f t="shared" si="1"/>
        <v>30</v>
      </c>
      <c r="Q54" s="9">
        <f t="shared" si="1"/>
        <v>16</v>
      </c>
      <c r="R54" s="9">
        <f t="shared" si="1"/>
        <v>14</v>
      </c>
      <c r="S54" s="10">
        <f t="shared" si="2"/>
        <v>12</v>
      </c>
    </row>
    <row r="55" spans="1:19" ht="15">
      <c r="A55" s="5"/>
      <c r="B55" s="6" t="s">
        <v>74</v>
      </c>
      <c r="C55" s="7">
        <v>0</v>
      </c>
      <c r="D55" s="7">
        <v>0</v>
      </c>
      <c r="E55" s="7">
        <v>36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23</v>
      </c>
      <c r="L55" s="7">
        <v>12</v>
      </c>
      <c r="N55" s="9">
        <f t="shared" si="1"/>
        <v>0</v>
      </c>
      <c r="O55" s="9">
        <f t="shared" si="1"/>
        <v>0</v>
      </c>
      <c r="P55" s="9">
        <f t="shared" si="1"/>
        <v>36</v>
      </c>
      <c r="Q55" s="9">
        <f t="shared" si="1"/>
        <v>23</v>
      </c>
      <c r="R55" s="9">
        <f t="shared" si="1"/>
        <v>12</v>
      </c>
      <c r="S55" s="10">
        <f t="shared" si="2"/>
        <v>14.2</v>
      </c>
    </row>
    <row r="56" spans="1:19" ht="15">
      <c r="A56" s="6" t="s">
        <v>77</v>
      </c>
      <c r="B56" s="6" t="s">
        <v>58</v>
      </c>
      <c r="C56" s="7">
        <v>130</v>
      </c>
      <c r="D56" s="7">
        <v>92</v>
      </c>
      <c r="E56" s="7">
        <v>104</v>
      </c>
      <c r="F56" s="7">
        <v>154</v>
      </c>
      <c r="G56" s="7">
        <v>97</v>
      </c>
      <c r="H56" s="7">
        <v>132</v>
      </c>
      <c r="I56" s="7">
        <v>116</v>
      </c>
      <c r="J56" s="7">
        <v>100</v>
      </c>
      <c r="K56" s="7">
        <v>100</v>
      </c>
      <c r="L56" s="7">
        <v>103</v>
      </c>
      <c r="N56" s="9">
        <f t="shared" si="1"/>
        <v>262</v>
      </c>
      <c r="O56" s="9">
        <f t="shared" si="1"/>
        <v>208</v>
      </c>
      <c r="P56" s="9">
        <f t="shared" si="1"/>
        <v>204</v>
      </c>
      <c r="Q56" s="9">
        <f t="shared" si="1"/>
        <v>254</v>
      </c>
      <c r="R56" s="9">
        <f t="shared" si="1"/>
        <v>200</v>
      </c>
      <c r="S56" s="10">
        <f t="shared" si="2"/>
        <v>225.6</v>
      </c>
    </row>
    <row r="57" spans="1:19" ht="15">
      <c r="A57" s="5"/>
      <c r="B57" s="6" t="s">
        <v>59</v>
      </c>
      <c r="C57" s="7">
        <v>57</v>
      </c>
      <c r="D57" s="7">
        <v>58</v>
      </c>
      <c r="E57" s="7">
        <v>49</v>
      </c>
      <c r="F57" s="7">
        <v>42</v>
      </c>
      <c r="G57" s="7">
        <v>69</v>
      </c>
      <c r="H57" s="7">
        <v>64</v>
      </c>
      <c r="I57" s="7">
        <v>39</v>
      </c>
      <c r="J57" s="7">
        <v>62</v>
      </c>
      <c r="K57" s="7">
        <v>53</v>
      </c>
      <c r="L57" s="7">
        <v>38</v>
      </c>
      <c r="N57" s="9">
        <f t="shared" si="1"/>
        <v>121</v>
      </c>
      <c r="O57" s="9">
        <f t="shared" si="1"/>
        <v>97</v>
      </c>
      <c r="P57" s="9">
        <f t="shared" si="1"/>
        <v>111</v>
      </c>
      <c r="Q57" s="9">
        <f t="shared" si="1"/>
        <v>95</v>
      </c>
      <c r="R57" s="9">
        <f t="shared" si="1"/>
        <v>107</v>
      </c>
      <c r="S57" s="10">
        <f t="shared" si="2"/>
        <v>106.2</v>
      </c>
    </row>
    <row r="58" spans="1:19" ht="15">
      <c r="A58" s="5"/>
      <c r="B58" s="6" t="s">
        <v>60</v>
      </c>
      <c r="C58" s="7">
        <v>1</v>
      </c>
      <c r="D58" s="7">
        <v>0</v>
      </c>
      <c r="E58" s="7">
        <v>0</v>
      </c>
      <c r="F58" s="7">
        <v>1</v>
      </c>
      <c r="G58" s="7">
        <v>0</v>
      </c>
      <c r="H58" s="7">
        <v>1</v>
      </c>
      <c r="I58" s="7">
        <v>0</v>
      </c>
      <c r="J58" s="7">
        <v>1</v>
      </c>
      <c r="K58" s="7">
        <v>1</v>
      </c>
      <c r="L58" s="7">
        <v>1</v>
      </c>
      <c r="N58" s="9">
        <f t="shared" si="1"/>
        <v>2</v>
      </c>
      <c r="O58" s="9">
        <f t="shared" si="1"/>
        <v>0</v>
      </c>
      <c r="P58" s="9">
        <f t="shared" si="1"/>
        <v>1</v>
      </c>
      <c r="Q58" s="9">
        <f t="shared" si="1"/>
        <v>2</v>
      </c>
      <c r="R58" s="9">
        <f t="shared" si="1"/>
        <v>1</v>
      </c>
      <c r="S58" s="10">
        <f t="shared" si="2"/>
        <v>1.2</v>
      </c>
    </row>
    <row r="59" spans="1:19" ht="15">
      <c r="A59" s="5"/>
      <c r="B59" s="6" t="s">
        <v>61</v>
      </c>
      <c r="C59" s="7">
        <v>74</v>
      </c>
      <c r="D59" s="7">
        <v>49</v>
      </c>
      <c r="E59" s="7">
        <v>64</v>
      </c>
      <c r="F59" s="7">
        <v>49</v>
      </c>
      <c r="G59" s="7">
        <v>50</v>
      </c>
      <c r="H59" s="7">
        <v>44</v>
      </c>
      <c r="I59" s="7">
        <v>66</v>
      </c>
      <c r="J59" s="7">
        <v>47</v>
      </c>
      <c r="K59" s="7">
        <v>42</v>
      </c>
      <c r="L59" s="7">
        <v>45</v>
      </c>
      <c r="N59" s="9">
        <f t="shared" si="1"/>
        <v>118</v>
      </c>
      <c r="O59" s="9">
        <f t="shared" si="1"/>
        <v>115</v>
      </c>
      <c r="P59" s="9">
        <f t="shared" si="1"/>
        <v>111</v>
      </c>
      <c r="Q59" s="9">
        <f t="shared" si="1"/>
        <v>91</v>
      </c>
      <c r="R59" s="9">
        <f t="shared" si="1"/>
        <v>95</v>
      </c>
      <c r="S59" s="10">
        <f t="shared" si="2"/>
        <v>106</v>
      </c>
    </row>
    <row r="60" spans="1:19" ht="15">
      <c r="A60" s="5"/>
      <c r="B60" s="6" t="s">
        <v>62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4</v>
      </c>
      <c r="I60" s="7">
        <v>4</v>
      </c>
      <c r="J60" s="7">
        <v>2</v>
      </c>
      <c r="K60" s="7">
        <v>0</v>
      </c>
      <c r="L60" s="7">
        <v>0</v>
      </c>
      <c r="N60" s="9">
        <f t="shared" si="1"/>
        <v>4</v>
      </c>
      <c r="O60" s="9">
        <f t="shared" si="1"/>
        <v>4</v>
      </c>
      <c r="P60" s="9">
        <f t="shared" si="1"/>
        <v>2</v>
      </c>
      <c r="Q60" s="9">
        <f t="shared" si="1"/>
        <v>0</v>
      </c>
      <c r="R60" s="9">
        <f t="shared" si="1"/>
        <v>0</v>
      </c>
      <c r="S60" s="10">
        <f t="shared" si="2"/>
        <v>2</v>
      </c>
    </row>
    <row r="61" spans="1:19" ht="15">
      <c r="A61" s="5"/>
      <c r="B61" s="6" t="s">
        <v>63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N61" s="9">
        <f t="shared" si="1"/>
        <v>0</v>
      </c>
      <c r="O61" s="9">
        <f t="shared" si="1"/>
        <v>0</v>
      </c>
      <c r="P61" s="9">
        <f t="shared" si="1"/>
        <v>0</v>
      </c>
      <c r="Q61" s="9">
        <f t="shared" si="1"/>
        <v>0</v>
      </c>
      <c r="R61" s="9">
        <f t="shared" si="1"/>
        <v>0</v>
      </c>
      <c r="S61" s="10">
        <f t="shared" si="2"/>
        <v>0</v>
      </c>
    </row>
    <row r="62" spans="1:19" ht="15">
      <c r="A62" s="5"/>
      <c r="B62" s="6" t="s">
        <v>64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N62" s="9">
        <f t="shared" si="1"/>
        <v>0</v>
      </c>
      <c r="O62" s="9">
        <f t="shared" si="1"/>
        <v>0</v>
      </c>
      <c r="P62" s="9">
        <f t="shared" si="1"/>
        <v>0</v>
      </c>
      <c r="Q62" s="9">
        <f t="shared" si="1"/>
        <v>0</v>
      </c>
      <c r="R62" s="9">
        <f t="shared" si="1"/>
        <v>0</v>
      </c>
      <c r="S62" s="10">
        <f t="shared" si="2"/>
        <v>0</v>
      </c>
    </row>
    <row r="63" spans="1:19" ht="15">
      <c r="A63" s="5"/>
      <c r="B63" s="6" t="s">
        <v>65</v>
      </c>
      <c r="C63" s="7">
        <v>32</v>
      </c>
      <c r="D63" s="7">
        <v>81</v>
      </c>
      <c r="E63" s="7">
        <v>0</v>
      </c>
      <c r="F63" s="7">
        <v>85</v>
      </c>
      <c r="G63" s="7">
        <v>26</v>
      </c>
      <c r="H63" s="7">
        <v>65</v>
      </c>
      <c r="I63" s="7">
        <v>19</v>
      </c>
      <c r="J63" s="7">
        <v>79</v>
      </c>
      <c r="K63" s="7">
        <v>2</v>
      </c>
      <c r="L63" s="7">
        <v>62</v>
      </c>
      <c r="N63" s="9">
        <f t="shared" si="1"/>
        <v>97</v>
      </c>
      <c r="O63" s="9">
        <f t="shared" si="1"/>
        <v>100</v>
      </c>
      <c r="P63" s="9">
        <f t="shared" si="1"/>
        <v>79</v>
      </c>
      <c r="Q63" s="9">
        <f t="shared" si="1"/>
        <v>87</v>
      </c>
      <c r="R63" s="9">
        <f t="shared" si="1"/>
        <v>88</v>
      </c>
      <c r="S63" s="10">
        <f t="shared" si="2"/>
        <v>90.2</v>
      </c>
    </row>
    <row r="64" spans="1:19" ht="15">
      <c r="A64" s="5"/>
      <c r="B64" s="6" t="s">
        <v>66</v>
      </c>
      <c r="C64" s="7">
        <v>3</v>
      </c>
      <c r="D64" s="7">
        <v>4</v>
      </c>
      <c r="E64" s="7">
        <v>0</v>
      </c>
      <c r="F64" s="7">
        <v>0</v>
      </c>
      <c r="G64" s="7">
        <v>5</v>
      </c>
      <c r="H64" s="7">
        <v>10</v>
      </c>
      <c r="I64" s="7">
        <v>3</v>
      </c>
      <c r="J64" s="7">
        <v>4</v>
      </c>
      <c r="K64" s="7">
        <v>0</v>
      </c>
      <c r="L64" s="7">
        <v>0</v>
      </c>
      <c r="N64" s="9">
        <f t="shared" si="1"/>
        <v>13</v>
      </c>
      <c r="O64" s="9">
        <f t="shared" si="1"/>
        <v>7</v>
      </c>
      <c r="P64" s="9">
        <f t="shared" si="1"/>
        <v>4</v>
      </c>
      <c r="Q64" s="9">
        <f t="shared" si="1"/>
        <v>0</v>
      </c>
      <c r="R64" s="9">
        <f t="shared" si="1"/>
        <v>5</v>
      </c>
      <c r="S64" s="10">
        <f t="shared" si="2"/>
        <v>5.8</v>
      </c>
    </row>
    <row r="65" spans="1:19" ht="15">
      <c r="A65" s="5"/>
      <c r="B65" s="6" t="s">
        <v>67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N65" s="9">
        <f t="shared" si="1"/>
        <v>0</v>
      </c>
      <c r="O65" s="9">
        <f t="shared" si="1"/>
        <v>0</v>
      </c>
      <c r="P65" s="9">
        <f t="shared" si="1"/>
        <v>0</v>
      </c>
      <c r="Q65" s="9">
        <f t="shared" si="1"/>
        <v>0</v>
      </c>
      <c r="R65" s="9">
        <f t="shared" si="1"/>
        <v>0</v>
      </c>
      <c r="S65" s="10">
        <f t="shared" si="2"/>
        <v>0</v>
      </c>
    </row>
    <row r="66" spans="1:19" ht="15">
      <c r="A66" s="5"/>
      <c r="B66" s="6" t="s">
        <v>68</v>
      </c>
      <c r="C66" s="7">
        <v>5</v>
      </c>
      <c r="D66" s="7">
        <v>21</v>
      </c>
      <c r="E66" s="7">
        <v>20</v>
      </c>
      <c r="F66" s="7">
        <v>25</v>
      </c>
      <c r="G66" s="7">
        <v>45</v>
      </c>
      <c r="H66" s="7">
        <v>25</v>
      </c>
      <c r="I66" s="7">
        <v>12</v>
      </c>
      <c r="J66" s="7">
        <v>13</v>
      </c>
      <c r="K66" s="7">
        <v>20</v>
      </c>
      <c r="L66" s="7">
        <v>20</v>
      </c>
      <c r="N66" s="9">
        <f t="shared" si="1"/>
        <v>30</v>
      </c>
      <c r="O66" s="9">
        <f t="shared" si="1"/>
        <v>33</v>
      </c>
      <c r="P66" s="9">
        <f t="shared" si="1"/>
        <v>33</v>
      </c>
      <c r="Q66" s="9">
        <f t="shared" si="1"/>
        <v>45</v>
      </c>
      <c r="R66" s="9">
        <f t="shared" si="1"/>
        <v>65</v>
      </c>
      <c r="S66" s="10">
        <f t="shared" si="2"/>
        <v>41.2</v>
      </c>
    </row>
    <row r="67" spans="1:19" ht="15">
      <c r="A67" s="5"/>
      <c r="B67" s="6" t="s">
        <v>69</v>
      </c>
      <c r="C67" s="7">
        <v>0</v>
      </c>
      <c r="D67" s="7">
        <v>0</v>
      </c>
      <c r="E67" s="7">
        <v>8</v>
      </c>
      <c r="F67" s="7">
        <v>0</v>
      </c>
      <c r="G67" s="7">
        <v>10</v>
      </c>
      <c r="H67" s="7">
        <v>32</v>
      </c>
      <c r="I67" s="7">
        <v>0</v>
      </c>
      <c r="J67" s="7">
        <v>12</v>
      </c>
      <c r="K67" s="7">
        <v>0</v>
      </c>
      <c r="L67" s="7">
        <v>0</v>
      </c>
      <c r="N67" s="9">
        <f t="shared" si="1"/>
        <v>32</v>
      </c>
      <c r="O67" s="9">
        <f t="shared" si="1"/>
        <v>0</v>
      </c>
      <c r="P67" s="9">
        <f t="shared" si="1"/>
        <v>20</v>
      </c>
      <c r="Q67" s="9">
        <f t="shared" si="1"/>
        <v>0</v>
      </c>
      <c r="R67" s="9">
        <f t="shared" si="1"/>
        <v>10</v>
      </c>
      <c r="S67" s="10">
        <f t="shared" si="2"/>
        <v>12.4</v>
      </c>
    </row>
    <row r="68" spans="1:19" ht="15">
      <c r="A68" s="5"/>
      <c r="B68" s="6" t="s">
        <v>70</v>
      </c>
      <c r="C68" s="7">
        <v>68</v>
      </c>
      <c r="D68" s="7">
        <v>36</v>
      </c>
      <c r="E68" s="7">
        <v>108</v>
      </c>
      <c r="F68" s="7">
        <v>162</v>
      </c>
      <c r="G68" s="7">
        <v>31</v>
      </c>
      <c r="H68" s="7">
        <v>85</v>
      </c>
      <c r="I68" s="7">
        <v>95</v>
      </c>
      <c r="J68" s="7">
        <v>46</v>
      </c>
      <c r="K68" s="7">
        <v>96</v>
      </c>
      <c r="L68" s="7">
        <v>99</v>
      </c>
      <c r="N68" s="9">
        <f t="shared" si="1"/>
        <v>153</v>
      </c>
      <c r="O68" s="9">
        <f t="shared" si="1"/>
        <v>131</v>
      </c>
      <c r="P68" s="9">
        <f t="shared" si="1"/>
        <v>154</v>
      </c>
      <c r="Q68" s="9">
        <f t="shared" si="1"/>
        <v>258</v>
      </c>
      <c r="R68" s="9">
        <f t="shared" si="1"/>
        <v>130</v>
      </c>
      <c r="S68" s="10">
        <f t="shared" si="2"/>
        <v>165.2</v>
      </c>
    </row>
    <row r="69" spans="1:19" ht="15">
      <c r="A69" s="5"/>
      <c r="B69" s="6" t="s">
        <v>71</v>
      </c>
      <c r="C69" s="7">
        <v>60</v>
      </c>
      <c r="D69" s="7">
        <v>171</v>
      </c>
      <c r="E69" s="7">
        <v>185</v>
      </c>
      <c r="F69" s="7">
        <v>462</v>
      </c>
      <c r="G69" s="7">
        <v>147</v>
      </c>
      <c r="H69" s="7">
        <v>61</v>
      </c>
      <c r="I69" s="7">
        <v>109</v>
      </c>
      <c r="J69" s="7">
        <v>78</v>
      </c>
      <c r="K69" s="7">
        <v>170</v>
      </c>
      <c r="L69" s="7">
        <v>232</v>
      </c>
      <c r="N69" s="9">
        <f t="shared" ref="N69:R106" si="3">C69+H69</f>
        <v>121</v>
      </c>
      <c r="O69" s="9">
        <f t="shared" si="3"/>
        <v>280</v>
      </c>
      <c r="P69" s="9">
        <f t="shared" si="3"/>
        <v>263</v>
      </c>
      <c r="Q69" s="9">
        <f t="shared" si="3"/>
        <v>632</v>
      </c>
      <c r="R69" s="9">
        <f t="shared" si="3"/>
        <v>379</v>
      </c>
      <c r="S69" s="10">
        <f t="shared" si="2"/>
        <v>335</v>
      </c>
    </row>
    <row r="70" spans="1:19" ht="15">
      <c r="A70" s="5"/>
      <c r="B70" s="6" t="s">
        <v>72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N70" s="9">
        <f t="shared" si="3"/>
        <v>0</v>
      </c>
      <c r="O70" s="9">
        <f t="shared" si="3"/>
        <v>0</v>
      </c>
      <c r="P70" s="9">
        <f t="shared" si="3"/>
        <v>0</v>
      </c>
      <c r="Q70" s="9">
        <f t="shared" si="3"/>
        <v>0</v>
      </c>
      <c r="R70" s="9">
        <f t="shared" si="3"/>
        <v>0</v>
      </c>
      <c r="S70" s="10">
        <f t="shared" ref="S70:S106" si="4">AVERAGEA(N70:R70)</f>
        <v>0</v>
      </c>
    </row>
    <row r="71" spans="1:19" ht="15">
      <c r="A71" s="5"/>
      <c r="B71" s="6" t="s">
        <v>73</v>
      </c>
      <c r="C71" s="7">
        <v>0</v>
      </c>
      <c r="D71" s="7">
        <v>0</v>
      </c>
      <c r="E71" s="7">
        <v>0</v>
      </c>
      <c r="F71" s="7">
        <v>0</v>
      </c>
      <c r="G71" s="7">
        <v>9</v>
      </c>
      <c r="H71" s="7">
        <v>0</v>
      </c>
      <c r="I71" s="7">
        <v>44</v>
      </c>
      <c r="J71" s="7">
        <v>0</v>
      </c>
      <c r="K71" s="7">
        <v>0</v>
      </c>
      <c r="L71" s="7">
        <v>0</v>
      </c>
      <c r="N71" s="9">
        <f t="shared" si="3"/>
        <v>0</v>
      </c>
      <c r="O71" s="9">
        <f t="shared" si="3"/>
        <v>44</v>
      </c>
      <c r="P71" s="9">
        <f t="shared" si="3"/>
        <v>0</v>
      </c>
      <c r="Q71" s="9">
        <f t="shared" si="3"/>
        <v>0</v>
      </c>
      <c r="R71" s="9">
        <f t="shared" si="3"/>
        <v>9</v>
      </c>
      <c r="S71" s="10">
        <f t="shared" si="4"/>
        <v>10.6</v>
      </c>
    </row>
    <row r="72" spans="1:19" ht="15">
      <c r="A72" s="5"/>
      <c r="B72" s="6" t="s">
        <v>74</v>
      </c>
      <c r="C72" s="7">
        <v>0</v>
      </c>
      <c r="D72" s="7">
        <v>0</v>
      </c>
      <c r="E72" s="7">
        <v>83</v>
      </c>
      <c r="F72" s="7">
        <v>212</v>
      </c>
      <c r="G72" s="7">
        <v>0</v>
      </c>
      <c r="H72" s="7">
        <v>42</v>
      </c>
      <c r="I72" s="7">
        <v>22</v>
      </c>
      <c r="J72" s="7">
        <v>0</v>
      </c>
      <c r="K72" s="7">
        <v>149</v>
      </c>
      <c r="L72" s="7">
        <v>38</v>
      </c>
      <c r="N72" s="9">
        <f t="shared" si="3"/>
        <v>42</v>
      </c>
      <c r="O72" s="9">
        <f t="shared" si="3"/>
        <v>22</v>
      </c>
      <c r="P72" s="9">
        <f t="shared" si="3"/>
        <v>83</v>
      </c>
      <c r="Q72" s="9">
        <f t="shared" si="3"/>
        <v>361</v>
      </c>
      <c r="R72" s="9">
        <f t="shared" si="3"/>
        <v>38</v>
      </c>
      <c r="S72" s="10">
        <f t="shared" si="4"/>
        <v>109.2</v>
      </c>
    </row>
    <row r="73" spans="1:19" ht="15">
      <c r="A73" s="6" t="s">
        <v>78</v>
      </c>
      <c r="B73" s="6" t="s">
        <v>58</v>
      </c>
      <c r="C73" s="7">
        <v>55</v>
      </c>
      <c r="D73" s="7">
        <v>66</v>
      </c>
      <c r="E73" s="7">
        <v>68</v>
      </c>
      <c r="F73" s="7">
        <v>61</v>
      </c>
      <c r="G73" s="7">
        <v>78</v>
      </c>
      <c r="H73" s="7">
        <v>55</v>
      </c>
      <c r="I73" s="7">
        <v>49</v>
      </c>
      <c r="J73" s="7">
        <v>47</v>
      </c>
      <c r="K73" s="7">
        <v>73</v>
      </c>
      <c r="L73" s="7">
        <v>55</v>
      </c>
      <c r="N73" s="9">
        <f t="shared" si="3"/>
        <v>110</v>
      </c>
      <c r="O73" s="9">
        <f t="shared" si="3"/>
        <v>115</v>
      </c>
      <c r="P73" s="9">
        <f t="shared" si="3"/>
        <v>115</v>
      </c>
      <c r="Q73" s="9">
        <f t="shared" si="3"/>
        <v>134</v>
      </c>
      <c r="R73" s="9">
        <f t="shared" si="3"/>
        <v>133</v>
      </c>
      <c r="S73" s="10">
        <f t="shared" si="4"/>
        <v>121.4</v>
      </c>
    </row>
    <row r="74" spans="1:19" ht="15">
      <c r="A74" s="5"/>
      <c r="B74" s="6" t="s">
        <v>59</v>
      </c>
      <c r="C74" s="7">
        <v>25</v>
      </c>
      <c r="D74" s="7">
        <v>19</v>
      </c>
      <c r="E74" s="7">
        <v>8</v>
      </c>
      <c r="F74" s="7">
        <v>13</v>
      </c>
      <c r="G74" s="7">
        <v>10</v>
      </c>
      <c r="H74" s="7">
        <v>24</v>
      </c>
      <c r="I74" s="7">
        <v>13</v>
      </c>
      <c r="J74" s="7">
        <v>13</v>
      </c>
      <c r="K74" s="7">
        <v>17</v>
      </c>
      <c r="L74" s="7">
        <v>17</v>
      </c>
      <c r="N74" s="9">
        <f t="shared" si="3"/>
        <v>49</v>
      </c>
      <c r="O74" s="9">
        <f t="shared" si="3"/>
        <v>32</v>
      </c>
      <c r="P74" s="9">
        <f t="shared" si="3"/>
        <v>21</v>
      </c>
      <c r="Q74" s="9">
        <f t="shared" si="3"/>
        <v>30</v>
      </c>
      <c r="R74" s="9">
        <f t="shared" si="3"/>
        <v>27</v>
      </c>
      <c r="S74" s="10">
        <f t="shared" si="4"/>
        <v>31.8</v>
      </c>
    </row>
    <row r="75" spans="1:19" ht="15">
      <c r="A75" s="5"/>
      <c r="B75" s="6" t="s">
        <v>60</v>
      </c>
      <c r="C75" s="7">
        <v>5</v>
      </c>
      <c r="D75" s="7">
        <v>1</v>
      </c>
      <c r="E75" s="7">
        <v>1</v>
      </c>
      <c r="F75" s="7">
        <v>1</v>
      </c>
      <c r="G75" s="7">
        <v>2</v>
      </c>
      <c r="H75" s="7">
        <v>1</v>
      </c>
      <c r="I75" s="7">
        <v>2</v>
      </c>
      <c r="J75" s="7">
        <v>0</v>
      </c>
      <c r="K75" s="7">
        <v>1</v>
      </c>
      <c r="L75" s="7">
        <v>2</v>
      </c>
      <c r="N75" s="9">
        <f t="shared" si="3"/>
        <v>6</v>
      </c>
      <c r="O75" s="9">
        <f t="shared" si="3"/>
        <v>3</v>
      </c>
      <c r="P75" s="9">
        <f t="shared" si="3"/>
        <v>1</v>
      </c>
      <c r="Q75" s="9">
        <f t="shared" si="3"/>
        <v>2</v>
      </c>
      <c r="R75" s="9">
        <f t="shared" si="3"/>
        <v>4</v>
      </c>
      <c r="S75" s="10">
        <f t="shared" si="4"/>
        <v>3.2</v>
      </c>
    </row>
    <row r="76" spans="1:19" ht="15">
      <c r="A76" s="5"/>
      <c r="B76" s="6" t="s">
        <v>61</v>
      </c>
      <c r="C76" s="7">
        <v>12</v>
      </c>
      <c r="D76" s="7">
        <v>38</v>
      </c>
      <c r="E76" s="7">
        <v>53</v>
      </c>
      <c r="F76" s="7">
        <v>38</v>
      </c>
      <c r="G76" s="7">
        <v>27</v>
      </c>
      <c r="H76" s="7">
        <v>31</v>
      </c>
      <c r="I76" s="7">
        <v>19</v>
      </c>
      <c r="J76" s="7">
        <v>23</v>
      </c>
      <c r="K76" s="7">
        <v>33</v>
      </c>
      <c r="L76" s="7">
        <v>46</v>
      </c>
      <c r="N76" s="9">
        <f t="shared" si="3"/>
        <v>43</v>
      </c>
      <c r="O76" s="9">
        <f t="shared" si="3"/>
        <v>57</v>
      </c>
      <c r="P76" s="9">
        <f t="shared" si="3"/>
        <v>76</v>
      </c>
      <c r="Q76" s="9">
        <f t="shared" si="3"/>
        <v>71</v>
      </c>
      <c r="R76" s="9">
        <f t="shared" si="3"/>
        <v>73</v>
      </c>
      <c r="S76" s="10">
        <f t="shared" si="4"/>
        <v>64</v>
      </c>
    </row>
    <row r="77" spans="1:19" ht="15">
      <c r="A77" s="5"/>
      <c r="B77" s="6" t="s">
        <v>62</v>
      </c>
      <c r="C77" s="7">
        <v>2</v>
      </c>
      <c r="D77" s="7">
        <v>3</v>
      </c>
      <c r="E77" s="7">
        <v>0</v>
      </c>
      <c r="F77" s="7">
        <v>3</v>
      </c>
      <c r="G77" s="7">
        <v>0</v>
      </c>
      <c r="H77" s="7">
        <v>2</v>
      </c>
      <c r="I77" s="7">
        <v>1</v>
      </c>
      <c r="J77" s="7">
        <v>1</v>
      </c>
      <c r="K77" s="7">
        <v>1</v>
      </c>
      <c r="L77" s="7">
        <v>2</v>
      </c>
      <c r="N77" s="9">
        <f t="shared" si="3"/>
        <v>4</v>
      </c>
      <c r="O77" s="9">
        <f t="shared" si="3"/>
        <v>4</v>
      </c>
      <c r="P77" s="9">
        <f t="shared" si="3"/>
        <v>1</v>
      </c>
      <c r="Q77" s="9">
        <f t="shared" si="3"/>
        <v>4</v>
      </c>
      <c r="R77" s="9">
        <f t="shared" si="3"/>
        <v>2</v>
      </c>
      <c r="S77" s="10">
        <f t="shared" si="4"/>
        <v>3</v>
      </c>
    </row>
    <row r="78" spans="1:19" ht="15">
      <c r="A78" s="5"/>
      <c r="B78" s="6" t="s">
        <v>63</v>
      </c>
      <c r="C78" s="7">
        <v>0</v>
      </c>
      <c r="D78" s="7">
        <v>1</v>
      </c>
      <c r="E78" s="7">
        <v>0</v>
      </c>
      <c r="F78" s="7">
        <v>1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N78" s="9">
        <f t="shared" si="3"/>
        <v>0</v>
      </c>
      <c r="O78" s="9">
        <f t="shared" si="3"/>
        <v>1</v>
      </c>
      <c r="P78" s="9">
        <f t="shared" si="3"/>
        <v>0</v>
      </c>
      <c r="Q78" s="9">
        <f t="shared" si="3"/>
        <v>1</v>
      </c>
      <c r="R78" s="9">
        <f t="shared" si="3"/>
        <v>0</v>
      </c>
      <c r="S78" s="10">
        <f t="shared" si="4"/>
        <v>0.4</v>
      </c>
    </row>
    <row r="79" spans="1:19" ht="15">
      <c r="A79" s="5"/>
      <c r="B79" s="6" t="s">
        <v>64</v>
      </c>
      <c r="C79" s="7">
        <v>0</v>
      </c>
      <c r="D79" s="7">
        <v>0</v>
      </c>
      <c r="E79" s="7">
        <v>1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N79" s="9">
        <f t="shared" si="3"/>
        <v>0</v>
      </c>
      <c r="O79" s="9">
        <f t="shared" si="3"/>
        <v>0</v>
      </c>
      <c r="P79" s="9">
        <f t="shared" si="3"/>
        <v>1</v>
      </c>
      <c r="Q79" s="9">
        <f t="shared" si="3"/>
        <v>0</v>
      </c>
      <c r="R79" s="9">
        <f t="shared" si="3"/>
        <v>0</v>
      </c>
      <c r="S79" s="10">
        <f t="shared" si="4"/>
        <v>0.2</v>
      </c>
    </row>
    <row r="80" spans="1:19" ht="15">
      <c r="A80" s="5"/>
      <c r="B80" s="6" t="s">
        <v>65</v>
      </c>
      <c r="C80" s="7">
        <v>112</v>
      </c>
      <c r="D80" s="7">
        <v>29</v>
      </c>
      <c r="E80" s="7">
        <v>84</v>
      </c>
      <c r="F80" s="7">
        <v>11</v>
      </c>
      <c r="G80" s="7">
        <v>220</v>
      </c>
      <c r="H80" s="7">
        <v>87</v>
      </c>
      <c r="I80" s="7">
        <v>143</v>
      </c>
      <c r="J80" s="7">
        <v>42</v>
      </c>
      <c r="K80" s="7">
        <v>59</v>
      </c>
      <c r="L80" s="7">
        <v>67</v>
      </c>
      <c r="N80" s="9">
        <f t="shared" si="3"/>
        <v>199</v>
      </c>
      <c r="O80" s="9">
        <f t="shared" si="3"/>
        <v>172</v>
      </c>
      <c r="P80" s="9">
        <f t="shared" si="3"/>
        <v>126</v>
      </c>
      <c r="Q80" s="9">
        <f t="shared" si="3"/>
        <v>70</v>
      </c>
      <c r="R80" s="9">
        <f t="shared" si="3"/>
        <v>287</v>
      </c>
      <c r="S80" s="10">
        <f t="shared" si="4"/>
        <v>170.8</v>
      </c>
    </row>
    <row r="81" spans="1:19" ht="15">
      <c r="A81" s="5"/>
      <c r="B81" s="6" t="s">
        <v>66</v>
      </c>
      <c r="C81" s="7">
        <v>43</v>
      </c>
      <c r="D81" s="7">
        <v>0</v>
      </c>
      <c r="E81" s="7">
        <v>47</v>
      </c>
      <c r="F81" s="7">
        <v>28</v>
      </c>
      <c r="G81" s="7">
        <v>62</v>
      </c>
      <c r="H81" s="7">
        <v>4</v>
      </c>
      <c r="I81" s="7">
        <v>22</v>
      </c>
      <c r="J81" s="7">
        <v>20</v>
      </c>
      <c r="K81" s="7">
        <v>14</v>
      </c>
      <c r="L81" s="7">
        <v>68</v>
      </c>
      <c r="N81" s="9">
        <f t="shared" si="3"/>
        <v>47</v>
      </c>
      <c r="O81" s="9">
        <f t="shared" si="3"/>
        <v>22</v>
      </c>
      <c r="P81" s="9">
        <f t="shared" si="3"/>
        <v>67</v>
      </c>
      <c r="Q81" s="9">
        <f t="shared" si="3"/>
        <v>42</v>
      </c>
      <c r="R81" s="9">
        <f t="shared" si="3"/>
        <v>130</v>
      </c>
      <c r="S81" s="10">
        <f t="shared" si="4"/>
        <v>61.6</v>
      </c>
    </row>
    <row r="82" spans="1:19" ht="15">
      <c r="A82" s="5"/>
      <c r="B82" s="6" t="s">
        <v>67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N82" s="9">
        <f t="shared" si="3"/>
        <v>0</v>
      </c>
      <c r="O82" s="9">
        <f t="shared" si="3"/>
        <v>0</v>
      </c>
      <c r="P82" s="9">
        <f t="shared" si="3"/>
        <v>0</v>
      </c>
      <c r="Q82" s="9">
        <f t="shared" si="3"/>
        <v>0</v>
      </c>
      <c r="R82" s="9">
        <f t="shared" si="3"/>
        <v>0</v>
      </c>
      <c r="S82" s="10">
        <f t="shared" si="4"/>
        <v>0</v>
      </c>
    </row>
    <row r="83" spans="1:19" ht="15">
      <c r="A83" s="5"/>
      <c r="B83" s="6" t="s">
        <v>68</v>
      </c>
      <c r="C83" s="7">
        <v>0</v>
      </c>
      <c r="D83" s="7">
        <v>1</v>
      </c>
      <c r="E83" s="7">
        <v>2</v>
      </c>
      <c r="F83" s="7">
        <v>26</v>
      </c>
      <c r="G83" s="7">
        <v>16</v>
      </c>
      <c r="H83" s="7">
        <v>16</v>
      </c>
      <c r="I83" s="7">
        <v>4</v>
      </c>
      <c r="J83" s="7">
        <v>1</v>
      </c>
      <c r="K83" s="7">
        <v>0</v>
      </c>
      <c r="L83" s="7">
        <v>26</v>
      </c>
      <c r="N83" s="9">
        <f t="shared" si="3"/>
        <v>16</v>
      </c>
      <c r="O83" s="9">
        <f t="shared" si="3"/>
        <v>5</v>
      </c>
      <c r="P83" s="9">
        <f t="shared" si="3"/>
        <v>3</v>
      </c>
      <c r="Q83" s="9">
        <f t="shared" si="3"/>
        <v>26</v>
      </c>
      <c r="R83" s="9">
        <f t="shared" si="3"/>
        <v>42</v>
      </c>
      <c r="S83" s="10">
        <f t="shared" si="4"/>
        <v>18.399999999999999</v>
      </c>
    </row>
    <row r="84" spans="1:19" ht="15">
      <c r="A84" s="5"/>
      <c r="B84" s="6" t="s">
        <v>69</v>
      </c>
      <c r="C84" s="7">
        <v>28</v>
      </c>
      <c r="D84" s="7">
        <v>0</v>
      </c>
      <c r="E84" s="7">
        <v>12</v>
      </c>
      <c r="F84" s="7">
        <v>28</v>
      </c>
      <c r="G84" s="7">
        <v>0</v>
      </c>
      <c r="H84" s="7">
        <v>0</v>
      </c>
      <c r="I84" s="7">
        <v>40</v>
      </c>
      <c r="J84" s="7">
        <v>0</v>
      </c>
      <c r="K84" s="7">
        <v>30</v>
      </c>
      <c r="L84" s="7">
        <v>14</v>
      </c>
      <c r="N84" s="9">
        <f t="shared" si="3"/>
        <v>28</v>
      </c>
      <c r="O84" s="9">
        <f t="shared" si="3"/>
        <v>40</v>
      </c>
      <c r="P84" s="9">
        <f t="shared" si="3"/>
        <v>12</v>
      </c>
      <c r="Q84" s="9">
        <f t="shared" si="3"/>
        <v>58</v>
      </c>
      <c r="R84" s="9">
        <f t="shared" si="3"/>
        <v>14</v>
      </c>
      <c r="S84" s="10">
        <f t="shared" si="4"/>
        <v>30.4</v>
      </c>
    </row>
    <row r="85" spans="1:19" ht="15">
      <c r="A85" s="5"/>
      <c r="B85" s="6" t="s">
        <v>70</v>
      </c>
      <c r="C85" s="7">
        <v>200</v>
      </c>
      <c r="D85" s="7">
        <v>183</v>
      </c>
      <c r="E85" s="7">
        <v>24</v>
      </c>
      <c r="F85" s="7">
        <v>235</v>
      </c>
      <c r="G85" s="7">
        <v>110</v>
      </c>
      <c r="H85" s="7">
        <v>0</v>
      </c>
      <c r="I85" s="7">
        <v>292</v>
      </c>
      <c r="J85" s="7">
        <v>24</v>
      </c>
      <c r="K85" s="7">
        <v>88</v>
      </c>
      <c r="L85" s="7">
        <v>138</v>
      </c>
      <c r="N85" s="9">
        <f t="shared" si="3"/>
        <v>200</v>
      </c>
      <c r="O85" s="9">
        <f t="shared" si="3"/>
        <v>475</v>
      </c>
      <c r="P85" s="9">
        <f t="shared" si="3"/>
        <v>48</v>
      </c>
      <c r="Q85" s="9">
        <f t="shared" si="3"/>
        <v>323</v>
      </c>
      <c r="R85" s="9">
        <f t="shared" si="3"/>
        <v>248</v>
      </c>
      <c r="S85" s="10">
        <f t="shared" si="4"/>
        <v>258.8</v>
      </c>
    </row>
    <row r="86" spans="1:19" ht="15">
      <c r="A86" s="5"/>
      <c r="B86" s="6" t="s">
        <v>71</v>
      </c>
      <c r="C86" s="7">
        <v>340</v>
      </c>
      <c r="D86" s="7">
        <v>214</v>
      </c>
      <c r="E86" s="7">
        <v>302</v>
      </c>
      <c r="F86" s="7">
        <v>208</v>
      </c>
      <c r="G86" s="7">
        <v>718</v>
      </c>
      <c r="H86" s="7">
        <v>165</v>
      </c>
      <c r="I86" s="7">
        <v>320</v>
      </c>
      <c r="J86" s="7">
        <v>119</v>
      </c>
      <c r="K86" s="7">
        <v>62</v>
      </c>
      <c r="L86" s="7">
        <v>589</v>
      </c>
      <c r="N86" s="9">
        <f t="shared" si="3"/>
        <v>505</v>
      </c>
      <c r="O86" s="9">
        <f t="shared" si="3"/>
        <v>534</v>
      </c>
      <c r="P86" s="9">
        <f t="shared" si="3"/>
        <v>421</v>
      </c>
      <c r="Q86" s="9">
        <f t="shared" si="3"/>
        <v>270</v>
      </c>
      <c r="R86" s="9">
        <f t="shared" si="3"/>
        <v>1307</v>
      </c>
      <c r="S86" s="10">
        <f t="shared" si="4"/>
        <v>607.4</v>
      </c>
    </row>
    <row r="87" spans="1:19" ht="15">
      <c r="A87" s="5"/>
      <c r="B87" s="6" t="s">
        <v>72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N87" s="9">
        <f t="shared" si="3"/>
        <v>0</v>
      </c>
      <c r="O87" s="9">
        <f t="shared" si="3"/>
        <v>0</v>
      </c>
      <c r="P87" s="9">
        <f t="shared" si="3"/>
        <v>0</v>
      </c>
      <c r="Q87" s="9">
        <f t="shared" si="3"/>
        <v>0</v>
      </c>
      <c r="R87" s="9">
        <f t="shared" si="3"/>
        <v>0</v>
      </c>
      <c r="S87" s="10">
        <f t="shared" si="4"/>
        <v>0</v>
      </c>
    </row>
    <row r="88" spans="1:19" ht="15">
      <c r="A88" s="5"/>
      <c r="B88" s="6" t="s">
        <v>73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N88" s="9">
        <f t="shared" si="3"/>
        <v>0</v>
      </c>
      <c r="O88" s="9">
        <f t="shared" si="3"/>
        <v>0</v>
      </c>
      <c r="P88" s="9">
        <f t="shared" si="3"/>
        <v>0</v>
      </c>
      <c r="Q88" s="9">
        <f t="shared" si="3"/>
        <v>0</v>
      </c>
      <c r="R88" s="9">
        <f t="shared" si="3"/>
        <v>0</v>
      </c>
      <c r="S88" s="10">
        <f t="shared" si="4"/>
        <v>0</v>
      </c>
    </row>
    <row r="89" spans="1:19" ht="15">
      <c r="A89" s="5"/>
      <c r="B89" s="6" t="s">
        <v>74</v>
      </c>
      <c r="C89" s="7">
        <v>0</v>
      </c>
      <c r="D89" s="7">
        <v>154</v>
      </c>
      <c r="E89" s="7">
        <v>28</v>
      </c>
      <c r="F89" s="7">
        <v>294</v>
      </c>
      <c r="G89" s="7">
        <v>238</v>
      </c>
      <c r="H89" s="7">
        <v>85</v>
      </c>
      <c r="I89" s="7">
        <v>0</v>
      </c>
      <c r="J89" s="7">
        <v>28</v>
      </c>
      <c r="K89" s="7">
        <v>157</v>
      </c>
      <c r="L89" s="7">
        <v>149</v>
      </c>
      <c r="N89" s="9">
        <f t="shared" si="3"/>
        <v>85</v>
      </c>
      <c r="O89" s="9">
        <f t="shared" si="3"/>
        <v>154</v>
      </c>
      <c r="P89" s="9">
        <f t="shared" si="3"/>
        <v>56</v>
      </c>
      <c r="Q89" s="9">
        <f t="shared" si="3"/>
        <v>451</v>
      </c>
      <c r="R89" s="9">
        <f t="shared" si="3"/>
        <v>387</v>
      </c>
      <c r="S89" s="10">
        <f t="shared" si="4"/>
        <v>226.6</v>
      </c>
    </row>
    <row r="90" spans="1:19" ht="15">
      <c r="A90" s="6" t="s">
        <v>79</v>
      </c>
      <c r="B90" s="6" t="s">
        <v>58</v>
      </c>
      <c r="C90" s="7">
        <v>205</v>
      </c>
      <c r="D90" s="7">
        <v>225</v>
      </c>
      <c r="E90" s="7">
        <v>226</v>
      </c>
      <c r="F90" s="7">
        <v>239</v>
      </c>
      <c r="G90" s="7">
        <v>339</v>
      </c>
      <c r="H90" s="7">
        <v>285</v>
      </c>
      <c r="I90" s="7">
        <v>219</v>
      </c>
      <c r="J90" s="7">
        <v>161</v>
      </c>
      <c r="K90" s="7">
        <v>253</v>
      </c>
      <c r="L90" s="7">
        <v>189</v>
      </c>
      <c r="N90" s="9">
        <f t="shared" si="3"/>
        <v>490</v>
      </c>
      <c r="O90" s="9">
        <f t="shared" si="3"/>
        <v>444</v>
      </c>
      <c r="P90" s="9">
        <f t="shared" si="3"/>
        <v>387</v>
      </c>
      <c r="Q90" s="9">
        <f t="shared" si="3"/>
        <v>492</v>
      </c>
      <c r="R90" s="9">
        <f t="shared" si="3"/>
        <v>528</v>
      </c>
      <c r="S90" s="10">
        <f t="shared" si="4"/>
        <v>468.2</v>
      </c>
    </row>
    <row r="91" spans="1:19" ht="15">
      <c r="A91" s="5"/>
      <c r="B91" s="6" t="s">
        <v>59</v>
      </c>
      <c r="C91" s="7">
        <v>12</v>
      </c>
      <c r="D91" s="7">
        <v>2</v>
      </c>
      <c r="E91" s="7">
        <v>10</v>
      </c>
      <c r="F91" s="7">
        <v>12</v>
      </c>
      <c r="G91" s="7">
        <v>11</v>
      </c>
      <c r="H91" s="7">
        <v>25</v>
      </c>
      <c r="I91" s="7">
        <v>15</v>
      </c>
      <c r="J91" s="7">
        <v>9</v>
      </c>
      <c r="K91" s="7">
        <v>9</v>
      </c>
      <c r="L91" s="7">
        <v>3</v>
      </c>
      <c r="N91" s="9">
        <f t="shared" si="3"/>
        <v>37</v>
      </c>
      <c r="O91" s="9">
        <f t="shared" si="3"/>
        <v>17</v>
      </c>
      <c r="P91" s="9">
        <f t="shared" si="3"/>
        <v>19</v>
      </c>
      <c r="Q91" s="9">
        <f t="shared" si="3"/>
        <v>21</v>
      </c>
      <c r="R91" s="9">
        <f t="shared" si="3"/>
        <v>14</v>
      </c>
      <c r="S91" s="10">
        <f t="shared" si="4"/>
        <v>21.6</v>
      </c>
    </row>
    <row r="92" spans="1:19" ht="15">
      <c r="A92" s="5"/>
      <c r="B92" s="6" t="s">
        <v>60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N92" s="9">
        <f t="shared" si="3"/>
        <v>0</v>
      </c>
      <c r="O92" s="9">
        <f t="shared" si="3"/>
        <v>0</v>
      </c>
      <c r="P92" s="9">
        <f t="shared" si="3"/>
        <v>0</v>
      </c>
      <c r="Q92" s="9">
        <f t="shared" si="3"/>
        <v>0</v>
      </c>
      <c r="R92" s="9">
        <f t="shared" si="3"/>
        <v>0</v>
      </c>
      <c r="S92" s="10">
        <f t="shared" si="4"/>
        <v>0</v>
      </c>
    </row>
    <row r="93" spans="1:19" ht="15">
      <c r="A93" s="5"/>
      <c r="B93" s="6" t="s">
        <v>61</v>
      </c>
      <c r="C93" s="7">
        <v>127</v>
      </c>
      <c r="D93" s="7">
        <v>151</v>
      </c>
      <c r="E93" s="7">
        <v>165</v>
      </c>
      <c r="F93" s="7">
        <v>174</v>
      </c>
      <c r="G93" s="7">
        <v>157</v>
      </c>
      <c r="H93" s="7">
        <v>116</v>
      </c>
      <c r="I93" s="7">
        <v>101</v>
      </c>
      <c r="J93" s="7">
        <v>134</v>
      </c>
      <c r="K93" s="7">
        <v>160</v>
      </c>
      <c r="L93" s="7">
        <v>153</v>
      </c>
      <c r="N93" s="9">
        <f t="shared" si="3"/>
        <v>243</v>
      </c>
      <c r="O93" s="9">
        <f t="shared" si="3"/>
        <v>252</v>
      </c>
      <c r="P93" s="9">
        <f t="shared" si="3"/>
        <v>299</v>
      </c>
      <c r="Q93" s="9">
        <f t="shared" si="3"/>
        <v>334</v>
      </c>
      <c r="R93" s="9">
        <f t="shared" si="3"/>
        <v>310</v>
      </c>
      <c r="S93" s="10">
        <f t="shared" si="4"/>
        <v>287.60000000000002</v>
      </c>
    </row>
    <row r="94" spans="1:19" ht="15">
      <c r="A94" s="5"/>
      <c r="B94" s="6" t="s">
        <v>62</v>
      </c>
      <c r="C94" s="7">
        <v>19</v>
      </c>
      <c r="D94" s="7">
        <v>10</v>
      </c>
      <c r="E94" s="7">
        <v>30</v>
      </c>
      <c r="F94" s="7">
        <v>20</v>
      </c>
      <c r="G94" s="7">
        <v>24</v>
      </c>
      <c r="H94" s="7">
        <v>7</v>
      </c>
      <c r="I94" s="7">
        <v>16</v>
      </c>
      <c r="J94" s="7">
        <v>17</v>
      </c>
      <c r="K94" s="7">
        <v>21</v>
      </c>
      <c r="L94" s="7">
        <v>17</v>
      </c>
      <c r="N94" s="9">
        <f t="shared" si="3"/>
        <v>26</v>
      </c>
      <c r="O94" s="9">
        <f t="shared" si="3"/>
        <v>26</v>
      </c>
      <c r="P94" s="9">
        <f t="shared" si="3"/>
        <v>47</v>
      </c>
      <c r="Q94" s="9">
        <f t="shared" si="3"/>
        <v>41</v>
      </c>
      <c r="R94" s="9">
        <f t="shared" si="3"/>
        <v>41</v>
      </c>
      <c r="S94" s="10">
        <f t="shared" si="4"/>
        <v>36.200000000000003</v>
      </c>
    </row>
    <row r="95" spans="1:19" ht="15">
      <c r="A95" s="5"/>
      <c r="B95" s="6" t="s">
        <v>63</v>
      </c>
      <c r="C95" s="7">
        <v>0</v>
      </c>
      <c r="D95" s="7">
        <v>0</v>
      </c>
      <c r="E95" s="7">
        <v>0</v>
      </c>
      <c r="F95" s="7">
        <v>1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N95" s="9">
        <f t="shared" si="3"/>
        <v>0</v>
      </c>
      <c r="O95" s="9">
        <f t="shared" si="3"/>
        <v>0</v>
      </c>
      <c r="P95" s="9">
        <f t="shared" si="3"/>
        <v>0</v>
      </c>
      <c r="Q95" s="9">
        <f t="shared" si="3"/>
        <v>1</v>
      </c>
      <c r="R95" s="9">
        <f t="shared" si="3"/>
        <v>0</v>
      </c>
      <c r="S95" s="10">
        <f t="shared" si="4"/>
        <v>0.2</v>
      </c>
    </row>
    <row r="96" spans="1:19" ht="15">
      <c r="A96" s="5"/>
      <c r="B96" s="6" t="s">
        <v>64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2</v>
      </c>
      <c r="I96" s="7">
        <v>0</v>
      </c>
      <c r="J96" s="7">
        <v>0</v>
      </c>
      <c r="K96" s="7">
        <v>0</v>
      </c>
      <c r="L96" s="7">
        <v>0</v>
      </c>
      <c r="N96" s="9">
        <f t="shared" si="3"/>
        <v>2</v>
      </c>
      <c r="O96" s="9">
        <f t="shared" si="3"/>
        <v>0</v>
      </c>
      <c r="P96" s="9">
        <f t="shared" si="3"/>
        <v>0</v>
      </c>
      <c r="Q96" s="9">
        <f t="shared" si="3"/>
        <v>0</v>
      </c>
      <c r="R96" s="9">
        <f t="shared" si="3"/>
        <v>0</v>
      </c>
      <c r="S96" s="10">
        <f t="shared" si="4"/>
        <v>0.4</v>
      </c>
    </row>
    <row r="97" spans="1:19" ht="15">
      <c r="A97" s="5"/>
      <c r="B97" s="6" t="s">
        <v>65</v>
      </c>
      <c r="C97" s="7">
        <v>176</v>
      </c>
      <c r="D97" s="7">
        <v>98</v>
      </c>
      <c r="E97" s="7">
        <v>102</v>
      </c>
      <c r="F97" s="7">
        <v>49</v>
      </c>
      <c r="G97" s="7">
        <v>129</v>
      </c>
      <c r="H97" s="7">
        <v>58</v>
      </c>
      <c r="I97" s="7">
        <v>191</v>
      </c>
      <c r="J97" s="7">
        <v>99</v>
      </c>
      <c r="K97" s="7">
        <v>122</v>
      </c>
      <c r="L97" s="7">
        <v>39</v>
      </c>
      <c r="N97" s="9">
        <f t="shared" si="3"/>
        <v>234</v>
      </c>
      <c r="O97" s="9">
        <f t="shared" si="3"/>
        <v>289</v>
      </c>
      <c r="P97" s="9">
        <f t="shared" si="3"/>
        <v>201</v>
      </c>
      <c r="Q97" s="9">
        <f t="shared" si="3"/>
        <v>171</v>
      </c>
      <c r="R97" s="9">
        <f t="shared" si="3"/>
        <v>168</v>
      </c>
      <c r="S97" s="10">
        <f t="shared" si="4"/>
        <v>212.6</v>
      </c>
    </row>
    <row r="98" spans="1:19" ht="15">
      <c r="A98" s="5"/>
      <c r="B98" s="6" t="s">
        <v>66</v>
      </c>
      <c r="C98" s="7">
        <v>4</v>
      </c>
      <c r="D98" s="7">
        <v>7</v>
      </c>
      <c r="E98" s="7">
        <v>3</v>
      </c>
      <c r="F98" s="7">
        <v>6</v>
      </c>
      <c r="G98" s="7">
        <v>8</v>
      </c>
      <c r="H98" s="7">
        <v>0</v>
      </c>
      <c r="I98" s="7">
        <v>3</v>
      </c>
      <c r="J98" s="7">
        <v>5</v>
      </c>
      <c r="K98" s="7">
        <v>8</v>
      </c>
      <c r="L98" s="7">
        <v>4</v>
      </c>
      <c r="N98" s="9">
        <f t="shared" si="3"/>
        <v>4</v>
      </c>
      <c r="O98" s="9">
        <f t="shared" si="3"/>
        <v>10</v>
      </c>
      <c r="P98" s="9">
        <f t="shared" si="3"/>
        <v>8</v>
      </c>
      <c r="Q98" s="9">
        <f t="shared" si="3"/>
        <v>14</v>
      </c>
      <c r="R98" s="9">
        <f t="shared" si="3"/>
        <v>12</v>
      </c>
      <c r="S98" s="10">
        <f t="shared" si="4"/>
        <v>9.6</v>
      </c>
    </row>
    <row r="99" spans="1:19" ht="15">
      <c r="A99" s="5"/>
      <c r="B99" s="6" t="s">
        <v>67</v>
      </c>
      <c r="C99" s="7">
        <v>0</v>
      </c>
      <c r="D99" s="7">
        <v>0</v>
      </c>
      <c r="E99" s="7">
        <v>1</v>
      </c>
      <c r="F99" s="7">
        <v>0</v>
      </c>
      <c r="G99" s="7">
        <v>0</v>
      </c>
      <c r="H99" s="7">
        <v>0</v>
      </c>
      <c r="I99" s="7">
        <v>0</v>
      </c>
      <c r="J99" s="7">
        <v>3</v>
      </c>
      <c r="K99" s="7">
        <v>1</v>
      </c>
      <c r="L99" s="7">
        <v>0</v>
      </c>
      <c r="N99" s="9">
        <f t="shared" si="3"/>
        <v>0</v>
      </c>
      <c r="O99" s="9">
        <f t="shared" si="3"/>
        <v>0</v>
      </c>
      <c r="P99" s="9">
        <f t="shared" si="3"/>
        <v>4</v>
      </c>
      <c r="Q99" s="9">
        <f t="shared" si="3"/>
        <v>1</v>
      </c>
      <c r="R99" s="9">
        <f t="shared" si="3"/>
        <v>0</v>
      </c>
      <c r="S99" s="10">
        <f t="shared" si="4"/>
        <v>1</v>
      </c>
    </row>
    <row r="100" spans="1:19" ht="15">
      <c r="A100" s="5"/>
      <c r="B100" s="6" t="s">
        <v>68</v>
      </c>
      <c r="C100" s="7">
        <v>55</v>
      </c>
      <c r="D100" s="7">
        <v>9</v>
      </c>
      <c r="E100" s="7">
        <v>32</v>
      </c>
      <c r="F100" s="7">
        <v>54</v>
      </c>
      <c r="G100" s="7">
        <v>39</v>
      </c>
      <c r="H100" s="7">
        <v>9</v>
      </c>
      <c r="I100" s="7">
        <v>4</v>
      </c>
      <c r="J100" s="7">
        <v>46</v>
      </c>
      <c r="K100" s="7">
        <v>33</v>
      </c>
      <c r="L100" s="7">
        <v>13</v>
      </c>
      <c r="N100" s="9">
        <f t="shared" si="3"/>
        <v>64</v>
      </c>
      <c r="O100" s="9">
        <f t="shared" si="3"/>
        <v>13</v>
      </c>
      <c r="P100" s="9">
        <f t="shared" si="3"/>
        <v>78</v>
      </c>
      <c r="Q100" s="9">
        <f t="shared" si="3"/>
        <v>87</v>
      </c>
      <c r="R100" s="9">
        <f t="shared" si="3"/>
        <v>52</v>
      </c>
      <c r="S100" s="10">
        <f t="shared" si="4"/>
        <v>58.8</v>
      </c>
    </row>
    <row r="101" spans="1:19" ht="15">
      <c r="A101" s="5"/>
      <c r="B101" s="6" t="s">
        <v>69</v>
      </c>
      <c r="C101" s="7">
        <v>12</v>
      </c>
      <c r="D101" s="7">
        <v>25</v>
      </c>
      <c r="E101" s="7">
        <v>2</v>
      </c>
      <c r="F101" s="7">
        <v>0</v>
      </c>
      <c r="G101" s="7">
        <v>6</v>
      </c>
      <c r="H101" s="7">
        <v>36</v>
      </c>
      <c r="I101" s="7">
        <v>10</v>
      </c>
      <c r="J101" s="7">
        <v>19</v>
      </c>
      <c r="K101" s="7">
        <v>12</v>
      </c>
      <c r="L101" s="7">
        <v>15</v>
      </c>
      <c r="N101" s="9">
        <f t="shared" si="3"/>
        <v>48</v>
      </c>
      <c r="O101" s="9">
        <f t="shared" si="3"/>
        <v>35</v>
      </c>
      <c r="P101" s="9">
        <f t="shared" si="3"/>
        <v>21</v>
      </c>
      <c r="Q101" s="9">
        <f t="shared" si="3"/>
        <v>12</v>
      </c>
      <c r="R101" s="9">
        <f t="shared" si="3"/>
        <v>21</v>
      </c>
      <c r="S101" s="10">
        <f t="shared" si="4"/>
        <v>27.4</v>
      </c>
    </row>
    <row r="102" spans="1:19" ht="15">
      <c r="A102" s="5"/>
      <c r="B102" s="6" t="s">
        <v>70</v>
      </c>
      <c r="C102" s="7">
        <v>335</v>
      </c>
      <c r="D102" s="7">
        <v>84</v>
      </c>
      <c r="E102" s="7">
        <v>103</v>
      </c>
      <c r="F102" s="7">
        <v>130</v>
      </c>
      <c r="G102" s="7">
        <v>238</v>
      </c>
      <c r="H102" s="7">
        <v>119</v>
      </c>
      <c r="I102" s="7">
        <v>163</v>
      </c>
      <c r="J102" s="7">
        <v>226</v>
      </c>
      <c r="K102" s="7">
        <v>81</v>
      </c>
      <c r="L102" s="7">
        <v>120</v>
      </c>
      <c r="N102" s="9">
        <f t="shared" si="3"/>
        <v>454</v>
      </c>
      <c r="O102" s="9">
        <f t="shared" si="3"/>
        <v>247</v>
      </c>
      <c r="P102" s="9">
        <f t="shared" si="3"/>
        <v>329</v>
      </c>
      <c r="Q102" s="9">
        <f t="shared" si="3"/>
        <v>211</v>
      </c>
      <c r="R102" s="9">
        <f t="shared" si="3"/>
        <v>358</v>
      </c>
      <c r="S102" s="10">
        <f t="shared" si="4"/>
        <v>319.8</v>
      </c>
    </row>
    <row r="103" spans="1:19" ht="15">
      <c r="A103" s="5"/>
      <c r="B103" s="6" t="s">
        <v>71</v>
      </c>
      <c r="C103" s="7">
        <v>3983</v>
      </c>
      <c r="D103" s="7">
        <v>2514</v>
      </c>
      <c r="E103" s="7">
        <v>1404</v>
      </c>
      <c r="F103" s="7">
        <v>1573</v>
      </c>
      <c r="G103" s="7">
        <v>1939</v>
      </c>
      <c r="H103" s="7">
        <v>1661</v>
      </c>
      <c r="I103" s="7">
        <v>3063</v>
      </c>
      <c r="J103" s="7">
        <v>3438</v>
      </c>
      <c r="K103" s="7">
        <v>2101</v>
      </c>
      <c r="L103" s="7">
        <v>1766</v>
      </c>
      <c r="N103" s="9">
        <f t="shared" si="3"/>
        <v>5644</v>
      </c>
      <c r="O103" s="9">
        <f t="shared" si="3"/>
        <v>5577</v>
      </c>
      <c r="P103" s="9">
        <f t="shared" si="3"/>
        <v>4842</v>
      </c>
      <c r="Q103" s="9">
        <f t="shared" si="3"/>
        <v>3674</v>
      </c>
      <c r="R103" s="9">
        <f t="shared" si="3"/>
        <v>3705</v>
      </c>
      <c r="S103" s="10">
        <f t="shared" si="4"/>
        <v>4688.3999999999996</v>
      </c>
    </row>
    <row r="104" spans="1:19" ht="15">
      <c r="A104" s="5"/>
      <c r="B104" s="6" t="s">
        <v>72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N104" s="9">
        <f t="shared" si="3"/>
        <v>0</v>
      </c>
      <c r="O104" s="9">
        <f t="shared" si="3"/>
        <v>0</v>
      </c>
      <c r="P104" s="9">
        <f t="shared" si="3"/>
        <v>0</v>
      </c>
      <c r="Q104" s="9">
        <f t="shared" si="3"/>
        <v>0</v>
      </c>
      <c r="R104" s="9">
        <f t="shared" si="3"/>
        <v>0</v>
      </c>
      <c r="S104" s="10">
        <f t="shared" si="4"/>
        <v>0</v>
      </c>
    </row>
    <row r="105" spans="1:19" ht="15">
      <c r="A105" s="5"/>
      <c r="B105" s="6" t="s">
        <v>73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N105" s="9">
        <f t="shared" si="3"/>
        <v>0</v>
      </c>
      <c r="O105" s="9">
        <f t="shared" si="3"/>
        <v>0</v>
      </c>
      <c r="P105" s="9">
        <f t="shared" si="3"/>
        <v>0</v>
      </c>
      <c r="Q105" s="9">
        <f t="shared" si="3"/>
        <v>0</v>
      </c>
      <c r="R105" s="9">
        <f t="shared" si="3"/>
        <v>0</v>
      </c>
      <c r="S105" s="10">
        <f t="shared" si="4"/>
        <v>0</v>
      </c>
    </row>
    <row r="106" spans="1:19" ht="15">
      <c r="A106" s="5"/>
      <c r="B106" s="6" t="s">
        <v>74</v>
      </c>
      <c r="C106" s="7">
        <v>133</v>
      </c>
      <c r="D106" s="7">
        <v>0</v>
      </c>
      <c r="E106" s="7">
        <v>19</v>
      </c>
      <c r="F106" s="7">
        <v>445</v>
      </c>
      <c r="G106" s="7">
        <v>0</v>
      </c>
      <c r="H106" s="7">
        <v>51</v>
      </c>
      <c r="I106" s="7">
        <v>0</v>
      </c>
      <c r="J106" s="7">
        <v>133</v>
      </c>
      <c r="K106" s="7">
        <v>0</v>
      </c>
      <c r="L106" s="7">
        <v>0</v>
      </c>
      <c r="N106" s="9">
        <f t="shared" si="3"/>
        <v>184</v>
      </c>
      <c r="O106" s="9">
        <f t="shared" si="3"/>
        <v>0</v>
      </c>
      <c r="P106" s="9">
        <f t="shared" si="3"/>
        <v>152</v>
      </c>
      <c r="Q106" s="9">
        <f t="shared" si="3"/>
        <v>445</v>
      </c>
      <c r="R106" s="9">
        <f t="shared" si="3"/>
        <v>0</v>
      </c>
      <c r="S106" s="10">
        <f t="shared" si="4"/>
        <v>156.19999999999999</v>
      </c>
    </row>
    <row r="108" spans="1:19" ht="15">
      <c r="A108" s="5" t="s">
        <v>80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9" ht="15">
      <c r="A109" s="221" t="s">
        <v>81</v>
      </c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</row>
    <row r="111" spans="1:19" ht="15">
      <c r="A111" s="5" t="s">
        <v>80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9" ht="15">
      <c r="A112" s="5" t="s">
        <v>82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ht="15">
      <c r="A113" s="221" t="s">
        <v>83</v>
      </c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</row>
    <row r="115" spans="1:12" ht="15">
      <c r="A115" s="5" t="s">
        <v>80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ht="15">
      <c r="A116" s="5" t="s">
        <v>84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ht="15">
      <c r="A117" s="221" t="s">
        <v>85</v>
      </c>
      <c r="B117" s="221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</row>
    <row r="120" spans="1:12" ht="15">
      <c r="A120" s="5" t="s">
        <v>86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ht="15">
      <c r="A121" s="5" t="s">
        <v>87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ht="15">
      <c r="A122" s="5" t="s">
        <v>88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ht="15">
      <c r="A123" s="5" t="s">
        <v>89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ht="15">
      <c r="A124" s="5" t="s">
        <v>88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6" spans="1:12" ht="15">
      <c r="A126" s="5" t="s">
        <v>90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ht="15">
      <c r="A127" s="5" t="s">
        <v>91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9" spans="1:1" ht="15">
      <c r="A129" s="5" t="s">
        <v>92</v>
      </c>
    </row>
    <row r="130" spans="1:1" ht="15">
      <c r="A130" s="5" t="s">
        <v>87</v>
      </c>
    </row>
    <row r="131" spans="1:1" ht="15">
      <c r="A131" s="5" t="s">
        <v>93</v>
      </c>
    </row>
    <row r="132" spans="1:1" ht="15">
      <c r="A132" s="5" t="s">
        <v>94</v>
      </c>
    </row>
    <row r="133" spans="1:1" ht="15">
      <c r="A133" s="5" t="s">
        <v>95</v>
      </c>
    </row>
    <row r="135" spans="1:1" ht="15">
      <c r="A135" s="5" t="s">
        <v>96</v>
      </c>
    </row>
    <row r="136" spans="1:1" ht="15">
      <c r="A136" s="5" t="s">
        <v>97</v>
      </c>
    </row>
    <row r="137" spans="1:1" ht="15">
      <c r="A137" s="5" t="s">
        <v>98</v>
      </c>
    </row>
    <row r="141" spans="1:1" ht="15">
      <c r="A141" s="5" t="s">
        <v>99</v>
      </c>
    </row>
    <row r="143" spans="1:1" ht="15">
      <c r="A143" s="5" t="s">
        <v>100</v>
      </c>
    </row>
    <row r="144" spans="1:1" ht="15">
      <c r="A144" s="5" t="s">
        <v>87</v>
      </c>
    </row>
    <row r="145" spans="1:1" ht="15">
      <c r="A145" s="5" t="s">
        <v>101</v>
      </c>
    </row>
    <row r="146" spans="1:1" ht="15">
      <c r="A146" s="5" t="s">
        <v>89</v>
      </c>
    </row>
    <row r="147" spans="1:1" ht="15">
      <c r="A147" s="5" t="s">
        <v>101</v>
      </c>
    </row>
    <row r="148" spans="1:1" ht="15">
      <c r="A148" s="5" t="s">
        <v>102</v>
      </c>
    </row>
    <row r="149" spans="1:1" ht="15">
      <c r="A149" s="5" t="s">
        <v>87</v>
      </c>
    </row>
    <row r="150" spans="1:1" ht="15">
      <c r="A150" s="5" t="s">
        <v>103</v>
      </c>
    </row>
    <row r="151" spans="1:1" ht="15">
      <c r="A151" s="5" t="s">
        <v>89</v>
      </c>
    </row>
    <row r="152" spans="1:1" ht="15">
      <c r="A152" s="5" t="s">
        <v>103</v>
      </c>
    </row>
    <row r="154" spans="1:1" ht="15">
      <c r="A154" s="5" t="s">
        <v>104</v>
      </c>
    </row>
    <row r="155" spans="1:1" ht="15">
      <c r="A155" s="5" t="s">
        <v>50</v>
      </c>
    </row>
    <row r="156" spans="1:1" ht="15">
      <c r="A156" s="5" t="s">
        <v>105</v>
      </c>
    </row>
    <row r="157" spans="1:1" ht="15">
      <c r="A157" s="5" t="s">
        <v>51</v>
      </c>
    </row>
    <row r="158" spans="1:1" ht="15">
      <c r="A158" s="5" t="s">
        <v>105</v>
      </c>
    </row>
    <row r="165" spans="1:1" ht="15">
      <c r="A165" s="5" t="s">
        <v>106</v>
      </c>
    </row>
    <row r="166" spans="1:1" ht="15">
      <c r="A166" s="5" t="s">
        <v>107</v>
      </c>
    </row>
    <row r="168" spans="1:1" ht="15">
      <c r="A168" s="5" t="s">
        <v>108</v>
      </c>
    </row>
    <row r="169" spans="1:1" ht="15">
      <c r="A169" s="5" t="s">
        <v>109</v>
      </c>
    </row>
  </sheetData>
  <mergeCells count="4">
    <mergeCell ref="A109:L109"/>
    <mergeCell ref="A113:L113"/>
    <mergeCell ref="A117:L117"/>
    <mergeCell ref="N3:R3"/>
  </mergeCells>
  <pageMargins left="0.7" right="0.7" top="0.75" bottom="0.75" header="0.3" footer="0.3"/>
  <pageSetup paperSize="9" orientation="portrait" verticalDpi="0" r:id="rId1"/>
  <headerFooter>
    <oddFooter>&amp;C_x000D_&amp;1#&amp;"Verdana"&amp;7&amp;K000000 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755D6-A7B8-4179-8835-824A3A8A0663}">
  <dimension ref="A1:S169"/>
  <sheetViews>
    <sheetView workbookViewId="0">
      <selection activeCell="U5" sqref="U5:AA134"/>
    </sheetView>
  </sheetViews>
  <sheetFormatPr defaultRowHeight="12.75"/>
  <cols>
    <col min="1" max="1" width="21.7109375" customWidth="1"/>
    <col min="2" max="2" width="51" bestFit="1" customWidth="1"/>
  </cols>
  <sheetData>
    <row r="1" spans="1:19" ht="18.75">
      <c r="A1" s="8" t="s">
        <v>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3" spans="1:19" ht="15">
      <c r="A3" s="5"/>
      <c r="B3" s="5"/>
      <c r="C3" s="6" t="s">
        <v>110</v>
      </c>
      <c r="D3" s="5"/>
      <c r="E3" s="5"/>
      <c r="F3" s="5"/>
      <c r="G3" s="5"/>
      <c r="H3" s="6" t="s">
        <v>111</v>
      </c>
      <c r="I3" s="5"/>
      <c r="J3" s="5"/>
      <c r="K3" s="5"/>
      <c r="L3" s="5"/>
      <c r="N3" s="222" t="s">
        <v>7</v>
      </c>
      <c r="O3" s="222"/>
      <c r="P3" s="222"/>
      <c r="Q3" s="222"/>
      <c r="R3" s="222"/>
    </row>
    <row r="4" spans="1:19" ht="15">
      <c r="A4" s="5"/>
      <c r="B4" s="5"/>
      <c r="C4" s="6" t="s">
        <v>52</v>
      </c>
      <c r="D4" s="6" t="s">
        <v>53</v>
      </c>
      <c r="E4" s="6" t="s">
        <v>54</v>
      </c>
      <c r="F4" s="6" t="s">
        <v>55</v>
      </c>
      <c r="G4" s="6" t="s">
        <v>56</v>
      </c>
      <c r="H4" s="6" t="s">
        <v>52</v>
      </c>
      <c r="I4" s="6" t="s">
        <v>53</v>
      </c>
      <c r="J4" s="6" t="s">
        <v>54</v>
      </c>
      <c r="K4" s="6" t="s">
        <v>55</v>
      </c>
      <c r="L4" s="6" t="s">
        <v>56</v>
      </c>
      <c r="N4" s="6" t="s">
        <v>52</v>
      </c>
      <c r="O4" s="6" t="s">
        <v>53</v>
      </c>
      <c r="P4" s="6" t="s">
        <v>54</v>
      </c>
      <c r="Q4" s="6" t="s">
        <v>55</v>
      </c>
      <c r="R4" s="6" t="s">
        <v>56</v>
      </c>
      <c r="S4" s="6" t="s">
        <v>116</v>
      </c>
    </row>
    <row r="5" spans="1:19" ht="15">
      <c r="A5" s="6" t="s">
        <v>57</v>
      </c>
      <c r="B5" s="6" t="s">
        <v>58</v>
      </c>
      <c r="C5" s="7">
        <v>14441</v>
      </c>
      <c r="D5" s="7">
        <v>12667</v>
      </c>
      <c r="E5" s="7">
        <v>13985</v>
      </c>
      <c r="F5" s="7">
        <v>8872</v>
      </c>
      <c r="G5" s="7">
        <v>11500</v>
      </c>
      <c r="H5" s="7">
        <v>13319</v>
      </c>
      <c r="I5" s="7">
        <v>11467</v>
      </c>
      <c r="J5" s="7">
        <v>10021</v>
      </c>
      <c r="K5" s="7">
        <v>11671</v>
      </c>
      <c r="L5" s="7">
        <v>6632</v>
      </c>
      <c r="N5" s="9">
        <f>C5+H5</f>
        <v>27760</v>
      </c>
      <c r="O5" s="9">
        <f t="shared" ref="O5:R5" si="0">D5+I5</f>
        <v>24134</v>
      </c>
      <c r="P5" s="9">
        <f t="shared" si="0"/>
        <v>24006</v>
      </c>
      <c r="Q5" s="9">
        <f t="shared" si="0"/>
        <v>20543</v>
      </c>
      <c r="R5" s="9">
        <f t="shared" si="0"/>
        <v>18132</v>
      </c>
      <c r="S5" s="10">
        <f>AVERAGEA(N5:R5)</f>
        <v>22915</v>
      </c>
    </row>
    <row r="6" spans="1:19" ht="15">
      <c r="A6" s="5"/>
      <c r="B6" s="6" t="s">
        <v>59</v>
      </c>
      <c r="C6" s="7">
        <v>3402</v>
      </c>
      <c r="D6" s="7">
        <v>1949</v>
      </c>
      <c r="E6" s="7">
        <v>3764</v>
      </c>
      <c r="F6" s="7">
        <v>4696</v>
      </c>
      <c r="G6" s="7">
        <v>4594</v>
      </c>
      <c r="H6" s="7">
        <v>2507</v>
      </c>
      <c r="I6" s="7">
        <v>2939</v>
      </c>
      <c r="J6" s="7">
        <v>2391</v>
      </c>
      <c r="K6" s="7">
        <v>2734</v>
      </c>
      <c r="L6" s="7">
        <v>4597</v>
      </c>
      <c r="N6" s="9">
        <f t="shared" ref="N6:N69" si="1">C6+H6</f>
        <v>5909</v>
      </c>
      <c r="O6" s="9">
        <f t="shared" ref="O6:O69" si="2">D6+I6</f>
        <v>4888</v>
      </c>
      <c r="P6" s="9">
        <f t="shared" ref="P6:P69" si="3">E6+J6</f>
        <v>6155</v>
      </c>
      <c r="Q6" s="9">
        <f t="shared" ref="Q6:Q69" si="4">F6+K6</f>
        <v>7430</v>
      </c>
      <c r="R6" s="9">
        <f t="shared" ref="R6:R69" si="5">G6+L6</f>
        <v>9191</v>
      </c>
      <c r="S6" s="10">
        <f t="shared" ref="S6:S69" si="6">AVERAGEA(N6:R6)</f>
        <v>6714.6</v>
      </c>
    </row>
    <row r="7" spans="1:19" ht="15">
      <c r="A7" s="5"/>
      <c r="B7" s="6" t="s">
        <v>60</v>
      </c>
      <c r="C7" s="7">
        <v>0</v>
      </c>
      <c r="D7" s="7">
        <v>0</v>
      </c>
      <c r="E7" s="7">
        <v>0</v>
      </c>
      <c r="F7" s="7">
        <v>22</v>
      </c>
      <c r="G7" s="7">
        <v>0</v>
      </c>
      <c r="H7" s="7">
        <v>80</v>
      </c>
      <c r="I7" s="7">
        <v>280</v>
      </c>
      <c r="J7" s="7">
        <v>0</v>
      </c>
      <c r="K7" s="7">
        <v>30</v>
      </c>
      <c r="L7" s="7">
        <v>22</v>
      </c>
      <c r="N7" s="9">
        <f t="shared" si="1"/>
        <v>80</v>
      </c>
      <c r="O7" s="9">
        <f t="shared" si="2"/>
        <v>280</v>
      </c>
      <c r="P7" s="9">
        <f t="shared" si="3"/>
        <v>0</v>
      </c>
      <c r="Q7" s="9">
        <f t="shared" si="4"/>
        <v>52</v>
      </c>
      <c r="R7" s="9">
        <f t="shared" si="5"/>
        <v>22</v>
      </c>
      <c r="S7" s="10">
        <f t="shared" si="6"/>
        <v>86.8</v>
      </c>
    </row>
    <row r="8" spans="1:19" ht="15">
      <c r="A8" s="5"/>
      <c r="B8" s="6" t="s">
        <v>61</v>
      </c>
      <c r="C8" s="7">
        <v>2615</v>
      </c>
      <c r="D8" s="7">
        <v>3602</v>
      </c>
      <c r="E8" s="7">
        <v>2255</v>
      </c>
      <c r="F8" s="7">
        <v>7715</v>
      </c>
      <c r="G8" s="7">
        <v>3134</v>
      </c>
      <c r="H8" s="7">
        <v>3018</v>
      </c>
      <c r="I8" s="7">
        <v>2450</v>
      </c>
      <c r="J8" s="7">
        <v>2056</v>
      </c>
      <c r="K8" s="7">
        <v>2501</v>
      </c>
      <c r="L8" s="7">
        <v>3768</v>
      </c>
      <c r="N8" s="9">
        <f t="shared" si="1"/>
        <v>5633</v>
      </c>
      <c r="O8" s="9">
        <f t="shared" si="2"/>
        <v>6052</v>
      </c>
      <c r="P8" s="9">
        <f t="shared" si="3"/>
        <v>4311</v>
      </c>
      <c r="Q8" s="9">
        <f t="shared" si="4"/>
        <v>10216</v>
      </c>
      <c r="R8" s="9">
        <f t="shared" si="5"/>
        <v>6902</v>
      </c>
      <c r="S8" s="10">
        <f t="shared" si="6"/>
        <v>6622.8</v>
      </c>
    </row>
    <row r="9" spans="1:19" ht="15">
      <c r="A9" s="5"/>
      <c r="B9" s="6" t="s">
        <v>62</v>
      </c>
      <c r="C9" s="7">
        <v>1438</v>
      </c>
      <c r="D9" s="7">
        <v>1209</v>
      </c>
      <c r="E9" s="7">
        <v>619</v>
      </c>
      <c r="F9" s="7">
        <v>600</v>
      </c>
      <c r="G9" s="7">
        <v>736</v>
      </c>
      <c r="H9" s="7">
        <v>1464</v>
      </c>
      <c r="I9" s="7">
        <v>751</v>
      </c>
      <c r="J9" s="7">
        <v>470</v>
      </c>
      <c r="K9" s="7">
        <v>1991</v>
      </c>
      <c r="L9" s="7">
        <v>1172</v>
      </c>
      <c r="N9" s="9">
        <f t="shared" si="1"/>
        <v>2902</v>
      </c>
      <c r="O9" s="9">
        <f t="shared" si="2"/>
        <v>1960</v>
      </c>
      <c r="P9" s="9">
        <f t="shared" si="3"/>
        <v>1089</v>
      </c>
      <c r="Q9" s="9">
        <f t="shared" si="4"/>
        <v>2591</v>
      </c>
      <c r="R9" s="9">
        <f t="shared" si="5"/>
        <v>1908</v>
      </c>
      <c r="S9" s="10">
        <f t="shared" si="6"/>
        <v>2090</v>
      </c>
    </row>
    <row r="10" spans="1:19" ht="15">
      <c r="A10" s="5"/>
      <c r="B10" s="6" t="s">
        <v>63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N10" s="9">
        <f t="shared" si="1"/>
        <v>0</v>
      </c>
      <c r="O10" s="9">
        <f t="shared" si="2"/>
        <v>0</v>
      </c>
      <c r="P10" s="9">
        <f t="shared" si="3"/>
        <v>0</v>
      </c>
      <c r="Q10" s="9">
        <f t="shared" si="4"/>
        <v>0</v>
      </c>
      <c r="R10" s="9">
        <f t="shared" si="5"/>
        <v>0</v>
      </c>
      <c r="S10" s="10">
        <f t="shared" si="6"/>
        <v>0</v>
      </c>
    </row>
    <row r="11" spans="1:19" ht="15">
      <c r="A11" s="5"/>
      <c r="B11" s="6" t="s">
        <v>64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N11" s="9">
        <f t="shared" si="1"/>
        <v>0</v>
      </c>
      <c r="O11" s="9">
        <f t="shared" si="2"/>
        <v>0</v>
      </c>
      <c r="P11" s="9">
        <f t="shared" si="3"/>
        <v>0</v>
      </c>
      <c r="Q11" s="9">
        <f t="shared" si="4"/>
        <v>0</v>
      </c>
      <c r="R11" s="9">
        <f t="shared" si="5"/>
        <v>0</v>
      </c>
      <c r="S11" s="10">
        <f t="shared" si="6"/>
        <v>0</v>
      </c>
    </row>
    <row r="12" spans="1:19" ht="15">
      <c r="A12" s="5"/>
      <c r="B12" s="6" t="s">
        <v>65</v>
      </c>
      <c r="C12" s="7">
        <v>2786</v>
      </c>
      <c r="D12" s="7">
        <v>4965</v>
      </c>
      <c r="E12" s="7">
        <v>25</v>
      </c>
      <c r="F12" s="7">
        <v>8481</v>
      </c>
      <c r="G12" s="7">
        <v>274</v>
      </c>
      <c r="H12" s="7">
        <v>2631</v>
      </c>
      <c r="I12" s="7">
        <v>2165</v>
      </c>
      <c r="J12" s="7">
        <v>4965</v>
      </c>
      <c r="K12" s="7">
        <v>1125</v>
      </c>
      <c r="L12" s="7">
        <v>1211</v>
      </c>
      <c r="N12" s="9">
        <f t="shared" si="1"/>
        <v>5417</v>
      </c>
      <c r="O12" s="9">
        <f t="shared" si="2"/>
        <v>7130</v>
      </c>
      <c r="P12" s="9">
        <f t="shared" si="3"/>
        <v>4990</v>
      </c>
      <c r="Q12" s="9">
        <f t="shared" si="4"/>
        <v>9606</v>
      </c>
      <c r="R12" s="9">
        <f t="shared" si="5"/>
        <v>1485</v>
      </c>
      <c r="S12" s="10">
        <f t="shared" si="6"/>
        <v>5725.6</v>
      </c>
    </row>
    <row r="13" spans="1:19" ht="15">
      <c r="A13" s="5"/>
      <c r="B13" s="6" t="s">
        <v>66</v>
      </c>
      <c r="C13" s="7">
        <v>4320</v>
      </c>
      <c r="D13" s="7">
        <v>1260</v>
      </c>
      <c r="E13" s="7">
        <v>1486</v>
      </c>
      <c r="F13" s="7">
        <v>0</v>
      </c>
      <c r="G13" s="7">
        <v>0</v>
      </c>
      <c r="H13" s="7">
        <v>420</v>
      </c>
      <c r="I13" s="7">
        <v>3025</v>
      </c>
      <c r="J13" s="7">
        <v>2820</v>
      </c>
      <c r="K13" s="7">
        <v>846</v>
      </c>
      <c r="L13" s="7">
        <v>1158</v>
      </c>
      <c r="N13" s="9">
        <f t="shared" si="1"/>
        <v>4740</v>
      </c>
      <c r="O13" s="9">
        <f t="shared" si="2"/>
        <v>4285</v>
      </c>
      <c r="P13" s="9">
        <f t="shared" si="3"/>
        <v>4306</v>
      </c>
      <c r="Q13" s="9">
        <f t="shared" si="4"/>
        <v>846</v>
      </c>
      <c r="R13" s="9">
        <f t="shared" si="5"/>
        <v>1158</v>
      </c>
      <c r="S13" s="10">
        <f t="shared" si="6"/>
        <v>3067</v>
      </c>
    </row>
    <row r="14" spans="1:19" ht="15">
      <c r="A14" s="5"/>
      <c r="B14" s="6" t="s">
        <v>67</v>
      </c>
      <c r="C14" s="7">
        <v>0</v>
      </c>
      <c r="D14" s="7">
        <v>0</v>
      </c>
      <c r="E14" s="7">
        <v>0</v>
      </c>
      <c r="F14" s="7">
        <v>0</v>
      </c>
      <c r="G14" s="7">
        <v>3641</v>
      </c>
      <c r="H14" s="7">
        <v>0</v>
      </c>
      <c r="I14" s="7">
        <v>1360</v>
      </c>
      <c r="J14" s="7">
        <v>1650</v>
      </c>
      <c r="K14" s="7">
        <v>0</v>
      </c>
      <c r="L14" s="7">
        <v>0</v>
      </c>
      <c r="N14" s="9">
        <f t="shared" si="1"/>
        <v>0</v>
      </c>
      <c r="O14" s="9">
        <f t="shared" si="2"/>
        <v>1360</v>
      </c>
      <c r="P14" s="9">
        <f t="shared" si="3"/>
        <v>1650</v>
      </c>
      <c r="Q14" s="9">
        <f t="shared" si="4"/>
        <v>0</v>
      </c>
      <c r="R14" s="9">
        <f t="shared" si="5"/>
        <v>3641</v>
      </c>
      <c r="S14" s="10">
        <f t="shared" si="6"/>
        <v>1330.2</v>
      </c>
    </row>
    <row r="15" spans="1:19" ht="15">
      <c r="A15" s="5"/>
      <c r="B15" s="6" t="s">
        <v>68</v>
      </c>
      <c r="C15" s="7">
        <v>938</v>
      </c>
      <c r="D15" s="7">
        <v>1706</v>
      </c>
      <c r="E15" s="7">
        <v>3040</v>
      </c>
      <c r="F15" s="7">
        <v>313</v>
      </c>
      <c r="G15" s="7">
        <v>32</v>
      </c>
      <c r="H15" s="7">
        <v>147</v>
      </c>
      <c r="I15" s="7">
        <v>955</v>
      </c>
      <c r="J15" s="7">
        <v>1846</v>
      </c>
      <c r="K15" s="7">
        <v>496</v>
      </c>
      <c r="L15" s="7">
        <v>380</v>
      </c>
      <c r="N15" s="9">
        <f t="shared" si="1"/>
        <v>1085</v>
      </c>
      <c r="O15" s="9">
        <f t="shared" si="2"/>
        <v>2661</v>
      </c>
      <c r="P15" s="9">
        <f t="shared" si="3"/>
        <v>4886</v>
      </c>
      <c r="Q15" s="9">
        <f t="shared" si="4"/>
        <v>809</v>
      </c>
      <c r="R15" s="9">
        <f t="shared" si="5"/>
        <v>412</v>
      </c>
      <c r="S15" s="10">
        <f t="shared" si="6"/>
        <v>1970.6</v>
      </c>
    </row>
    <row r="16" spans="1:19" ht="15">
      <c r="A16" s="5"/>
      <c r="B16" s="6" t="s">
        <v>69</v>
      </c>
      <c r="C16" s="7">
        <v>460</v>
      </c>
      <c r="D16" s="7">
        <v>0</v>
      </c>
      <c r="E16" s="7">
        <v>893</v>
      </c>
      <c r="F16" s="7">
        <v>1123</v>
      </c>
      <c r="G16" s="7">
        <v>642</v>
      </c>
      <c r="H16" s="7">
        <v>0</v>
      </c>
      <c r="I16" s="7">
        <v>460</v>
      </c>
      <c r="J16" s="7">
        <v>0</v>
      </c>
      <c r="K16" s="7">
        <v>0</v>
      </c>
      <c r="L16" s="7">
        <v>1407</v>
      </c>
      <c r="N16" s="9">
        <f t="shared" si="1"/>
        <v>460</v>
      </c>
      <c r="O16" s="9">
        <f t="shared" si="2"/>
        <v>460</v>
      </c>
      <c r="P16" s="9">
        <f t="shared" si="3"/>
        <v>893</v>
      </c>
      <c r="Q16" s="9">
        <f t="shared" si="4"/>
        <v>1123</v>
      </c>
      <c r="R16" s="9">
        <f t="shared" si="5"/>
        <v>2049</v>
      </c>
      <c r="S16" s="10">
        <f t="shared" si="6"/>
        <v>997</v>
      </c>
    </row>
    <row r="17" spans="1:19" ht="15">
      <c r="A17" s="5"/>
      <c r="B17" s="6" t="s">
        <v>70</v>
      </c>
      <c r="C17" s="7">
        <v>8354</v>
      </c>
      <c r="D17" s="7">
        <v>12218</v>
      </c>
      <c r="E17" s="7">
        <v>7660</v>
      </c>
      <c r="F17" s="7">
        <v>17416</v>
      </c>
      <c r="G17" s="7">
        <v>6458</v>
      </c>
      <c r="H17" s="7">
        <v>16188</v>
      </c>
      <c r="I17" s="7">
        <v>12004</v>
      </c>
      <c r="J17" s="7">
        <v>12974</v>
      </c>
      <c r="K17" s="7">
        <v>6324</v>
      </c>
      <c r="L17" s="7">
        <v>2210</v>
      </c>
      <c r="N17" s="9">
        <f t="shared" si="1"/>
        <v>24542</v>
      </c>
      <c r="O17" s="9">
        <f t="shared" si="2"/>
        <v>24222</v>
      </c>
      <c r="P17" s="9">
        <f t="shared" si="3"/>
        <v>20634</v>
      </c>
      <c r="Q17" s="9">
        <f t="shared" si="4"/>
        <v>23740</v>
      </c>
      <c r="R17" s="9">
        <f t="shared" si="5"/>
        <v>8668</v>
      </c>
      <c r="S17" s="10">
        <f t="shared" si="6"/>
        <v>20361.2</v>
      </c>
    </row>
    <row r="18" spans="1:19" ht="15">
      <c r="A18" s="5"/>
      <c r="B18" s="6" t="s">
        <v>71</v>
      </c>
      <c r="C18" s="7">
        <v>8566</v>
      </c>
      <c r="D18" s="7">
        <v>6530</v>
      </c>
      <c r="E18" s="7">
        <v>19076</v>
      </c>
      <c r="F18" s="7">
        <v>16865</v>
      </c>
      <c r="G18" s="7">
        <v>5650</v>
      </c>
      <c r="H18" s="7">
        <v>11785</v>
      </c>
      <c r="I18" s="7">
        <v>27191</v>
      </c>
      <c r="J18" s="7">
        <v>11710</v>
      </c>
      <c r="K18" s="7">
        <v>4035</v>
      </c>
      <c r="L18" s="7">
        <v>18415</v>
      </c>
      <c r="N18" s="9">
        <f t="shared" si="1"/>
        <v>20351</v>
      </c>
      <c r="O18" s="9">
        <f t="shared" si="2"/>
        <v>33721</v>
      </c>
      <c r="P18" s="9">
        <f t="shared" si="3"/>
        <v>30786</v>
      </c>
      <c r="Q18" s="9">
        <f t="shared" si="4"/>
        <v>20900</v>
      </c>
      <c r="R18" s="9">
        <f t="shared" si="5"/>
        <v>24065</v>
      </c>
      <c r="S18" s="10">
        <f t="shared" si="6"/>
        <v>25964.6</v>
      </c>
    </row>
    <row r="19" spans="1:19" ht="15">
      <c r="A19" s="5"/>
      <c r="B19" s="6" t="s">
        <v>72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1600</v>
      </c>
      <c r="J19" s="7">
        <v>0</v>
      </c>
      <c r="K19" s="7">
        <v>0</v>
      </c>
      <c r="L19" s="7">
        <v>0</v>
      </c>
      <c r="N19" s="9">
        <f t="shared" si="1"/>
        <v>0</v>
      </c>
      <c r="O19" s="9">
        <f t="shared" si="2"/>
        <v>1600</v>
      </c>
      <c r="P19" s="9">
        <f t="shared" si="3"/>
        <v>0</v>
      </c>
      <c r="Q19" s="9">
        <f t="shared" si="4"/>
        <v>0</v>
      </c>
      <c r="R19" s="9">
        <f t="shared" si="5"/>
        <v>0</v>
      </c>
      <c r="S19" s="10">
        <f t="shared" si="6"/>
        <v>320</v>
      </c>
    </row>
    <row r="20" spans="1:19" ht="15">
      <c r="A20" s="5"/>
      <c r="B20" s="6" t="s">
        <v>73</v>
      </c>
      <c r="C20" s="7">
        <v>0</v>
      </c>
      <c r="D20" s="7">
        <v>0</v>
      </c>
      <c r="E20" s="7">
        <v>0</v>
      </c>
      <c r="F20" s="7">
        <v>6995</v>
      </c>
      <c r="G20" s="7">
        <v>5305</v>
      </c>
      <c r="H20" s="7">
        <v>1550</v>
      </c>
      <c r="I20" s="7">
        <v>0</v>
      </c>
      <c r="J20" s="7">
        <v>0</v>
      </c>
      <c r="K20" s="7">
        <v>0</v>
      </c>
      <c r="L20" s="7">
        <v>6350</v>
      </c>
      <c r="N20" s="9">
        <f t="shared" si="1"/>
        <v>1550</v>
      </c>
      <c r="O20" s="9">
        <f t="shared" si="2"/>
        <v>0</v>
      </c>
      <c r="P20" s="9">
        <f t="shared" si="3"/>
        <v>0</v>
      </c>
      <c r="Q20" s="9">
        <f t="shared" si="4"/>
        <v>6995</v>
      </c>
      <c r="R20" s="9">
        <f t="shared" si="5"/>
        <v>11655</v>
      </c>
      <c r="S20" s="10">
        <f t="shared" si="6"/>
        <v>4040</v>
      </c>
    </row>
    <row r="21" spans="1:19" ht="15">
      <c r="A21" s="5"/>
      <c r="B21" s="6" t="s">
        <v>74</v>
      </c>
      <c r="C21" s="7">
        <v>10174</v>
      </c>
      <c r="D21" s="7">
        <v>0</v>
      </c>
      <c r="E21" s="7">
        <v>0</v>
      </c>
      <c r="F21" s="7">
        <v>8856</v>
      </c>
      <c r="G21" s="7">
        <v>8834</v>
      </c>
      <c r="H21" s="7">
        <v>19293</v>
      </c>
      <c r="I21" s="7">
        <v>10314</v>
      </c>
      <c r="J21" s="7">
        <v>0</v>
      </c>
      <c r="K21" s="7">
        <v>0</v>
      </c>
      <c r="L21" s="7">
        <v>0</v>
      </c>
      <c r="N21" s="9">
        <f t="shared" si="1"/>
        <v>29467</v>
      </c>
      <c r="O21" s="9">
        <f t="shared" si="2"/>
        <v>10314</v>
      </c>
      <c r="P21" s="9">
        <f t="shared" si="3"/>
        <v>0</v>
      </c>
      <c r="Q21" s="9">
        <f t="shared" si="4"/>
        <v>8856</v>
      </c>
      <c r="R21" s="9">
        <f t="shared" si="5"/>
        <v>8834</v>
      </c>
      <c r="S21" s="10">
        <f t="shared" si="6"/>
        <v>11494.2</v>
      </c>
    </row>
    <row r="22" spans="1:19" ht="15">
      <c r="A22" s="6" t="s">
        <v>75</v>
      </c>
      <c r="B22" s="6" t="s">
        <v>58</v>
      </c>
      <c r="C22" s="7">
        <v>11292</v>
      </c>
      <c r="D22" s="7">
        <v>13375</v>
      </c>
      <c r="E22" s="7">
        <v>9695</v>
      </c>
      <c r="F22" s="7">
        <v>6748</v>
      </c>
      <c r="G22" s="7">
        <v>6718</v>
      </c>
      <c r="H22" s="7">
        <v>5497</v>
      </c>
      <c r="I22" s="7">
        <v>9991</v>
      </c>
      <c r="J22" s="7">
        <v>14393</v>
      </c>
      <c r="K22" s="7">
        <v>6414</v>
      </c>
      <c r="L22" s="7">
        <v>6242</v>
      </c>
      <c r="N22" s="9">
        <f t="shared" si="1"/>
        <v>16789</v>
      </c>
      <c r="O22" s="9">
        <f t="shared" si="2"/>
        <v>23366</v>
      </c>
      <c r="P22" s="9">
        <f t="shared" si="3"/>
        <v>24088</v>
      </c>
      <c r="Q22" s="9">
        <f t="shared" si="4"/>
        <v>13162</v>
      </c>
      <c r="R22" s="9">
        <f t="shared" si="5"/>
        <v>12960</v>
      </c>
      <c r="S22" s="10">
        <f t="shared" si="6"/>
        <v>18073</v>
      </c>
    </row>
    <row r="23" spans="1:19" ht="15">
      <c r="A23" s="5"/>
      <c r="B23" s="6" t="s">
        <v>59</v>
      </c>
      <c r="C23" s="7">
        <v>2753</v>
      </c>
      <c r="D23" s="7">
        <v>1053</v>
      </c>
      <c r="E23" s="7">
        <v>381</v>
      </c>
      <c r="F23" s="7">
        <v>2863</v>
      </c>
      <c r="G23" s="7">
        <v>415</v>
      </c>
      <c r="H23" s="7">
        <v>1793</v>
      </c>
      <c r="I23" s="7">
        <v>2287</v>
      </c>
      <c r="J23" s="7">
        <v>822</v>
      </c>
      <c r="K23" s="7">
        <v>1857</v>
      </c>
      <c r="L23" s="7">
        <v>1866</v>
      </c>
      <c r="N23" s="9">
        <f t="shared" si="1"/>
        <v>4546</v>
      </c>
      <c r="O23" s="9">
        <f t="shared" si="2"/>
        <v>3340</v>
      </c>
      <c r="P23" s="9">
        <f t="shared" si="3"/>
        <v>1203</v>
      </c>
      <c r="Q23" s="9">
        <f t="shared" si="4"/>
        <v>4720</v>
      </c>
      <c r="R23" s="9">
        <f t="shared" si="5"/>
        <v>2281</v>
      </c>
      <c r="S23" s="10">
        <f t="shared" si="6"/>
        <v>3218</v>
      </c>
    </row>
    <row r="24" spans="1:19" ht="15">
      <c r="A24" s="5"/>
      <c r="B24" s="6" t="s">
        <v>60</v>
      </c>
      <c r="C24" s="7">
        <v>0</v>
      </c>
      <c r="D24" s="7">
        <v>575</v>
      </c>
      <c r="E24" s="7">
        <v>26</v>
      </c>
      <c r="F24" s="7">
        <v>72</v>
      </c>
      <c r="G24" s="7">
        <v>178</v>
      </c>
      <c r="H24" s="7">
        <v>80</v>
      </c>
      <c r="I24" s="7">
        <v>54</v>
      </c>
      <c r="J24" s="7">
        <v>160</v>
      </c>
      <c r="K24" s="7">
        <v>356</v>
      </c>
      <c r="L24" s="7">
        <v>0</v>
      </c>
      <c r="N24" s="9">
        <f t="shared" si="1"/>
        <v>80</v>
      </c>
      <c r="O24" s="9">
        <f t="shared" si="2"/>
        <v>629</v>
      </c>
      <c r="P24" s="9">
        <f t="shared" si="3"/>
        <v>186</v>
      </c>
      <c r="Q24" s="9">
        <f t="shared" si="4"/>
        <v>428</v>
      </c>
      <c r="R24" s="9">
        <f t="shared" si="5"/>
        <v>178</v>
      </c>
      <c r="S24" s="10">
        <f t="shared" si="6"/>
        <v>300.2</v>
      </c>
    </row>
    <row r="25" spans="1:19" ht="15">
      <c r="A25" s="5"/>
      <c r="B25" s="6" t="s">
        <v>61</v>
      </c>
      <c r="C25" s="7">
        <v>7474</v>
      </c>
      <c r="D25" s="7">
        <v>8343</v>
      </c>
      <c r="E25" s="7">
        <v>6737</v>
      </c>
      <c r="F25" s="7">
        <v>5978</v>
      </c>
      <c r="G25" s="7">
        <v>5649</v>
      </c>
      <c r="H25" s="7">
        <v>6181</v>
      </c>
      <c r="I25" s="7">
        <v>6852</v>
      </c>
      <c r="J25" s="7">
        <v>5136</v>
      </c>
      <c r="K25" s="7">
        <v>5934</v>
      </c>
      <c r="L25" s="7">
        <v>7043</v>
      </c>
      <c r="N25" s="9">
        <f t="shared" si="1"/>
        <v>13655</v>
      </c>
      <c r="O25" s="9">
        <f t="shared" si="2"/>
        <v>15195</v>
      </c>
      <c r="P25" s="9">
        <f t="shared" si="3"/>
        <v>11873</v>
      </c>
      <c r="Q25" s="9">
        <f t="shared" si="4"/>
        <v>11912</v>
      </c>
      <c r="R25" s="9">
        <f t="shared" si="5"/>
        <v>12692</v>
      </c>
      <c r="S25" s="10">
        <f t="shared" si="6"/>
        <v>13065.4</v>
      </c>
    </row>
    <row r="26" spans="1:19" ht="15">
      <c r="A26" s="5"/>
      <c r="B26" s="6" t="s">
        <v>62</v>
      </c>
      <c r="C26" s="7">
        <v>109</v>
      </c>
      <c r="D26" s="7">
        <v>87</v>
      </c>
      <c r="E26" s="7">
        <v>335</v>
      </c>
      <c r="F26" s="7">
        <v>140</v>
      </c>
      <c r="G26" s="7">
        <v>89</v>
      </c>
      <c r="H26" s="7">
        <v>0</v>
      </c>
      <c r="I26" s="7">
        <v>165</v>
      </c>
      <c r="J26" s="7">
        <v>149</v>
      </c>
      <c r="K26" s="7">
        <v>188</v>
      </c>
      <c r="L26" s="7">
        <v>24</v>
      </c>
      <c r="N26" s="9">
        <f t="shared" si="1"/>
        <v>109</v>
      </c>
      <c r="O26" s="9">
        <f t="shared" si="2"/>
        <v>252</v>
      </c>
      <c r="P26" s="9">
        <f t="shared" si="3"/>
        <v>484</v>
      </c>
      <c r="Q26" s="9">
        <f t="shared" si="4"/>
        <v>328</v>
      </c>
      <c r="R26" s="9">
        <f t="shared" si="5"/>
        <v>113</v>
      </c>
      <c r="S26" s="10">
        <f t="shared" si="6"/>
        <v>257.2</v>
      </c>
    </row>
    <row r="27" spans="1:19" ht="15">
      <c r="A27" s="5"/>
      <c r="B27" s="6" t="s">
        <v>63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N27" s="9">
        <f t="shared" si="1"/>
        <v>0</v>
      </c>
      <c r="O27" s="9">
        <f t="shared" si="2"/>
        <v>0</v>
      </c>
      <c r="P27" s="9">
        <f t="shared" si="3"/>
        <v>0</v>
      </c>
      <c r="Q27" s="9">
        <f t="shared" si="4"/>
        <v>0</v>
      </c>
      <c r="R27" s="9">
        <f t="shared" si="5"/>
        <v>0</v>
      </c>
      <c r="S27" s="10">
        <f t="shared" si="6"/>
        <v>0</v>
      </c>
    </row>
    <row r="28" spans="1:19" ht="15">
      <c r="A28" s="5"/>
      <c r="B28" s="6" t="s">
        <v>64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N28" s="9">
        <f t="shared" si="1"/>
        <v>0</v>
      </c>
      <c r="O28" s="9">
        <f t="shared" si="2"/>
        <v>0</v>
      </c>
      <c r="P28" s="9">
        <f t="shared" si="3"/>
        <v>0</v>
      </c>
      <c r="Q28" s="9">
        <f t="shared" si="4"/>
        <v>0</v>
      </c>
      <c r="R28" s="9">
        <f t="shared" si="5"/>
        <v>0</v>
      </c>
      <c r="S28" s="10">
        <f t="shared" si="6"/>
        <v>0</v>
      </c>
    </row>
    <row r="29" spans="1:19" ht="15">
      <c r="A29" s="5"/>
      <c r="B29" s="6" t="s">
        <v>65</v>
      </c>
      <c r="C29" s="7">
        <v>977</v>
      </c>
      <c r="D29" s="7">
        <v>18305</v>
      </c>
      <c r="E29" s="7">
        <v>6544</v>
      </c>
      <c r="F29" s="7">
        <v>5435</v>
      </c>
      <c r="G29" s="7">
        <v>5610</v>
      </c>
      <c r="H29" s="7">
        <v>3293</v>
      </c>
      <c r="I29" s="7">
        <v>208</v>
      </c>
      <c r="J29" s="7">
        <v>9466</v>
      </c>
      <c r="K29" s="7">
        <v>7875</v>
      </c>
      <c r="L29" s="7">
        <v>8568</v>
      </c>
      <c r="N29" s="9">
        <f t="shared" si="1"/>
        <v>4270</v>
      </c>
      <c r="O29" s="9">
        <f t="shared" si="2"/>
        <v>18513</v>
      </c>
      <c r="P29" s="9">
        <f t="shared" si="3"/>
        <v>16010</v>
      </c>
      <c r="Q29" s="9">
        <f t="shared" si="4"/>
        <v>13310</v>
      </c>
      <c r="R29" s="9">
        <f t="shared" si="5"/>
        <v>14178</v>
      </c>
      <c r="S29" s="10">
        <f t="shared" si="6"/>
        <v>13256.2</v>
      </c>
    </row>
    <row r="30" spans="1:19" ht="15">
      <c r="A30" s="5"/>
      <c r="B30" s="6" t="s">
        <v>66</v>
      </c>
      <c r="C30" s="7">
        <v>70</v>
      </c>
      <c r="D30" s="7">
        <v>58</v>
      </c>
      <c r="E30" s="7">
        <v>591</v>
      </c>
      <c r="F30" s="7">
        <v>22</v>
      </c>
      <c r="G30" s="7">
        <v>82</v>
      </c>
      <c r="H30" s="7">
        <v>483</v>
      </c>
      <c r="I30" s="7">
        <v>16</v>
      </c>
      <c r="J30" s="7">
        <v>25</v>
      </c>
      <c r="K30" s="7">
        <v>458</v>
      </c>
      <c r="L30" s="7">
        <v>22</v>
      </c>
      <c r="N30" s="9">
        <f t="shared" si="1"/>
        <v>553</v>
      </c>
      <c r="O30" s="9">
        <f t="shared" si="2"/>
        <v>74</v>
      </c>
      <c r="P30" s="9">
        <f t="shared" si="3"/>
        <v>616</v>
      </c>
      <c r="Q30" s="9">
        <f t="shared" si="4"/>
        <v>480</v>
      </c>
      <c r="R30" s="9">
        <f t="shared" si="5"/>
        <v>104</v>
      </c>
      <c r="S30" s="10">
        <f t="shared" si="6"/>
        <v>365.4</v>
      </c>
    </row>
    <row r="31" spans="1:19" ht="15">
      <c r="A31" s="5"/>
      <c r="B31" s="6" t="s">
        <v>67</v>
      </c>
      <c r="C31" s="7">
        <v>32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N31" s="9">
        <f t="shared" si="1"/>
        <v>32</v>
      </c>
      <c r="O31" s="9">
        <f t="shared" si="2"/>
        <v>0</v>
      </c>
      <c r="P31" s="9">
        <f t="shared" si="3"/>
        <v>0</v>
      </c>
      <c r="Q31" s="9">
        <f t="shared" si="4"/>
        <v>0</v>
      </c>
      <c r="R31" s="9">
        <f t="shared" si="5"/>
        <v>0</v>
      </c>
      <c r="S31" s="10">
        <f t="shared" si="6"/>
        <v>6.4</v>
      </c>
    </row>
    <row r="32" spans="1:19" ht="15">
      <c r="A32" s="5"/>
      <c r="B32" s="6" t="s">
        <v>68</v>
      </c>
      <c r="C32" s="7">
        <v>0</v>
      </c>
      <c r="D32" s="7">
        <v>0</v>
      </c>
      <c r="E32" s="7">
        <v>72</v>
      </c>
      <c r="F32" s="7">
        <v>25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N32" s="9">
        <f t="shared" si="1"/>
        <v>0</v>
      </c>
      <c r="O32" s="9">
        <f t="shared" si="2"/>
        <v>0</v>
      </c>
      <c r="P32" s="9">
        <f t="shared" si="3"/>
        <v>72</v>
      </c>
      <c r="Q32" s="9">
        <f t="shared" si="4"/>
        <v>25</v>
      </c>
      <c r="R32" s="9">
        <f t="shared" si="5"/>
        <v>0</v>
      </c>
      <c r="S32" s="10">
        <f t="shared" si="6"/>
        <v>19.399999999999999</v>
      </c>
    </row>
    <row r="33" spans="1:19" ht="15">
      <c r="A33" s="5"/>
      <c r="B33" s="6" t="s">
        <v>69</v>
      </c>
      <c r="C33" s="7">
        <v>0</v>
      </c>
      <c r="D33" s="7">
        <v>0</v>
      </c>
      <c r="E33" s="7">
        <v>320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N33" s="9">
        <f t="shared" si="1"/>
        <v>0</v>
      </c>
      <c r="O33" s="9">
        <f t="shared" si="2"/>
        <v>0</v>
      </c>
      <c r="P33" s="9">
        <f t="shared" si="3"/>
        <v>320</v>
      </c>
      <c r="Q33" s="9">
        <f t="shared" si="4"/>
        <v>0</v>
      </c>
      <c r="R33" s="9">
        <f t="shared" si="5"/>
        <v>0</v>
      </c>
      <c r="S33" s="10">
        <f t="shared" si="6"/>
        <v>64</v>
      </c>
    </row>
    <row r="34" spans="1:19" ht="15">
      <c r="A34" s="5"/>
      <c r="B34" s="6" t="s">
        <v>70</v>
      </c>
      <c r="C34" s="7">
        <v>4979</v>
      </c>
      <c r="D34" s="7">
        <v>0</v>
      </c>
      <c r="E34" s="7">
        <v>4592</v>
      </c>
      <c r="F34" s="7">
        <v>1025</v>
      </c>
      <c r="G34" s="7">
        <v>918</v>
      </c>
      <c r="H34" s="7">
        <v>0</v>
      </c>
      <c r="I34" s="7">
        <v>4979</v>
      </c>
      <c r="J34" s="7">
        <v>0</v>
      </c>
      <c r="K34" s="7">
        <v>4592</v>
      </c>
      <c r="L34" s="7">
        <v>3372</v>
      </c>
      <c r="N34" s="9">
        <f t="shared" si="1"/>
        <v>4979</v>
      </c>
      <c r="O34" s="9">
        <f t="shared" si="2"/>
        <v>4979</v>
      </c>
      <c r="P34" s="9">
        <f t="shared" si="3"/>
        <v>4592</v>
      </c>
      <c r="Q34" s="9">
        <f t="shared" si="4"/>
        <v>5617</v>
      </c>
      <c r="R34" s="9">
        <f t="shared" si="5"/>
        <v>4290</v>
      </c>
      <c r="S34" s="10">
        <f t="shared" si="6"/>
        <v>4891.3999999999996</v>
      </c>
    </row>
    <row r="35" spans="1:19" ht="15">
      <c r="A35" s="5"/>
      <c r="B35" s="6" t="s">
        <v>71</v>
      </c>
      <c r="C35" s="7">
        <v>19521</v>
      </c>
      <c r="D35" s="7">
        <v>12005</v>
      </c>
      <c r="E35" s="7">
        <v>29364</v>
      </c>
      <c r="F35" s="7">
        <v>45723</v>
      </c>
      <c r="G35" s="7">
        <v>36007</v>
      </c>
      <c r="H35" s="7">
        <v>6002</v>
      </c>
      <c r="I35" s="7">
        <v>20094</v>
      </c>
      <c r="J35" s="7">
        <v>12340</v>
      </c>
      <c r="K35" s="7">
        <v>17146</v>
      </c>
      <c r="L35" s="7">
        <v>39281</v>
      </c>
      <c r="N35" s="9">
        <f t="shared" si="1"/>
        <v>25523</v>
      </c>
      <c r="O35" s="9">
        <f t="shared" si="2"/>
        <v>32099</v>
      </c>
      <c r="P35" s="9">
        <f t="shared" si="3"/>
        <v>41704</v>
      </c>
      <c r="Q35" s="9">
        <f t="shared" si="4"/>
        <v>62869</v>
      </c>
      <c r="R35" s="9">
        <f t="shared" si="5"/>
        <v>75288</v>
      </c>
      <c r="S35" s="10">
        <f t="shared" si="6"/>
        <v>47496.6</v>
      </c>
    </row>
    <row r="36" spans="1:19" ht="15">
      <c r="A36" s="5"/>
      <c r="B36" s="6" t="s">
        <v>72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N36" s="9">
        <f t="shared" si="1"/>
        <v>0</v>
      </c>
      <c r="O36" s="9">
        <f t="shared" si="2"/>
        <v>0</v>
      </c>
      <c r="P36" s="9">
        <f t="shared" si="3"/>
        <v>0</v>
      </c>
      <c r="Q36" s="9">
        <f t="shared" si="4"/>
        <v>0</v>
      </c>
      <c r="R36" s="9">
        <f t="shared" si="5"/>
        <v>0</v>
      </c>
      <c r="S36" s="10">
        <f t="shared" si="6"/>
        <v>0</v>
      </c>
    </row>
    <row r="37" spans="1:19" ht="15">
      <c r="A37" s="5"/>
      <c r="B37" s="6" t="s">
        <v>73</v>
      </c>
      <c r="C37" s="7">
        <v>0</v>
      </c>
      <c r="D37" s="7">
        <v>1012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1012</v>
      </c>
      <c r="K37" s="7">
        <v>0</v>
      </c>
      <c r="L37" s="7">
        <v>0</v>
      </c>
      <c r="N37" s="9">
        <f t="shared" si="1"/>
        <v>0</v>
      </c>
      <c r="O37" s="9">
        <f t="shared" si="2"/>
        <v>1012</v>
      </c>
      <c r="P37" s="9">
        <f t="shared" si="3"/>
        <v>1012</v>
      </c>
      <c r="Q37" s="9">
        <f t="shared" si="4"/>
        <v>0</v>
      </c>
      <c r="R37" s="9">
        <f t="shared" si="5"/>
        <v>0</v>
      </c>
      <c r="S37" s="10">
        <f t="shared" si="6"/>
        <v>404.8</v>
      </c>
    </row>
    <row r="38" spans="1:19" ht="15">
      <c r="A38" s="5"/>
      <c r="B38" s="6" t="s">
        <v>74</v>
      </c>
      <c r="C38" s="7">
        <v>0</v>
      </c>
      <c r="D38" s="7">
        <v>7142</v>
      </c>
      <c r="E38" s="7">
        <v>0</v>
      </c>
      <c r="F38" s="7">
        <v>14158</v>
      </c>
      <c r="G38" s="7">
        <v>0</v>
      </c>
      <c r="H38" s="7">
        <v>3030</v>
      </c>
      <c r="I38" s="7">
        <v>0</v>
      </c>
      <c r="J38" s="7">
        <v>7142</v>
      </c>
      <c r="K38" s="7">
        <v>0</v>
      </c>
      <c r="L38" s="7">
        <v>0</v>
      </c>
      <c r="N38" s="9">
        <f t="shared" si="1"/>
        <v>3030</v>
      </c>
      <c r="O38" s="9">
        <f t="shared" si="2"/>
        <v>7142</v>
      </c>
      <c r="P38" s="9">
        <f t="shared" si="3"/>
        <v>7142</v>
      </c>
      <c r="Q38" s="9">
        <f t="shared" si="4"/>
        <v>14158</v>
      </c>
      <c r="R38" s="9">
        <f t="shared" si="5"/>
        <v>0</v>
      </c>
      <c r="S38" s="10">
        <f t="shared" si="6"/>
        <v>6294.4</v>
      </c>
    </row>
    <row r="39" spans="1:19" ht="15">
      <c r="A39" s="6" t="s">
        <v>76</v>
      </c>
      <c r="B39" s="6" t="s">
        <v>58</v>
      </c>
      <c r="C39" s="7">
        <v>20176</v>
      </c>
      <c r="D39" s="7">
        <v>15202</v>
      </c>
      <c r="E39" s="7">
        <v>18744</v>
      </c>
      <c r="F39" s="7">
        <v>19632</v>
      </c>
      <c r="G39" s="7">
        <v>13506</v>
      </c>
      <c r="H39" s="7">
        <v>26728</v>
      </c>
      <c r="I39" s="7">
        <v>22363</v>
      </c>
      <c r="J39" s="7">
        <v>14170</v>
      </c>
      <c r="K39" s="7">
        <v>19599</v>
      </c>
      <c r="L39" s="7">
        <v>17573</v>
      </c>
      <c r="N39" s="9">
        <f t="shared" si="1"/>
        <v>46904</v>
      </c>
      <c r="O39" s="9">
        <f t="shared" si="2"/>
        <v>37565</v>
      </c>
      <c r="P39" s="9">
        <f t="shared" si="3"/>
        <v>32914</v>
      </c>
      <c r="Q39" s="9">
        <f t="shared" si="4"/>
        <v>39231</v>
      </c>
      <c r="R39" s="9">
        <f t="shared" si="5"/>
        <v>31079</v>
      </c>
      <c r="S39" s="10">
        <f t="shared" si="6"/>
        <v>37538.6</v>
      </c>
    </row>
    <row r="40" spans="1:19" ht="15">
      <c r="A40" s="5"/>
      <c r="B40" s="6" t="s">
        <v>59</v>
      </c>
      <c r="C40" s="7">
        <v>1278</v>
      </c>
      <c r="D40" s="7">
        <v>2166</v>
      </c>
      <c r="E40" s="7">
        <v>2434</v>
      </c>
      <c r="F40" s="7">
        <v>2506</v>
      </c>
      <c r="G40" s="7">
        <v>5118</v>
      </c>
      <c r="H40" s="7">
        <v>4239</v>
      </c>
      <c r="I40" s="7">
        <v>2387</v>
      </c>
      <c r="J40" s="7">
        <v>1254</v>
      </c>
      <c r="K40" s="7">
        <v>4774</v>
      </c>
      <c r="L40" s="7">
        <v>2846</v>
      </c>
      <c r="N40" s="9">
        <f t="shared" si="1"/>
        <v>5517</v>
      </c>
      <c r="O40" s="9">
        <f t="shared" si="2"/>
        <v>4553</v>
      </c>
      <c r="P40" s="9">
        <f t="shared" si="3"/>
        <v>3688</v>
      </c>
      <c r="Q40" s="9">
        <f t="shared" si="4"/>
        <v>7280</v>
      </c>
      <c r="R40" s="9">
        <f t="shared" si="5"/>
        <v>7964</v>
      </c>
      <c r="S40" s="10">
        <f t="shared" si="6"/>
        <v>5800.4</v>
      </c>
    </row>
    <row r="41" spans="1:19" ht="15">
      <c r="A41" s="5"/>
      <c r="B41" s="6" t="s">
        <v>60</v>
      </c>
      <c r="C41" s="7">
        <v>41</v>
      </c>
      <c r="D41" s="7">
        <v>171</v>
      </c>
      <c r="E41" s="7">
        <v>327</v>
      </c>
      <c r="F41" s="7">
        <v>0</v>
      </c>
      <c r="G41" s="7">
        <v>0</v>
      </c>
      <c r="H41" s="7">
        <v>87</v>
      </c>
      <c r="I41" s="7">
        <v>713</v>
      </c>
      <c r="J41" s="7">
        <v>0</v>
      </c>
      <c r="K41" s="7">
        <v>0</v>
      </c>
      <c r="L41" s="7">
        <v>539</v>
      </c>
      <c r="N41" s="9">
        <f t="shared" si="1"/>
        <v>128</v>
      </c>
      <c r="O41" s="9">
        <f t="shared" si="2"/>
        <v>884</v>
      </c>
      <c r="P41" s="9">
        <f t="shared" si="3"/>
        <v>327</v>
      </c>
      <c r="Q41" s="9">
        <f t="shared" si="4"/>
        <v>0</v>
      </c>
      <c r="R41" s="9">
        <f t="shared" si="5"/>
        <v>539</v>
      </c>
      <c r="S41" s="10">
        <f t="shared" si="6"/>
        <v>375.6</v>
      </c>
    </row>
    <row r="42" spans="1:19" ht="15">
      <c r="A42" s="5"/>
      <c r="B42" s="6" t="s">
        <v>61</v>
      </c>
      <c r="C42" s="7">
        <v>8540</v>
      </c>
      <c r="D42" s="7">
        <v>4952</v>
      </c>
      <c r="E42" s="7">
        <v>3553</v>
      </c>
      <c r="F42" s="7">
        <v>8213</v>
      </c>
      <c r="G42" s="7">
        <v>11730</v>
      </c>
      <c r="H42" s="7">
        <v>10113</v>
      </c>
      <c r="I42" s="7">
        <v>10471</v>
      </c>
      <c r="J42" s="7">
        <v>3807</v>
      </c>
      <c r="K42" s="7">
        <v>5989</v>
      </c>
      <c r="L42" s="7">
        <v>9500</v>
      </c>
      <c r="N42" s="9">
        <f t="shared" si="1"/>
        <v>18653</v>
      </c>
      <c r="O42" s="9">
        <f t="shared" si="2"/>
        <v>15423</v>
      </c>
      <c r="P42" s="9">
        <f t="shared" si="3"/>
        <v>7360</v>
      </c>
      <c r="Q42" s="9">
        <f t="shared" si="4"/>
        <v>14202</v>
      </c>
      <c r="R42" s="9">
        <f t="shared" si="5"/>
        <v>21230</v>
      </c>
      <c r="S42" s="10">
        <f t="shared" si="6"/>
        <v>15373.6</v>
      </c>
    </row>
    <row r="43" spans="1:19" ht="15">
      <c r="A43" s="5"/>
      <c r="B43" s="6" t="s">
        <v>62</v>
      </c>
      <c r="C43" s="7">
        <v>3924</v>
      </c>
      <c r="D43" s="7">
        <v>321</v>
      </c>
      <c r="E43" s="7">
        <v>1728</v>
      </c>
      <c r="F43" s="7">
        <v>1085</v>
      </c>
      <c r="G43" s="7">
        <v>351</v>
      </c>
      <c r="H43" s="7">
        <v>339</v>
      </c>
      <c r="I43" s="7">
        <v>2175</v>
      </c>
      <c r="J43" s="7">
        <v>734</v>
      </c>
      <c r="K43" s="7">
        <v>2329</v>
      </c>
      <c r="L43" s="7">
        <v>584</v>
      </c>
      <c r="N43" s="9">
        <f t="shared" si="1"/>
        <v>4263</v>
      </c>
      <c r="O43" s="9">
        <f t="shared" si="2"/>
        <v>2496</v>
      </c>
      <c r="P43" s="9">
        <f t="shared" si="3"/>
        <v>2462</v>
      </c>
      <c r="Q43" s="9">
        <f t="shared" si="4"/>
        <v>3414</v>
      </c>
      <c r="R43" s="9">
        <f t="shared" si="5"/>
        <v>935</v>
      </c>
      <c r="S43" s="10">
        <f t="shared" si="6"/>
        <v>2714</v>
      </c>
    </row>
    <row r="44" spans="1:19" ht="15">
      <c r="A44" s="5"/>
      <c r="B44" s="6" t="s">
        <v>63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N44" s="9">
        <f t="shared" si="1"/>
        <v>0</v>
      </c>
      <c r="O44" s="9">
        <f t="shared" si="2"/>
        <v>0</v>
      </c>
      <c r="P44" s="9">
        <f t="shared" si="3"/>
        <v>0</v>
      </c>
      <c r="Q44" s="9">
        <f t="shared" si="4"/>
        <v>0</v>
      </c>
      <c r="R44" s="9">
        <f t="shared" si="5"/>
        <v>0</v>
      </c>
      <c r="S44" s="10">
        <f t="shared" si="6"/>
        <v>0</v>
      </c>
    </row>
    <row r="45" spans="1:19" ht="15">
      <c r="A45" s="5"/>
      <c r="B45" s="6" t="s">
        <v>64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N45" s="9">
        <f t="shared" si="1"/>
        <v>0</v>
      </c>
      <c r="O45" s="9">
        <f t="shared" si="2"/>
        <v>0</v>
      </c>
      <c r="P45" s="9">
        <f t="shared" si="3"/>
        <v>0</v>
      </c>
      <c r="Q45" s="9">
        <f t="shared" si="4"/>
        <v>0</v>
      </c>
      <c r="R45" s="9">
        <f t="shared" si="5"/>
        <v>0</v>
      </c>
      <c r="S45" s="10">
        <f t="shared" si="6"/>
        <v>0</v>
      </c>
    </row>
    <row r="46" spans="1:19" ht="15">
      <c r="A46" s="5"/>
      <c r="B46" s="6" t="s">
        <v>65</v>
      </c>
      <c r="C46" s="7">
        <v>1607</v>
      </c>
      <c r="D46" s="7">
        <v>6589</v>
      </c>
      <c r="E46" s="7">
        <v>5639</v>
      </c>
      <c r="F46" s="7">
        <v>401</v>
      </c>
      <c r="G46" s="7">
        <v>5418</v>
      </c>
      <c r="H46" s="7">
        <v>3819</v>
      </c>
      <c r="I46" s="7">
        <v>1504</v>
      </c>
      <c r="J46" s="7">
        <v>3270</v>
      </c>
      <c r="K46" s="7">
        <v>3582</v>
      </c>
      <c r="L46" s="7">
        <v>7684</v>
      </c>
      <c r="N46" s="9">
        <f t="shared" si="1"/>
        <v>5426</v>
      </c>
      <c r="O46" s="9">
        <f t="shared" si="2"/>
        <v>8093</v>
      </c>
      <c r="P46" s="9">
        <f t="shared" si="3"/>
        <v>8909</v>
      </c>
      <c r="Q46" s="9">
        <f t="shared" si="4"/>
        <v>3983</v>
      </c>
      <c r="R46" s="9">
        <f t="shared" si="5"/>
        <v>13102</v>
      </c>
      <c r="S46" s="10">
        <f t="shared" si="6"/>
        <v>7902.6</v>
      </c>
    </row>
    <row r="47" spans="1:19" ht="15">
      <c r="A47" s="5"/>
      <c r="B47" s="6" t="s">
        <v>66</v>
      </c>
      <c r="C47" s="7">
        <v>322</v>
      </c>
      <c r="D47" s="7">
        <v>395</v>
      </c>
      <c r="E47" s="7">
        <v>1052</v>
      </c>
      <c r="F47" s="7">
        <v>45</v>
      </c>
      <c r="G47" s="7">
        <v>402</v>
      </c>
      <c r="H47" s="7">
        <v>385</v>
      </c>
      <c r="I47" s="7">
        <v>1711</v>
      </c>
      <c r="J47" s="7">
        <v>306</v>
      </c>
      <c r="K47" s="7">
        <v>1152</v>
      </c>
      <c r="L47" s="7">
        <v>529</v>
      </c>
      <c r="N47" s="9">
        <f t="shared" si="1"/>
        <v>707</v>
      </c>
      <c r="O47" s="9">
        <f t="shared" si="2"/>
        <v>2106</v>
      </c>
      <c r="P47" s="9">
        <f t="shared" si="3"/>
        <v>1358</v>
      </c>
      <c r="Q47" s="9">
        <f t="shared" si="4"/>
        <v>1197</v>
      </c>
      <c r="R47" s="9">
        <f t="shared" si="5"/>
        <v>931</v>
      </c>
      <c r="S47" s="10">
        <f t="shared" si="6"/>
        <v>1259.8</v>
      </c>
    </row>
    <row r="48" spans="1:19" ht="15">
      <c r="A48" s="5"/>
      <c r="B48" s="6" t="s">
        <v>67</v>
      </c>
      <c r="C48" s="7">
        <v>0</v>
      </c>
      <c r="D48" s="7">
        <v>0</v>
      </c>
      <c r="E48" s="7">
        <v>0</v>
      </c>
      <c r="F48" s="7">
        <v>0</v>
      </c>
      <c r="G48" s="7">
        <v>54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N48" s="9">
        <f t="shared" si="1"/>
        <v>0</v>
      </c>
      <c r="O48" s="9">
        <f t="shared" si="2"/>
        <v>0</v>
      </c>
      <c r="P48" s="9">
        <f t="shared" si="3"/>
        <v>0</v>
      </c>
      <c r="Q48" s="9">
        <f t="shared" si="4"/>
        <v>0</v>
      </c>
      <c r="R48" s="9">
        <f t="shared" si="5"/>
        <v>54</v>
      </c>
      <c r="S48" s="10">
        <f t="shared" si="6"/>
        <v>10.8</v>
      </c>
    </row>
    <row r="49" spans="1:19" ht="15">
      <c r="A49" s="5"/>
      <c r="B49" s="6" t="s">
        <v>68</v>
      </c>
      <c r="C49" s="7">
        <v>672</v>
      </c>
      <c r="D49" s="7">
        <v>181</v>
      </c>
      <c r="E49" s="7">
        <v>214</v>
      </c>
      <c r="F49" s="7">
        <v>116</v>
      </c>
      <c r="G49" s="7">
        <v>161</v>
      </c>
      <c r="H49" s="7">
        <v>1486</v>
      </c>
      <c r="I49" s="7">
        <v>385</v>
      </c>
      <c r="J49" s="7">
        <v>422</v>
      </c>
      <c r="K49" s="7">
        <v>375</v>
      </c>
      <c r="L49" s="7">
        <v>82</v>
      </c>
      <c r="N49" s="9">
        <f t="shared" si="1"/>
        <v>2158</v>
      </c>
      <c r="O49" s="9">
        <f t="shared" si="2"/>
        <v>566</v>
      </c>
      <c r="P49" s="9">
        <f t="shared" si="3"/>
        <v>636</v>
      </c>
      <c r="Q49" s="9">
        <f t="shared" si="4"/>
        <v>491</v>
      </c>
      <c r="R49" s="9">
        <f t="shared" si="5"/>
        <v>243</v>
      </c>
      <c r="S49" s="10">
        <f t="shared" si="6"/>
        <v>818.8</v>
      </c>
    </row>
    <row r="50" spans="1:19" ht="15">
      <c r="A50" s="5"/>
      <c r="B50" s="6" t="s">
        <v>69</v>
      </c>
      <c r="C50" s="7">
        <v>0</v>
      </c>
      <c r="D50" s="7">
        <v>17</v>
      </c>
      <c r="E50" s="7">
        <v>584</v>
      </c>
      <c r="F50" s="7">
        <v>0</v>
      </c>
      <c r="G50" s="7">
        <v>0</v>
      </c>
      <c r="H50" s="7">
        <v>2396</v>
      </c>
      <c r="I50" s="7">
        <v>17</v>
      </c>
      <c r="J50" s="7">
        <v>0</v>
      </c>
      <c r="K50" s="7">
        <v>584</v>
      </c>
      <c r="L50" s="7">
        <v>0</v>
      </c>
      <c r="N50" s="9">
        <f t="shared" si="1"/>
        <v>2396</v>
      </c>
      <c r="O50" s="9">
        <f t="shared" si="2"/>
        <v>34</v>
      </c>
      <c r="P50" s="9">
        <f t="shared" si="3"/>
        <v>584</v>
      </c>
      <c r="Q50" s="9">
        <f t="shared" si="4"/>
        <v>584</v>
      </c>
      <c r="R50" s="9">
        <f t="shared" si="5"/>
        <v>0</v>
      </c>
      <c r="S50" s="10">
        <f t="shared" si="6"/>
        <v>719.6</v>
      </c>
    </row>
    <row r="51" spans="1:19" ht="15">
      <c r="A51" s="5"/>
      <c r="B51" s="6" t="s">
        <v>70</v>
      </c>
      <c r="C51" s="7">
        <v>12938</v>
      </c>
      <c r="D51" s="7">
        <v>15541</v>
      </c>
      <c r="E51" s="7">
        <v>27014</v>
      </c>
      <c r="F51" s="7">
        <v>11457</v>
      </c>
      <c r="G51" s="7">
        <v>2256</v>
      </c>
      <c r="H51" s="7">
        <v>28919</v>
      </c>
      <c r="I51" s="7">
        <v>26436</v>
      </c>
      <c r="J51" s="7">
        <v>6273</v>
      </c>
      <c r="K51" s="7">
        <v>25494</v>
      </c>
      <c r="L51" s="7">
        <v>24168</v>
      </c>
      <c r="N51" s="9">
        <f t="shared" si="1"/>
        <v>41857</v>
      </c>
      <c r="O51" s="9">
        <f t="shared" si="2"/>
        <v>41977</v>
      </c>
      <c r="P51" s="9">
        <f t="shared" si="3"/>
        <v>33287</v>
      </c>
      <c r="Q51" s="9">
        <f t="shared" si="4"/>
        <v>36951</v>
      </c>
      <c r="R51" s="9">
        <f t="shared" si="5"/>
        <v>26424</v>
      </c>
      <c r="S51" s="10">
        <f t="shared" si="6"/>
        <v>36099.199999999997</v>
      </c>
    </row>
    <row r="52" spans="1:19" ht="15">
      <c r="A52" s="5"/>
      <c r="B52" s="6" t="s">
        <v>71</v>
      </c>
      <c r="C52" s="7">
        <v>9557</v>
      </c>
      <c r="D52" s="7">
        <v>30690</v>
      </c>
      <c r="E52" s="7">
        <v>24611</v>
      </c>
      <c r="F52" s="7">
        <v>13914</v>
      </c>
      <c r="G52" s="7">
        <v>4228</v>
      </c>
      <c r="H52" s="7">
        <v>44750</v>
      </c>
      <c r="I52" s="7">
        <v>15919</v>
      </c>
      <c r="J52" s="7">
        <v>22619</v>
      </c>
      <c r="K52" s="7">
        <v>27627</v>
      </c>
      <c r="L52" s="7">
        <v>23343</v>
      </c>
      <c r="N52" s="9">
        <f t="shared" si="1"/>
        <v>54307</v>
      </c>
      <c r="O52" s="9">
        <f t="shared" si="2"/>
        <v>46609</v>
      </c>
      <c r="P52" s="9">
        <f t="shared" si="3"/>
        <v>47230</v>
      </c>
      <c r="Q52" s="9">
        <f t="shared" si="4"/>
        <v>41541</v>
      </c>
      <c r="R52" s="9">
        <f t="shared" si="5"/>
        <v>27571</v>
      </c>
      <c r="S52" s="10">
        <f t="shared" si="6"/>
        <v>43451.6</v>
      </c>
    </row>
    <row r="53" spans="1:19" ht="15">
      <c r="A53" s="5"/>
      <c r="B53" s="6" t="s">
        <v>72</v>
      </c>
      <c r="C53" s="7">
        <v>0</v>
      </c>
      <c r="D53" s="7">
        <v>0</v>
      </c>
      <c r="E53" s="7">
        <v>0</v>
      </c>
      <c r="F53" s="7">
        <v>285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N53" s="9">
        <f t="shared" si="1"/>
        <v>0</v>
      </c>
      <c r="O53" s="9">
        <f t="shared" si="2"/>
        <v>0</v>
      </c>
      <c r="P53" s="9">
        <f t="shared" si="3"/>
        <v>0</v>
      </c>
      <c r="Q53" s="9">
        <f t="shared" si="4"/>
        <v>285</v>
      </c>
      <c r="R53" s="9">
        <f t="shared" si="5"/>
        <v>0</v>
      </c>
      <c r="S53" s="10">
        <f t="shared" si="6"/>
        <v>57</v>
      </c>
    </row>
    <row r="54" spans="1:19" ht="15">
      <c r="A54" s="5"/>
      <c r="B54" s="6" t="s">
        <v>73</v>
      </c>
      <c r="C54" s="7">
        <v>0</v>
      </c>
      <c r="D54" s="7">
        <v>0</v>
      </c>
      <c r="E54" s="7">
        <v>3566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2265</v>
      </c>
      <c r="L54" s="7">
        <v>1311</v>
      </c>
      <c r="N54" s="9">
        <f t="shared" si="1"/>
        <v>0</v>
      </c>
      <c r="O54" s="9">
        <f t="shared" si="2"/>
        <v>0</v>
      </c>
      <c r="P54" s="9">
        <f t="shared" si="3"/>
        <v>3566</v>
      </c>
      <c r="Q54" s="9">
        <f t="shared" si="4"/>
        <v>2265</v>
      </c>
      <c r="R54" s="9">
        <f t="shared" si="5"/>
        <v>1311</v>
      </c>
      <c r="S54" s="10">
        <f t="shared" si="6"/>
        <v>1428.4</v>
      </c>
    </row>
    <row r="55" spans="1:19" ht="15">
      <c r="A55" s="5"/>
      <c r="B55" s="6" t="s">
        <v>74</v>
      </c>
      <c r="C55" s="7">
        <v>0</v>
      </c>
      <c r="D55" s="7">
        <v>0</v>
      </c>
      <c r="E55" s="7">
        <v>3203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1723</v>
      </c>
      <c r="L55" s="7">
        <v>1480</v>
      </c>
      <c r="N55" s="9">
        <f t="shared" si="1"/>
        <v>0</v>
      </c>
      <c r="O55" s="9">
        <f t="shared" si="2"/>
        <v>0</v>
      </c>
      <c r="P55" s="9">
        <f t="shared" si="3"/>
        <v>3203</v>
      </c>
      <c r="Q55" s="9">
        <f t="shared" si="4"/>
        <v>1723</v>
      </c>
      <c r="R55" s="9">
        <f t="shared" si="5"/>
        <v>1480</v>
      </c>
      <c r="S55" s="10">
        <f t="shared" si="6"/>
        <v>1281.2</v>
      </c>
    </row>
    <row r="56" spans="1:19" ht="15">
      <c r="A56" s="6" t="s">
        <v>77</v>
      </c>
      <c r="B56" s="6" t="s">
        <v>58</v>
      </c>
      <c r="C56" s="7">
        <v>29384</v>
      </c>
      <c r="D56" s="7">
        <v>24871</v>
      </c>
      <c r="E56" s="7">
        <v>23309</v>
      </c>
      <c r="F56" s="7">
        <v>34964</v>
      </c>
      <c r="G56" s="7">
        <v>24138</v>
      </c>
      <c r="H56" s="7">
        <v>32308</v>
      </c>
      <c r="I56" s="7">
        <v>25686</v>
      </c>
      <c r="J56" s="7">
        <v>24778</v>
      </c>
      <c r="K56" s="7">
        <v>23028</v>
      </c>
      <c r="L56" s="7">
        <v>24196</v>
      </c>
      <c r="N56" s="9">
        <f t="shared" si="1"/>
        <v>61692</v>
      </c>
      <c r="O56" s="9">
        <f t="shared" si="2"/>
        <v>50557</v>
      </c>
      <c r="P56" s="9">
        <f t="shared" si="3"/>
        <v>48087</v>
      </c>
      <c r="Q56" s="9">
        <f t="shared" si="4"/>
        <v>57992</v>
      </c>
      <c r="R56" s="9">
        <f t="shared" si="5"/>
        <v>48334</v>
      </c>
      <c r="S56" s="10">
        <f t="shared" si="6"/>
        <v>53332.4</v>
      </c>
    </row>
    <row r="57" spans="1:19" ht="15">
      <c r="A57" s="5"/>
      <c r="B57" s="6" t="s">
        <v>59</v>
      </c>
      <c r="C57" s="7">
        <v>8824</v>
      </c>
      <c r="D57" s="7">
        <v>8821</v>
      </c>
      <c r="E57" s="7">
        <v>7631</v>
      </c>
      <c r="F57" s="7">
        <v>6680</v>
      </c>
      <c r="G57" s="7">
        <v>10411</v>
      </c>
      <c r="H57" s="7">
        <v>8432</v>
      </c>
      <c r="I57" s="7">
        <v>4441</v>
      </c>
      <c r="J57" s="7">
        <v>9720</v>
      </c>
      <c r="K57" s="7">
        <v>8577</v>
      </c>
      <c r="L57" s="7">
        <v>5910</v>
      </c>
      <c r="N57" s="9">
        <f t="shared" si="1"/>
        <v>17256</v>
      </c>
      <c r="O57" s="9">
        <f t="shared" si="2"/>
        <v>13262</v>
      </c>
      <c r="P57" s="9">
        <f t="shared" si="3"/>
        <v>17351</v>
      </c>
      <c r="Q57" s="9">
        <f t="shared" si="4"/>
        <v>15257</v>
      </c>
      <c r="R57" s="9">
        <f t="shared" si="5"/>
        <v>16321</v>
      </c>
      <c r="S57" s="10">
        <f t="shared" si="6"/>
        <v>15889.4</v>
      </c>
    </row>
    <row r="58" spans="1:19" ht="15">
      <c r="A58" s="5"/>
      <c r="B58" s="6" t="s">
        <v>60</v>
      </c>
      <c r="C58" s="7">
        <v>446</v>
      </c>
      <c r="D58" s="7">
        <v>104</v>
      </c>
      <c r="E58" s="7">
        <v>0</v>
      </c>
      <c r="F58" s="7">
        <v>405</v>
      </c>
      <c r="G58" s="7">
        <v>0</v>
      </c>
      <c r="H58" s="7">
        <v>165</v>
      </c>
      <c r="I58" s="7">
        <v>0</v>
      </c>
      <c r="J58" s="7">
        <v>370</v>
      </c>
      <c r="K58" s="7">
        <v>415</v>
      </c>
      <c r="L58" s="7">
        <v>315</v>
      </c>
      <c r="N58" s="9">
        <f t="shared" si="1"/>
        <v>611</v>
      </c>
      <c r="O58" s="9">
        <f t="shared" si="2"/>
        <v>104</v>
      </c>
      <c r="P58" s="9">
        <f t="shared" si="3"/>
        <v>370</v>
      </c>
      <c r="Q58" s="9">
        <f t="shared" si="4"/>
        <v>820</v>
      </c>
      <c r="R58" s="9">
        <f t="shared" si="5"/>
        <v>315</v>
      </c>
      <c r="S58" s="10">
        <f t="shared" si="6"/>
        <v>444</v>
      </c>
    </row>
    <row r="59" spans="1:19" ht="15">
      <c r="A59" s="5"/>
      <c r="B59" s="6" t="s">
        <v>61</v>
      </c>
      <c r="C59" s="7">
        <v>10771</v>
      </c>
      <c r="D59" s="7">
        <v>7482</v>
      </c>
      <c r="E59" s="7">
        <v>10683</v>
      </c>
      <c r="F59" s="7">
        <v>9215</v>
      </c>
      <c r="G59" s="7">
        <v>9861</v>
      </c>
      <c r="H59" s="7">
        <v>7286</v>
      </c>
      <c r="I59" s="7">
        <v>10200</v>
      </c>
      <c r="J59" s="7">
        <v>7176</v>
      </c>
      <c r="K59" s="7">
        <v>7289</v>
      </c>
      <c r="L59" s="7">
        <v>8312</v>
      </c>
      <c r="N59" s="9">
        <f t="shared" si="1"/>
        <v>18057</v>
      </c>
      <c r="O59" s="9">
        <f t="shared" si="2"/>
        <v>17682</v>
      </c>
      <c r="P59" s="9">
        <f t="shared" si="3"/>
        <v>17859</v>
      </c>
      <c r="Q59" s="9">
        <f t="shared" si="4"/>
        <v>16504</v>
      </c>
      <c r="R59" s="9">
        <f t="shared" si="5"/>
        <v>18173</v>
      </c>
      <c r="S59" s="10">
        <f t="shared" si="6"/>
        <v>17655</v>
      </c>
    </row>
    <row r="60" spans="1:19" ht="15">
      <c r="A60" s="5"/>
      <c r="B60" s="6" t="s">
        <v>62</v>
      </c>
      <c r="C60" s="7">
        <v>20</v>
      </c>
      <c r="D60" s="7">
        <v>0</v>
      </c>
      <c r="E60" s="7">
        <v>22</v>
      </c>
      <c r="F60" s="7">
        <v>72</v>
      </c>
      <c r="G60" s="7">
        <v>107</v>
      </c>
      <c r="H60" s="7">
        <v>1016</v>
      </c>
      <c r="I60" s="7">
        <v>360</v>
      </c>
      <c r="J60" s="7">
        <v>148</v>
      </c>
      <c r="K60" s="7">
        <v>67</v>
      </c>
      <c r="L60" s="7">
        <v>72</v>
      </c>
      <c r="N60" s="9">
        <f t="shared" si="1"/>
        <v>1036</v>
      </c>
      <c r="O60" s="9">
        <f t="shared" si="2"/>
        <v>360</v>
      </c>
      <c r="P60" s="9">
        <f t="shared" si="3"/>
        <v>170</v>
      </c>
      <c r="Q60" s="9">
        <f t="shared" si="4"/>
        <v>139</v>
      </c>
      <c r="R60" s="9">
        <f t="shared" si="5"/>
        <v>179</v>
      </c>
      <c r="S60" s="10">
        <f t="shared" si="6"/>
        <v>376.8</v>
      </c>
    </row>
    <row r="61" spans="1:19" ht="15">
      <c r="A61" s="5"/>
      <c r="B61" s="6" t="s">
        <v>63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N61" s="9">
        <f t="shared" si="1"/>
        <v>0</v>
      </c>
      <c r="O61" s="9">
        <f t="shared" si="2"/>
        <v>0</v>
      </c>
      <c r="P61" s="9">
        <f t="shared" si="3"/>
        <v>0</v>
      </c>
      <c r="Q61" s="9">
        <f t="shared" si="4"/>
        <v>0</v>
      </c>
      <c r="R61" s="9">
        <f t="shared" si="5"/>
        <v>0</v>
      </c>
      <c r="S61" s="10">
        <f t="shared" si="6"/>
        <v>0</v>
      </c>
    </row>
    <row r="62" spans="1:19" ht="15">
      <c r="A62" s="5"/>
      <c r="B62" s="6" t="s">
        <v>64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N62" s="9">
        <f t="shared" si="1"/>
        <v>0</v>
      </c>
      <c r="O62" s="9">
        <f t="shared" si="2"/>
        <v>0</v>
      </c>
      <c r="P62" s="9">
        <f t="shared" si="3"/>
        <v>0</v>
      </c>
      <c r="Q62" s="9">
        <f t="shared" si="4"/>
        <v>0</v>
      </c>
      <c r="R62" s="9">
        <f t="shared" si="5"/>
        <v>0</v>
      </c>
      <c r="S62" s="10">
        <f t="shared" si="6"/>
        <v>0</v>
      </c>
    </row>
    <row r="63" spans="1:19" ht="15">
      <c r="A63" s="5"/>
      <c r="B63" s="6" t="s">
        <v>65</v>
      </c>
      <c r="C63" s="7">
        <v>3729</v>
      </c>
      <c r="D63" s="7">
        <v>15179</v>
      </c>
      <c r="E63" s="7">
        <v>145</v>
      </c>
      <c r="F63" s="7">
        <v>12010</v>
      </c>
      <c r="G63" s="7">
        <v>4353</v>
      </c>
      <c r="H63" s="7">
        <v>6846</v>
      </c>
      <c r="I63" s="7">
        <v>2716</v>
      </c>
      <c r="J63" s="7">
        <v>14771</v>
      </c>
      <c r="K63" s="7">
        <v>329</v>
      </c>
      <c r="L63" s="7">
        <v>9333</v>
      </c>
      <c r="N63" s="9">
        <f t="shared" si="1"/>
        <v>10575</v>
      </c>
      <c r="O63" s="9">
        <f t="shared" si="2"/>
        <v>17895</v>
      </c>
      <c r="P63" s="9">
        <f t="shared" si="3"/>
        <v>14916</v>
      </c>
      <c r="Q63" s="9">
        <f t="shared" si="4"/>
        <v>12339</v>
      </c>
      <c r="R63" s="9">
        <f t="shared" si="5"/>
        <v>13686</v>
      </c>
      <c r="S63" s="10">
        <f t="shared" si="6"/>
        <v>13882.2</v>
      </c>
    </row>
    <row r="64" spans="1:19" ht="15">
      <c r="A64" s="5"/>
      <c r="B64" s="6" t="s">
        <v>66</v>
      </c>
      <c r="C64" s="7">
        <v>450</v>
      </c>
      <c r="D64" s="7">
        <v>1077</v>
      </c>
      <c r="E64" s="7">
        <v>107</v>
      </c>
      <c r="F64" s="7">
        <v>0</v>
      </c>
      <c r="G64" s="7">
        <v>958</v>
      </c>
      <c r="H64" s="7">
        <v>1784</v>
      </c>
      <c r="I64" s="7">
        <v>450</v>
      </c>
      <c r="J64" s="7">
        <v>1050</v>
      </c>
      <c r="K64" s="7">
        <v>90</v>
      </c>
      <c r="L64" s="7">
        <v>0</v>
      </c>
      <c r="N64" s="9">
        <f t="shared" si="1"/>
        <v>2234</v>
      </c>
      <c r="O64" s="9">
        <f t="shared" si="2"/>
        <v>1527</v>
      </c>
      <c r="P64" s="9">
        <f t="shared" si="3"/>
        <v>1157</v>
      </c>
      <c r="Q64" s="9">
        <f t="shared" si="4"/>
        <v>90</v>
      </c>
      <c r="R64" s="9">
        <f t="shared" si="5"/>
        <v>958</v>
      </c>
      <c r="S64" s="10">
        <f t="shared" si="6"/>
        <v>1193.2</v>
      </c>
    </row>
    <row r="65" spans="1:19" ht="15">
      <c r="A65" s="5"/>
      <c r="B65" s="6" t="s">
        <v>67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N65" s="9">
        <f t="shared" si="1"/>
        <v>0</v>
      </c>
      <c r="O65" s="9">
        <f t="shared" si="2"/>
        <v>0</v>
      </c>
      <c r="P65" s="9">
        <f t="shared" si="3"/>
        <v>0</v>
      </c>
      <c r="Q65" s="9">
        <f t="shared" si="4"/>
        <v>0</v>
      </c>
      <c r="R65" s="9">
        <f t="shared" si="5"/>
        <v>0</v>
      </c>
      <c r="S65" s="10">
        <f t="shared" si="6"/>
        <v>0</v>
      </c>
    </row>
    <row r="66" spans="1:19" ht="15">
      <c r="A66" s="5"/>
      <c r="B66" s="6" t="s">
        <v>68</v>
      </c>
      <c r="C66" s="7">
        <v>599</v>
      </c>
      <c r="D66" s="7">
        <v>1333</v>
      </c>
      <c r="E66" s="7">
        <v>835</v>
      </c>
      <c r="F66" s="7">
        <v>2062</v>
      </c>
      <c r="G66" s="7">
        <v>4449</v>
      </c>
      <c r="H66" s="7">
        <v>2417</v>
      </c>
      <c r="I66" s="7">
        <v>1348</v>
      </c>
      <c r="J66" s="7">
        <v>966</v>
      </c>
      <c r="K66" s="7">
        <v>1634</v>
      </c>
      <c r="L66" s="7">
        <v>1603</v>
      </c>
      <c r="N66" s="9">
        <f t="shared" si="1"/>
        <v>3016</v>
      </c>
      <c r="O66" s="9">
        <f t="shared" si="2"/>
        <v>2681</v>
      </c>
      <c r="P66" s="9">
        <f t="shared" si="3"/>
        <v>1801</v>
      </c>
      <c r="Q66" s="9">
        <f t="shared" si="4"/>
        <v>3696</v>
      </c>
      <c r="R66" s="9">
        <f t="shared" si="5"/>
        <v>6052</v>
      </c>
      <c r="S66" s="10">
        <f t="shared" si="6"/>
        <v>3449.2</v>
      </c>
    </row>
    <row r="67" spans="1:19" ht="15">
      <c r="A67" s="5"/>
      <c r="B67" s="6" t="s">
        <v>69</v>
      </c>
      <c r="C67" s="7">
        <v>20</v>
      </c>
      <c r="D67" s="7">
        <v>0</v>
      </c>
      <c r="E67" s="7">
        <v>568</v>
      </c>
      <c r="F67" s="7">
        <v>0</v>
      </c>
      <c r="G67" s="7">
        <v>242</v>
      </c>
      <c r="H67" s="7">
        <v>2173</v>
      </c>
      <c r="I67" s="7">
        <v>0</v>
      </c>
      <c r="J67" s="7">
        <v>845</v>
      </c>
      <c r="K67" s="7">
        <v>0</v>
      </c>
      <c r="L67" s="7">
        <v>0</v>
      </c>
      <c r="N67" s="9">
        <f t="shared" si="1"/>
        <v>2193</v>
      </c>
      <c r="O67" s="9">
        <f t="shared" si="2"/>
        <v>0</v>
      </c>
      <c r="P67" s="9">
        <f t="shared" si="3"/>
        <v>1413</v>
      </c>
      <c r="Q67" s="9">
        <f t="shared" si="4"/>
        <v>0</v>
      </c>
      <c r="R67" s="9">
        <f t="shared" si="5"/>
        <v>242</v>
      </c>
      <c r="S67" s="10">
        <f t="shared" si="6"/>
        <v>769.6</v>
      </c>
    </row>
    <row r="68" spans="1:19" ht="15">
      <c r="A68" s="5"/>
      <c r="B68" s="6" t="s">
        <v>70</v>
      </c>
      <c r="C68" s="7">
        <v>10052</v>
      </c>
      <c r="D68" s="7">
        <v>2495</v>
      </c>
      <c r="E68" s="7">
        <v>9115</v>
      </c>
      <c r="F68" s="7">
        <v>15499</v>
      </c>
      <c r="G68" s="7">
        <v>4244</v>
      </c>
      <c r="H68" s="7">
        <v>8359</v>
      </c>
      <c r="I68" s="7">
        <v>12630</v>
      </c>
      <c r="J68" s="7">
        <v>2845</v>
      </c>
      <c r="K68" s="7">
        <v>8765</v>
      </c>
      <c r="L68" s="7">
        <v>9241</v>
      </c>
      <c r="N68" s="9">
        <f t="shared" si="1"/>
        <v>18411</v>
      </c>
      <c r="O68" s="9">
        <f t="shared" si="2"/>
        <v>15125</v>
      </c>
      <c r="P68" s="9">
        <f t="shared" si="3"/>
        <v>11960</v>
      </c>
      <c r="Q68" s="9">
        <f t="shared" si="4"/>
        <v>24264</v>
      </c>
      <c r="R68" s="9">
        <f t="shared" si="5"/>
        <v>13485</v>
      </c>
      <c r="S68" s="10">
        <f t="shared" si="6"/>
        <v>16649</v>
      </c>
    </row>
    <row r="69" spans="1:19" ht="15">
      <c r="A69" s="5"/>
      <c r="B69" s="6" t="s">
        <v>71</v>
      </c>
      <c r="C69" s="7">
        <v>4764</v>
      </c>
      <c r="D69" s="7">
        <v>14326</v>
      </c>
      <c r="E69" s="7">
        <v>13827</v>
      </c>
      <c r="F69" s="7">
        <v>51019</v>
      </c>
      <c r="G69" s="7">
        <v>13678</v>
      </c>
      <c r="H69" s="7">
        <v>4064</v>
      </c>
      <c r="I69" s="7">
        <v>9244</v>
      </c>
      <c r="J69" s="7">
        <v>6347</v>
      </c>
      <c r="K69" s="7">
        <v>12705</v>
      </c>
      <c r="L69" s="7">
        <v>26284</v>
      </c>
      <c r="N69" s="9">
        <f t="shared" si="1"/>
        <v>8828</v>
      </c>
      <c r="O69" s="9">
        <f t="shared" si="2"/>
        <v>23570</v>
      </c>
      <c r="P69" s="9">
        <f t="shared" si="3"/>
        <v>20174</v>
      </c>
      <c r="Q69" s="9">
        <f t="shared" si="4"/>
        <v>63724</v>
      </c>
      <c r="R69" s="9">
        <f t="shared" si="5"/>
        <v>39962</v>
      </c>
      <c r="S69" s="10">
        <f t="shared" si="6"/>
        <v>31251.599999999999</v>
      </c>
    </row>
    <row r="70" spans="1:19" ht="15">
      <c r="A70" s="5"/>
      <c r="B70" s="6" t="s">
        <v>72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N70" s="9">
        <f t="shared" ref="N70:N106" si="7">C70+H70</f>
        <v>0</v>
      </c>
      <c r="O70" s="9">
        <f t="shared" ref="O70:O106" si="8">D70+I70</f>
        <v>0</v>
      </c>
      <c r="P70" s="9">
        <f t="shared" ref="P70:P106" si="9">E70+J70</f>
        <v>0</v>
      </c>
      <c r="Q70" s="9">
        <f t="shared" ref="Q70:Q106" si="10">F70+K70</f>
        <v>0</v>
      </c>
      <c r="R70" s="9">
        <f t="shared" ref="R70:R106" si="11">G70+L70</f>
        <v>0</v>
      </c>
      <c r="S70" s="10">
        <f t="shared" ref="S70:S106" si="12">AVERAGEA(N70:R70)</f>
        <v>0</v>
      </c>
    </row>
    <row r="71" spans="1:19" ht="15">
      <c r="A71" s="5"/>
      <c r="B71" s="6" t="s">
        <v>73</v>
      </c>
      <c r="C71" s="7">
        <v>0</v>
      </c>
      <c r="D71" s="7">
        <v>0</v>
      </c>
      <c r="E71" s="7">
        <v>0</v>
      </c>
      <c r="F71" s="7">
        <v>0</v>
      </c>
      <c r="G71" s="7">
        <v>787</v>
      </c>
      <c r="H71" s="7">
        <v>0</v>
      </c>
      <c r="I71" s="7">
        <v>4040</v>
      </c>
      <c r="J71" s="7">
        <v>0</v>
      </c>
      <c r="K71" s="7">
        <v>0</v>
      </c>
      <c r="L71" s="7">
        <v>0</v>
      </c>
      <c r="N71" s="9">
        <f t="shared" si="7"/>
        <v>0</v>
      </c>
      <c r="O71" s="9">
        <f t="shared" si="8"/>
        <v>4040</v>
      </c>
      <c r="P71" s="9">
        <f t="shared" si="9"/>
        <v>0</v>
      </c>
      <c r="Q71" s="9">
        <f t="shared" si="10"/>
        <v>0</v>
      </c>
      <c r="R71" s="9">
        <f t="shared" si="11"/>
        <v>787</v>
      </c>
      <c r="S71" s="10">
        <f t="shared" si="12"/>
        <v>965.4</v>
      </c>
    </row>
    <row r="72" spans="1:19" ht="15">
      <c r="A72" s="5"/>
      <c r="B72" s="6" t="s">
        <v>74</v>
      </c>
      <c r="C72" s="7">
        <v>0</v>
      </c>
      <c r="D72" s="7">
        <v>0</v>
      </c>
      <c r="E72" s="7">
        <v>7255</v>
      </c>
      <c r="F72" s="7">
        <v>29557</v>
      </c>
      <c r="G72" s="7">
        <v>0</v>
      </c>
      <c r="H72" s="7">
        <v>3453</v>
      </c>
      <c r="I72" s="7">
        <v>2230</v>
      </c>
      <c r="J72" s="7">
        <v>0</v>
      </c>
      <c r="K72" s="7">
        <v>24473</v>
      </c>
      <c r="L72" s="7">
        <v>3149</v>
      </c>
      <c r="N72" s="9">
        <f t="shared" si="7"/>
        <v>3453</v>
      </c>
      <c r="O72" s="9">
        <f t="shared" si="8"/>
        <v>2230</v>
      </c>
      <c r="P72" s="9">
        <f t="shared" si="9"/>
        <v>7255</v>
      </c>
      <c r="Q72" s="9">
        <f t="shared" si="10"/>
        <v>54030</v>
      </c>
      <c r="R72" s="9">
        <f t="shared" si="11"/>
        <v>3149</v>
      </c>
      <c r="S72" s="10">
        <f t="shared" si="12"/>
        <v>14023.4</v>
      </c>
    </row>
    <row r="73" spans="1:19" ht="15">
      <c r="A73" s="6" t="s">
        <v>78</v>
      </c>
      <c r="B73" s="6" t="s">
        <v>58</v>
      </c>
      <c r="C73" s="7">
        <v>13939</v>
      </c>
      <c r="D73" s="7">
        <v>17129</v>
      </c>
      <c r="E73" s="7">
        <v>16005</v>
      </c>
      <c r="F73" s="7">
        <v>14139</v>
      </c>
      <c r="G73" s="7">
        <v>17220</v>
      </c>
      <c r="H73" s="7">
        <v>11104</v>
      </c>
      <c r="I73" s="7">
        <v>12620</v>
      </c>
      <c r="J73" s="7">
        <v>12186</v>
      </c>
      <c r="K73" s="7">
        <v>16563</v>
      </c>
      <c r="L73" s="7">
        <v>12987</v>
      </c>
      <c r="N73" s="9">
        <f t="shared" si="7"/>
        <v>25043</v>
      </c>
      <c r="O73" s="9">
        <f t="shared" si="8"/>
        <v>29749</v>
      </c>
      <c r="P73" s="9">
        <f t="shared" si="9"/>
        <v>28191</v>
      </c>
      <c r="Q73" s="9">
        <f t="shared" si="10"/>
        <v>30702</v>
      </c>
      <c r="R73" s="9">
        <f t="shared" si="11"/>
        <v>30207</v>
      </c>
      <c r="S73" s="10">
        <f t="shared" si="12"/>
        <v>28778.400000000001</v>
      </c>
    </row>
    <row r="74" spans="1:19" ht="15">
      <c r="A74" s="5"/>
      <c r="B74" s="6" t="s">
        <v>59</v>
      </c>
      <c r="C74" s="7">
        <v>3361</v>
      </c>
      <c r="D74" s="7">
        <v>3420</v>
      </c>
      <c r="E74" s="7">
        <v>1390</v>
      </c>
      <c r="F74" s="7">
        <v>2015</v>
      </c>
      <c r="G74" s="7">
        <v>1321</v>
      </c>
      <c r="H74" s="7">
        <v>3090</v>
      </c>
      <c r="I74" s="7">
        <v>1648</v>
      </c>
      <c r="J74" s="7">
        <v>2153</v>
      </c>
      <c r="K74" s="7">
        <v>2399</v>
      </c>
      <c r="L74" s="7">
        <v>2689</v>
      </c>
      <c r="N74" s="9">
        <f t="shared" si="7"/>
        <v>6451</v>
      </c>
      <c r="O74" s="9">
        <f t="shared" si="8"/>
        <v>5068</v>
      </c>
      <c r="P74" s="9">
        <f t="shared" si="9"/>
        <v>3543</v>
      </c>
      <c r="Q74" s="9">
        <f t="shared" si="10"/>
        <v>4414</v>
      </c>
      <c r="R74" s="9">
        <f t="shared" si="11"/>
        <v>4010</v>
      </c>
      <c r="S74" s="10">
        <f t="shared" si="12"/>
        <v>4697.2</v>
      </c>
    </row>
    <row r="75" spans="1:19" ht="15">
      <c r="A75" s="5"/>
      <c r="B75" s="6" t="s">
        <v>60</v>
      </c>
      <c r="C75" s="7">
        <v>1172</v>
      </c>
      <c r="D75" s="7">
        <v>160</v>
      </c>
      <c r="E75" s="7">
        <v>297</v>
      </c>
      <c r="F75" s="7">
        <v>469</v>
      </c>
      <c r="G75" s="7">
        <v>452</v>
      </c>
      <c r="H75" s="7">
        <v>428</v>
      </c>
      <c r="I75" s="7">
        <v>456</v>
      </c>
      <c r="J75" s="7">
        <v>22</v>
      </c>
      <c r="K75" s="7">
        <v>261</v>
      </c>
      <c r="L75" s="7">
        <v>617</v>
      </c>
      <c r="N75" s="9">
        <f t="shared" si="7"/>
        <v>1600</v>
      </c>
      <c r="O75" s="9">
        <f t="shared" si="8"/>
        <v>616</v>
      </c>
      <c r="P75" s="9">
        <f t="shared" si="9"/>
        <v>319</v>
      </c>
      <c r="Q75" s="9">
        <f t="shared" si="10"/>
        <v>730</v>
      </c>
      <c r="R75" s="9">
        <f t="shared" si="11"/>
        <v>1069</v>
      </c>
      <c r="S75" s="10">
        <f t="shared" si="12"/>
        <v>866.8</v>
      </c>
    </row>
    <row r="76" spans="1:19" ht="15">
      <c r="A76" s="5"/>
      <c r="B76" s="6" t="s">
        <v>61</v>
      </c>
      <c r="C76" s="7">
        <v>2780</v>
      </c>
      <c r="D76" s="7">
        <v>7714</v>
      </c>
      <c r="E76" s="7">
        <v>10061</v>
      </c>
      <c r="F76" s="7">
        <v>7279</v>
      </c>
      <c r="G76" s="7">
        <v>5837</v>
      </c>
      <c r="H76" s="7">
        <v>5696</v>
      </c>
      <c r="I76" s="7">
        <v>3126</v>
      </c>
      <c r="J76" s="7">
        <v>4837</v>
      </c>
      <c r="K76" s="7">
        <v>6605</v>
      </c>
      <c r="L76" s="7">
        <v>8395</v>
      </c>
      <c r="N76" s="9">
        <f t="shared" si="7"/>
        <v>8476</v>
      </c>
      <c r="O76" s="9">
        <f t="shared" si="8"/>
        <v>10840</v>
      </c>
      <c r="P76" s="9">
        <f t="shared" si="9"/>
        <v>14898</v>
      </c>
      <c r="Q76" s="9">
        <f t="shared" si="10"/>
        <v>13884</v>
      </c>
      <c r="R76" s="9">
        <f t="shared" si="11"/>
        <v>14232</v>
      </c>
      <c r="S76" s="10">
        <f t="shared" si="12"/>
        <v>12466</v>
      </c>
    </row>
    <row r="77" spans="1:19" ht="15">
      <c r="A77" s="5"/>
      <c r="B77" s="6" t="s">
        <v>62</v>
      </c>
      <c r="C77" s="7">
        <v>285</v>
      </c>
      <c r="D77" s="7">
        <v>388</v>
      </c>
      <c r="E77" s="7">
        <v>455</v>
      </c>
      <c r="F77" s="7">
        <v>483</v>
      </c>
      <c r="G77" s="7">
        <v>188</v>
      </c>
      <c r="H77" s="7">
        <v>685</v>
      </c>
      <c r="I77" s="7">
        <v>408</v>
      </c>
      <c r="J77" s="7">
        <v>334</v>
      </c>
      <c r="K77" s="7">
        <v>477</v>
      </c>
      <c r="L77" s="7">
        <v>412</v>
      </c>
      <c r="N77" s="9">
        <f t="shared" si="7"/>
        <v>970</v>
      </c>
      <c r="O77" s="9">
        <f t="shared" si="8"/>
        <v>796</v>
      </c>
      <c r="P77" s="9">
        <f t="shared" si="9"/>
        <v>789</v>
      </c>
      <c r="Q77" s="9">
        <f t="shared" si="10"/>
        <v>960</v>
      </c>
      <c r="R77" s="9">
        <f t="shared" si="11"/>
        <v>600</v>
      </c>
      <c r="S77" s="10">
        <f t="shared" si="12"/>
        <v>823</v>
      </c>
    </row>
    <row r="78" spans="1:19" ht="15">
      <c r="A78" s="5"/>
      <c r="B78" s="6" t="s">
        <v>63</v>
      </c>
      <c r="C78" s="7">
        <v>0</v>
      </c>
      <c r="D78" s="7">
        <v>165</v>
      </c>
      <c r="E78" s="7">
        <v>0</v>
      </c>
      <c r="F78" s="7">
        <v>5</v>
      </c>
      <c r="G78" s="7">
        <v>35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N78" s="9">
        <f t="shared" si="7"/>
        <v>0</v>
      </c>
      <c r="O78" s="9">
        <f t="shared" si="8"/>
        <v>165</v>
      </c>
      <c r="P78" s="9">
        <f t="shared" si="9"/>
        <v>0</v>
      </c>
      <c r="Q78" s="9">
        <f t="shared" si="10"/>
        <v>5</v>
      </c>
      <c r="R78" s="9">
        <f t="shared" si="11"/>
        <v>35</v>
      </c>
      <c r="S78" s="10">
        <f t="shared" si="12"/>
        <v>41</v>
      </c>
    </row>
    <row r="79" spans="1:19" ht="15">
      <c r="A79" s="5"/>
      <c r="B79" s="6" t="s">
        <v>64</v>
      </c>
      <c r="C79" s="7">
        <v>74</v>
      </c>
      <c r="D79" s="7">
        <v>0</v>
      </c>
      <c r="E79" s="7">
        <v>252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N79" s="9">
        <f t="shared" si="7"/>
        <v>74</v>
      </c>
      <c r="O79" s="9">
        <f t="shared" si="8"/>
        <v>0</v>
      </c>
      <c r="P79" s="9">
        <f t="shared" si="9"/>
        <v>252</v>
      </c>
      <c r="Q79" s="9">
        <f t="shared" si="10"/>
        <v>0</v>
      </c>
      <c r="R79" s="9">
        <f t="shared" si="11"/>
        <v>0</v>
      </c>
      <c r="S79" s="10">
        <f t="shared" si="12"/>
        <v>65.2</v>
      </c>
    </row>
    <row r="80" spans="1:19" ht="15">
      <c r="A80" s="5"/>
      <c r="B80" s="6" t="s">
        <v>65</v>
      </c>
      <c r="C80" s="7">
        <v>15577</v>
      </c>
      <c r="D80" s="7">
        <v>4740</v>
      </c>
      <c r="E80" s="7">
        <v>11752</v>
      </c>
      <c r="F80" s="7">
        <v>1775</v>
      </c>
      <c r="G80" s="7">
        <v>31735</v>
      </c>
      <c r="H80" s="7">
        <v>10900</v>
      </c>
      <c r="I80" s="7">
        <v>19629</v>
      </c>
      <c r="J80" s="7">
        <v>5785</v>
      </c>
      <c r="K80" s="7">
        <v>8539</v>
      </c>
      <c r="L80" s="7">
        <v>9738</v>
      </c>
      <c r="N80" s="9">
        <f t="shared" si="7"/>
        <v>26477</v>
      </c>
      <c r="O80" s="9">
        <f t="shared" si="8"/>
        <v>24369</v>
      </c>
      <c r="P80" s="9">
        <f t="shared" si="9"/>
        <v>17537</v>
      </c>
      <c r="Q80" s="9">
        <f t="shared" si="10"/>
        <v>10314</v>
      </c>
      <c r="R80" s="9">
        <f t="shared" si="11"/>
        <v>41473</v>
      </c>
      <c r="S80" s="10">
        <f t="shared" si="12"/>
        <v>24034</v>
      </c>
    </row>
    <row r="81" spans="1:19" ht="15">
      <c r="A81" s="5"/>
      <c r="B81" s="6" t="s">
        <v>66</v>
      </c>
      <c r="C81" s="7">
        <v>6324</v>
      </c>
      <c r="D81" s="7">
        <v>78</v>
      </c>
      <c r="E81" s="7">
        <v>7195</v>
      </c>
      <c r="F81" s="7">
        <v>4080</v>
      </c>
      <c r="G81" s="7">
        <v>9790</v>
      </c>
      <c r="H81" s="7">
        <v>449</v>
      </c>
      <c r="I81" s="7">
        <v>3037</v>
      </c>
      <c r="J81" s="7">
        <v>3180</v>
      </c>
      <c r="K81" s="7">
        <v>2116</v>
      </c>
      <c r="L81" s="7">
        <v>9809</v>
      </c>
      <c r="N81" s="9">
        <f t="shared" si="7"/>
        <v>6773</v>
      </c>
      <c r="O81" s="9">
        <f t="shared" si="8"/>
        <v>3115</v>
      </c>
      <c r="P81" s="9">
        <f t="shared" si="9"/>
        <v>10375</v>
      </c>
      <c r="Q81" s="9">
        <f t="shared" si="10"/>
        <v>6196</v>
      </c>
      <c r="R81" s="9">
        <f t="shared" si="11"/>
        <v>19599</v>
      </c>
      <c r="S81" s="10">
        <f t="shared" si="12"/>
        <v>9211.6</v>
      </c>
    </row>
    <row r="82" spans="1:19" ht="15">
      <c r="A82" s="5"/>
      <c r="B82" s="6" t="s">
        <v>67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N82" s="9">
        <f t="shared" si="7"/>
        <v>0</v>
      </c>
      <c r="O82" s="9">
        <f t="shared" si="8"/>
        <v>0</v>
      </c>
      <c r="P82" s="9">
        <f t="shared" si="9"/>
        <v>0</v>
      </c>
      <c r="Q82" s="9">
        <f t="shared" si="10"/>
        <v>0</v>
      </c>
      <c r="R82" s="9">
        <f t="shared" si="11"/>
        <v>0</v>
      </c>
      <c r="S82" s="10">
        <f t="shared" si="12"/>
        <v>0</v>
      </c>
    </row>
    <row r="83" spans="1:19" ht="15">
      <c r="A83" s="5"/>
      <c r="B83" s="6" t="s">
        <v>68</v>
      </c>
      <c r="C83" s="7">
        <v>69</v>
      </c>
      <c r="D83" s="7">
        <v>120</v>
      </c>
      <c r="E83" s="7">
        <v>208</v>
      </c>
      <c r="F83" s="7">
        <v>1877</v>
      </c>
      <c r="G83" s="7">
        <v>1516</v>
      </c>
      <c r="H83" s="7">
        <v>973</v>
      </c>
      <c r="I83" s="7">
        <v>296</v>
      </c>
      <c r="J83" s="7">
        <v>120</v>
      </c>
      <c r="K83" s="7">
        <v>64</v>
      </c>
      <c r="L83" s="7">
        <v>2043</v>
      </c>
      <c r="N83" s="9">
        <f t="shared" si="7"/>
        <v>1042</v>
      </c>
      <c r="O83" s="9">
        <f t="shared" si="8"/>
        <v>416</v>
      </c>
      <c r="P83" s="9">
        <f t="shared" si="9"/>
        <v>328</v>
      </c>
      <c r="Q83" s="9">
        <f t="shared" si="10"/>
        <v>1941</v>
      </c>
      <c r="R83" s="9">
        <f t="shared" si="11"/>
        <v>3559</v>
      </c>
      <c r="S83" s="10">
        <f t="shared" si="12"/>
        <v>1457.2</v>
      </c>
    </row>
    <row r="84" spans="1:19" ht="15">
      <c r="A84" s="5"/>
      <c r="B84" s="6" t="s">
        <v>69</v>
      </c>
      <c r="C84" s="7">
        <v>2904</v>
      </c>
      <c r="D84" s="7">
        <v>0</v>
      </c>
      <c r="E84" s="7">
        <v>1303</v>
      </c>
      <c r="F84" s="7">
        <v>1796</v>
      </c>
      <c r="G84" s="7">
        <v>0</v>
      </c>
      <c r="H84" s="7">
        <v>0</v>
      </c>
      <c r="I84" s="7">
        <v>3856</v>
      </c>
      <c r="J84" s="7">
        <v>0</v>
      </c>
      <c r="K84" s="7">
        <v>2801</v>
      </c>
      <c r="L84" s="7">
        <v>898</v>
      </c>
      <c r="N84" s="9">
        <f t="shared" si="7"/>
        <v>2904</v>
      </c>
      <c r="O84" s="9">
        <f t="shared" si="8"/>
        <v>3856</v>
      </c>
      <c r="P84" s="9">
        <f t="shared" si="9"/>
        <v>1303</v>
      </c>
      <c r="Q84" s="9">
        <f t="shared" si="10"/>
        <v>4597</v>
      </c>
      <c r="R84" s="9">
        <f t="shared" si="11"/>
        <v>898</v>
      </c>
      <c r="S84" s="10">
        <f t="shared" si="12"/>
        <v>2711.6</v>
      </c>
    </row>
    <row r="85" spans="1:19" ht="15">
      <c r="A85" s="5"/>
      <c r="B85" s="6" t="s">
        <v>70</v>
      </c>
      <c r="C85" s="7">
        <v>14460</v>
      </c>
      <c r="D85" s="7">
        <v>17327</v>
      </c>
      <c r="E85" s="7">
        <v>1779</v>
      </c>
      <c r="F85" s="7">
        <v>21096</v>
      </c>
      <c r="G85" s="7">
        <v>8946</v>
      </c>
      <c r="H85" s="7">
        <v>0</v>
      </c>
      <c r="I85" s="7">
        <v>25078</v>
      </c>
      <c r="J85" s="7">
        <v>1894</v>
      </c>
      <c r="K85" s="7">
        <v>8208</v>
      </c>
      <c r="L85" s="7">
        <v>12027</v>
      </c>
      <c r="N85" s="9">
        <f t="shared" si="7"/>
        <v>14460</v>
      </c>
      <c r="O85" s="9">
        <f t="shared" si="8"/>
        <v>42405</v>
      </c>
      <c r="P85" s="9">
        <f t="shared" si="9"/>
        <v>3673</v>
      </c>
      <c r="Q85" s="9">
        <f t="shared" si="10"/>
        <v>29304</v>
      </c>
      <c r="R85" s="9">
        <f t="shared" si="11"/>
        <v>20973</v>
      </c>
      <c r="S85" s="10">
        <f t="shared" si="12"/>
        <v>22163</v>
      </c>
    </row>
    <row r="86" spans="1:19" ht="15">
      <c r="A86" s="5"/>
      <c r="B86" s="6" t="s">
        <v>71</v>
      </c>
      <c r="C86" s="7">
        <v>36637</v>
      </c>
      <c r="D86" s="7">
        <v>16214</v>
      </c>
      <c r="E86" s="7">
        <v>31045</v>
      </c>
      <c r="F86" s="7">
        <v>27680</v>
      </c>
      <c r="G86" s="7">
        <v>59214</v>
      </c>
      <c r="H86" s="7">
        <v>19662</v>
      </c>
      <c r="I86" s="7">
        <v>31976</v>
      </c>
      <c r="J86" s="7">
        <v>12725</v>
      </c>
      <c r="K86" s="7">
        <v>5728</v>
      </c>
      <c r="L86" s="7">
        <v>53540</v>
      </c>
      <c r="N86" s="9">
        <f t="shared" si="7"/>
        <v>56299</v>
      </c>
      <c r="O86" s="9">
        <f t="shared" si="8"/>
        <v>48190</v>
      </c>
      <c r="P86" s="9">
        <f t="shared" si="9"/>
        <v>43770</v>
      </c>
      <c r="Q86" s="9">
        <f t="shared" si="10"/>
        <v>33408</v>
      </c>
      <c r="R86" s="9">
        <f t="shared" si="11"/>
        <v>112754</v>
      </c>
      <c r="S86" s="10">
        <f t="shared" si="12"/>
        <v>58884.2</v>
      </c>
    </row>
    <row r="87" spans="1:19" ht="15">
      <c r="A87" s="5"/>
      <c r="B87" s="6" t="s">
        <v>72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N87" s="9">
        <f t="shared" si="7"/>
        <v>0</v>
      </c>
      <c r="O87" s="9">
        <f t="shared" si="8"/>
        <v>0</v>
      </c>
      <c r="P87" s="9">
        <f t="shared" si="9"/>
        <v>0</v>
      </c>
      <c r="Q87" s="9">
        <f t="shared" si="10"/>
        <v>0</v>
      </c>
      <c r="R87" s="9">
        <f t="shared" si="11"/>
        <v>0</v>
      </c>
      <c r="S87" s="10">
        <f t="shared" si="12"/>
        <v>0</v>
      </c>
    </row>
    <row r="88" spans="1:19" ht="15">
      <c r="A88" s="5"/>
      <c r="B88" s="6" t="s">
        <v>73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N88" s="9">
        <f t="shared" si="7"/>
        <v>0</v>
      </c>
      <c r="O88" s="9">
        <f t="shared" si="8"/>
        <v>0</v>
      </c>
      <c r="P88" s="9">
        <f t="shared" si="9"/>
        <v>0</v>
      </c>
      <c r="Q88" s="9">
        <f t="shared" si="10"/>
        <v>0</v>
      </c>
      <c r="R88" s="9">
        <f t="shared" si="11"/>
        <v>0</v>
      </c>
      <c r="S88" s="10">
        <f t="shared" si="12"/>
        <v>0</v>
      </c>
    </row>
    <row r="89" spans="1:19" ht="15">
      <c r="A89" s="5"/>
      <c r="B89" s="6" t="s">
        <v>74</v>
      </c>
      <c r="C89" s="7">
        <v>0</v>
      </c>
      <c r="D89" s="7">
        <v>12996</v>
      </c>
      <c r="E89" s="7">
        <v>2499</v>
      </c>
      <c r="F89" s="7">
        <v>24497</v>
      </c>
      <c r="G89" s="7">
        <v>18892</v>
      </c>
      <c r="H89" s="7">
        <v>8869</v>
      </c>
      <c r="I89" s="7">
        <v>0</v>
      </c>
      <c r="J89" s="7">
        <v>2499</v>
      </c>
      <c r="K89" s="7">
        <v>12996</v>
      </c>
      <c r="L89" s="7">
        <v>11347</v>
      </c>
      <c r="N89" s="9">
        <f t="shared" si="7"/>
        <v>8869</v>
      </c>
      <c r="O89" s="9">
        <f t="shared" si="8"/>
        <v>12996</v>
      </c>
      <c r="P89" s="9">
        <f t="shared" si="9"/>
        <v>4998</v>
      </c>
      <c r="Q89" s="9">
        <f t="shared" si="10"/>
        <v>37493</v>
      </c>
      <c r="R89" s="9">
        <f t="shared" si="11"/>
        <v>30239</v>
      </c>
      <c r="S89" s="10">
        <f t="shared" si="12"/>
        <v>18919</v>
      </c>
    </row>
    <row r="90" spans="1:19" ht="15">
      <c r="A90" s="6" t="s">
        <v>79</v>
      </c>
      <c r="B90" s="6" t="s">
        <v>58</v>
      </c>
      <c r="C90" s="7">
        <v>48419</v>
      </c>
      <c r="D90" s="7">
        <v>53826</v>
      </c>
      <c r="E90" s="7">
        <v>54976</v>
      </c>
      <c r="F90" s="7">
        <v>56021</v>
      </c>
      <c r="G90" s="7">
        <v>76797</v>
      </c>
      <c r="H90" s="7">
        <v>67518</v>
      </c>
      <c r="I90" s="7">
        <v>53851</v>
      </c>
      <c r="J90" s="7">
        <v>38475</v>
      </c>
      <c r="K90" s="7">
        <v>61220</v>
      </c>
      <c r="L90" s="7">
        <v>46108</v>
      </c>
      <c r="N90" s="9">
        <f t="shared" si="7"/>
        <v>115937</v>
      </c>
      <c r="O90" s="9">
        <f t="shared" si="8"/>
        <v>107677</v>
      </c>
      <c r="P90" s="9">
        <f t="shared" si="9"/>
        <v>93451</v>
      </c>
      <c r="Q90" s="9">
        <f t="shared" si="10"/>
        <v>117241</v>
      </c>
      <c r="R90" s="9">
        <f t="shared" si="11"/>
        <v>122905</v>
      </c>
      <c r="S90" s="10">
        <f t="shared" si="12"/>
        <v>111442.2</v>
      </c>
    </row>
    <row r="91" spans="1:19" ht="15">
      <c r="A91" s="5"/>
      <c r="B91" s="6" t="s">
        <v>59</v>
      </c>
      <c r="C91" s="7">
        <v>1639</v>
      </c>
      <c r="D91" s="7">
        <v>582</v>
      </c>
      <c r="E91" s="7">
        <v>1232</v>
      </c>
      <c r="F91" s="7">
        <v>2081</v>
      </c>
      <c r="G91" s="7">
        <v>1775</v>
      </c>
      <c r="H91" s="7">
        <v>4277</v>
      </c>
      <c r="I91" s="7">
        <v>2399</v>
      </c>
      <c r="J91" s="7">
        <v>1551</v>
      </c>
      <c r="K91" s="7">
        <v>1225</v>
      </c>
      <c r="L91" s="7">
        <v>541</v>
      </c>
      <c r="N91" s="9">
        <f t="shared" si="7"/>
        <v>5916</v>
      </c>
      <c r="O91" s="9">
        <f t="shared" si="8"/>
        <v>2981</v>
      </c>
      <c r="P91" s="9">
        <f t="shared" si="9"/>
        <v>2783</v>
      </c>
      <c r="Q91" s="9">
        <f t="shared" si="10"/>
        <v>3306</v>
      </c>
      <c r="R91" s="9">
        <f t="shared" si="11"/>
        <v>2316</v>
      </c>
      <c r="S91" s="10">
        <f t="shared" si="12"/>
        <v>3460.4</v>
      </c>
    </row>
    <row r="92" spans="1:19" ht="15">
      <c r="A92" s="5"/>
      <c r="B92" s="6" t="s">
        <v>60</v>
      </c>
      <c r="C92" s="7">
        <v>0</v>
      </c>
      <c r="D92" s="7">
        <v>0</v>
      </c>
      <c r="E92" s="7">
        <v>0</v>
      </c>
      <c r="F92" s="7">
        <v>75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N92" s="9">
        <f t="shared" si="7"/>
        <v>0</v>
      </c>
      <c r="O92" s="9">
        <f t="shared" si="8"/>
        <v>0</v>
      </c>
      <c r="P92" s="9">
        <f t="shared" si="9"/>
        <v>0</v>
      </c>
      <c r="Q92" s="9">
        <f t="shared" si="10"/>
        <v>75</v>
      </c>
      <c r="R92" s="9">
        <f t="shared" si="11"/>
        <v>0</v>
      </c>
      <c r="S92" s="10">
        <f t="shared" si="12"/>
        <v>15</v>
      </c>
    </row>
    <row r="93" spans="1:19" ht="15">
      <c r="A93" s="5"/>
      <c r="B93" s="6" t="s">
        <v>61</v>
      </c>
      <c r="C93" s="7">
        <v>22190</v>
      </c>
      <c r="D93" s="7">
        <v>28256</v>
      </c>
      <c r="E93" s="7">
        <v>30802</v>
      </c>
      <c r="F93" s="7">
        <v>32770</v>
      </c>
      <c r="G93" s="7">
        <v>29041</v>
      </c>
      <c r="H93" s="7">
        <v>20914</v>
      </c>
      <c r="I93" s="7">
        <v>19039</v>
      </c>
      <c r="J93" s="7">
        <v>24168</v>
      </c>
      <c r="K93" s="7">
        <v>30622</v>
      </c>
      <c r="L93" s="7">
        <v>27860</v>
      </c>
      <c r="N93" s="9">
        <f t="shared" si="7"/>
        <v>43104</v>
      </c>
      <c r="O93" s="9">
        <f t="shared" si="8"/>
        <v>47295</v>
      </c>
      <c r="P93" s="9">
        <f t="shared" si="9"/>
        <v>54970</v>
      </c>
      <c r="Q93" s="9">
        <f t="shared" si="10"/>
        <v>63392</v>
      </c>
      <c r="R93" s="9">
        <f t="shared" si="11"/>
        <v>56901</v>
      </c>
      <c r="S93" s="10">
        <f t="shared" si="12"/>
        <v>53132.4</v>
      </c>
    </row>
    <row r="94" spans="1:19" ht="15">
      <c r="A94" s="5"/>
      <c r="B94" s="6" t="s">
        <v>62</v>
      </c>
      <c r="C94" s="7">
        <v>3255</v>
      </c>
      <c r="D94" s="7">
        <v>3353</v>
      </c>
      <c r="E94" s="7">
        <v>5915</v>
      </c>
      <c r="F94" s="7">
        <v>5625</v>
      </c>
      <c r="G94" s="7">
        <v>4195</v>
      </c>
      <c r="H94" s="7">
        <v>2105</v>
      </c>
      <c r="I94" s="7">
        <v>4629</v>
      </c>
      <c r="J94" s="7">
        <v>3949</v>
      </c>
      <c r="K94" s="7">
        <v>4059</v>
      </c>
      <c r="L94" s="7">
        <v>4061</v>
      </c>
      <c r="N94" s="9">
        <f t="shared" si="7"/>
        <v>5360</v>
      </c>
      <c r="O94" s="9">
        <f t="shared" si="8"/>
        <v>7982</v>
      </c>
      <c r="P94" s="9">
        <f t="shared" si="9"/>
        <v>9864</v>
      </c>
      <c r="Q94" s="9">
        <f t="shared" si="10"/>
        <v>9684</v>
      </c>
      <c r="R94" s="9">
        <f t="shared" si="11"/>
        <v>8256</v>
      </c>
      <c r="S94" s="10">
        <f t="shared" si="12"/>
        <v>8229.2000000000007</v>
      </c>
    </row>
    <row r="95" spans="1:19" ht="15">
      <c r="A95" s="5"/>
      <c r="B95" s="6" t="s">
        <v>63</v>
      </c>
      <c r="C95" s="7">
        <v>0</v>
      </c>
      <c r="D95" s="7">
        <v>0</v>
      </c>
      <c r="E95" s="7">
        <v>0</v>
      </c>
      <c r="F95" s="7">
        <v>214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N95" s="9">
        <f t="shared" si="7"/>
        <v>0</v>
      </c>
      <c r="O95" s="9">
        <f t="shared" si="8"/>
        <v>0</v>
      </c>
      <c r="P95" s="9">
        <f t="shared" si="9"/>
        <v>0</v>
      </c>
      <c r="Q95" s="9">
        <f t="shared" si="10"/>
        <v>214</v>
      </c>
      <c r="R95" s="9">
        <f t="shared" si="11"/>
        <v>0</v>
      </c>
      <c r="S95" s="10">
        <f t="shared" si="12"/>
        <v>42.8</v>
      </c>
    </row>
    <row r="96" spans="1:19" ht="15">
      <c r="A96" s="5"/>
      <c r="B96" s="6" t="s">
        <v>64</v>
      </c>
      <c r="C96" s="7">
        <v>0</v>
      </c>
      <c r="D96" s="7">
        <v>0</v>
      </c>
      <c r="E96" s="7">
        <v>0</v>
      </c>
      <c r="F96" s="7">
        <v>25</v>
      </c>
      <c r="G96" s="7">
        <v>0</v>
      </c>
      <c r="H96" s="7">
        <v>204</v>
      </c>
      <c r="I96" s="7">
        <v>0</v>
      </c>
      <c r="J96" s="7">
        <v>0</v>
      </c>
      <c r="K96" s="7">
        <v>0</v>
      </c>
      <c r="L96" s="7">
        <v>0</v>
      </c>
      <c r="N96" s="9">
        <f t="shared" si="7"/>
        <v>204</v>
      </c>
      <c r="O96" s="9">
        <f t="shared" si="8"/>
        <v>0</v>
      </c>
      <c r="P96" s="9">
        <f t="shared" si="9"/>
        <v>0</v>
      </c>
      <c r="Q96" s="9">
        <f t="shared" si="10"/>
        <v>25</v>
      </c>
      <c r="R96" s="9">
        <f t="shared" si="11"/>
        <v>0</v>
      </c>
      <c r="S96" s="10">
        <f t="shared" si="12"/>
        <v>45.8</v>
      </c>
    </row>
    <row r="97" spans="1:19" ht="15">
      <c r="A97" s="5"/>
      <c r="B97" s="6" t="s">
        <v>65</v>
      </c>
      <c r="C97" s="7">
        <v>25637</v>
      </c>
      <c r="D97" s="7">
        <v>15184</v>
      </c>
      <c r="E97" s="7">
        <v>17596</v>
      </c>
      <c r="F97" s="7">
        <v>9026</v>
      </c>
      <c r="G97" s="7">
        <v>21416</v>
      </c>
      <c r="H97" s="7">
        <v>9397</v>
      </c>
      <c r="I97" s="7">
        <v>27031</v>
      </c>
      <c r="J97" s="7">
        <v>16908</v>
      </c>
      <c r="K97" s="7">
        <v>20721</v>
      </c>
      <c r="L97" s="7">
        <v>7513</v>
      </c>
      <c r="N97" s="9">
        <f t="shared" si="7"/>
        <v>35034</v>
      </c>
      <c r="O97" s="9">
        <f t="shared" si="8"/>
        <v>42215</v>
      </c>
      <c r="P97" s="9">
        <f t="shared" si="9"/>
        <v>34504</v>
      </c>
      <c r="Q97" s="9">
        <f t="shared" si="10"/>
        <v>29747</v>
      </c>
      <c r="R97" s="9">
        <f t="shared" si="11"/>
        <v>28929</v>
      </c>
      <c r="S97" s="10">
        <f t="shared" si="12"/>
        <v>34085.800000000003</v>
      </c>
    </row>
    <row r="98" spans="1:19" ht="15">
      <c r="A98" s="5"/>
      <c r="B98" s="6" t="s">
        <v>66</v>
      </c>
      <c r="C98" s="7">
        <v>832</v>
      </c>
      <c r="D98" s="7">
        <v>1319</v>
      </c>
      <c r="E98" s="7">
        <v>563</v>
      </c>
      <c r="F98" s="7">
        <v>1190</v>
      </c>
      <c r="G98" s="7">
        <v>1427</v>
      </c>
      <c r="H98" s="7">
        <v>164</v>
      </c>
      <c r="I98" s="7">
        <v>614</v>
      </c>
      <c r="J98" s="7">
        <v>1039</v>
      </c>
      <c r="K98" s="7">
        <v>1545</v>
      </c>
      <c r="L98" s="7">
        <v>812</v>
      </c>
      <c r="N98" s="9">
        <f t="shared" si="7"/>
        <v>996</v>
      </c>
      <c r="O98" s="9">
        <f t="shared" si="8"/>
        <v>1933</v>
      </c>
      <c r="P98" s="9">
        <f t="shared" si="9"/>
        <v>1602</v>
      </c>
      <c r="Q98" s="9">
        <f t="shared" si="10"/>
        <v>2735</v>
      </c>
      <c r="R98" s="9">
        <f t="shared" si="11"/>
        <v>2239</v>
      </c>
      <c r="S98" s="10">
        <f t="shared" si="12"/>
        <v>1901</v>
      </c>
    </row>
    <row r="99" spans="1:19" ht="15">
      <c r="A99" s="5"/>
      <c r="B99" s="6" t="s">
        <v>67</v>
      </c>
      <c r="C99" s="7">
        <v>0</v>
      </c>
      <c r="D99" s="7">
        <v>0</v>
      </c>
      <c r="E99" s="7">
        <v>129</v>
      </c>
      <c r="F99" s="7">
        <v>0</v>
      </c>
      <c r="G99" s="7">
        <v>62</v>
      </c>
      <c r="H99" s="7">
        <v>0</v>
      </c>
      <c r="I99" s="7">
        <v>47</v>
      </c>
      <c r="J99" s="7">
        <v>871</v>
      </c>
      <c r="K99" s="7">
        <v>129</v>
      </c>
      <c r="L99" s="7">
        <v>62</v>
      </c>
      <c r="N99" s="9">
        <f t="shared" si="7"/>
        <v>0</v>
      </c>
      <c r="O99" s="9">
        <f t="shared" si="8"/>
        <v>47</v>
      </c>
      <c r="P99" s="9">
        <f t="shared" si="9"/>
        <v>1000</v>
      </c>
      <c r="Q99" s="9">
        <f t="shared" si="10"/>
        <v>129</v>
      </c>
      <c r="R99" s="9">
        <f t="shared" si="11"/>
        <v>124</v>
      </c>
      <c r="S99" s="10">
        <f t="shared" si="12"/>
        <v>260</v>
      </c>
    </row>
    <row r="100" spans="1:19" ht="15">
      <c r="A100" s="5"/>
      <c r="B100" s="6" t="s">
        <v>68</v>
      </c>
      <c r="C100" s="7">
        <v>9672</v>
      </c>
      <c r="D100" s="7">
        <v>2673</v>
      </c>
      <c r="E100" s="7">
        <v>3701</v>
      </c>
      <c r="F100" s="7">
        <v>9979</v>
      </c>
      <c r="G100" s="7">
        <v>9820</v>
      </c>
      <c r="H100" s="7">
        <v>2220</v>
      </c>
      <c r="I100" s="7">
        <v>1187</v>
      </c>
      <c r="J100" s="7">
        <v>8771</v>
      </c>
      <c r="K100" s="7">
        <v>4322</v>
      </c>
      <c r="L100" s="7">
        <v>2387</v>
      </c>
      <c r="N100" s="9">
        <f t="shared" si="7"/>
        <v>11892</v>
      </c>
      <c r="O100" s="9">
        <f t="shared" si="8"/>
        <v>3860</v>
      </c>
      <c r="P100" s="9">
        <f t="shared" si="9"/>
        <v>12472</v>
      </c>
      <c r="Q100" s="9">
        <f t="shared" si="10"/>
        <v>14301</v>
      </c>
      <c r="R100" s="9">
        <f t="shared" si="11"/>
        <v>12207</v>
      </c>
      <c r="S100" s="10">
        <f t="shared" si="12"/>
        <v>10946.4</v>
      </c>
    </row>
    <row r="101" spans="1:19" ht="15">
      <c r="A101" s="5"/>
      <c r="B101" s="6" t="s">
        <v>69</v>
      </c>
      <c r="C101" s="7">
        <v>858</v>
      </c>
      <c r="D101" s="7">
        <v>2875</v>
      </c>
      <c r="E101" s="7">
        <v>460</v>
      </c>
      <c r="F101" s="7">
        <v>0</v>
      </c>
      <c r="G101" s="7">
        <v>426</v>
      </c>
      <c r="H101" s="7">
        <v>2728</v>
      </c>
      <c r="I101" s="7">
        <v>786</v>
      </c>
      <c r="J101" s="7">
        <v>2504</v>
      </c>
      <c r="K101" s="7">
        <v>1743</v>
      </c>
      <c r="L101" s="7">
        <v>2610</v>
      </c>
      <c r="N101" s="9">
        <f t="shared" si="7"/>
        <v>3586</v>
      </c>
      <c r="O101" s="9">
        <f t="shared" si="8"/>
        <v>3661</v>
      </c>
      <c r="P101" s="9">
        <f t="shared" si="9"/>
        <v>2964</v>
      </c>
      <c r="Q101" s="9">
        <f t="shared" si="10"/>
        <v>1743</v>
      </c>
      <c r="R101" s="9">
        <f t="shared" si="11"/>
        <v>3036</v>
      </c>
      <c r="S101" s="10">
        <f t="shared" si="12"/>
        <v>2998</v>
      </c>
    </row>
    <row r="102" spans="1:19" ht="15">
      <c r="A102" s="5"/>
      <c r="B102" s="6" t="s">
        <v>70</v>
      </c>
      <c r="C102" s="7">
        <v>32148</v>
      </c>
      <c r="D102" s="7">
        <v>8767</v>
      </c>
      <c r="E102" s="7">
        <v>11332</v>
      </c>
      <c r="F102" s="7">
        <v>12159</v>
      </c>
      <c r="G102" s="7">
        <v>23150</v>
      </c>
      <c r="H102" s="7">
        <v>18577</v>
      </c>
      <c r="I102" s="7">
        <v>20780</v>
      </c>
      <c r="J102" s="7">
        <v>22553</v>
      </c>
      <c r="K102" s="7">
        <v>7069</v>
      </c>
      <c r="L102" s="7">
        <v>12926</v>
      </c>
      <c r="N102" s="9">
        <f t="shared" si="7"/>
        <v>50725</v>
      </c>
      <c r="O102" s="9">
        <f t="shared" si="8"/>
        <v>29547</v>
      </c>
      <c r="P102" s="9">
        <f t="shared" si="9"/>
        <v>33885</v>
      </c>
      <c r="Q102" s="9">
        <f t="shared" si="10"/>
        <v>19228</v>
      </c>
      <c r="R102" s="9">
        <f t="shared" si="11"/>
        <v>36076</v>
      </c>
      <c r="S102" s="10">
        <f t="shared" si="12"/>
        <v>33892.199999999997</v>
      </c>
    </row>
    <row r="103" spans="1:19" ht="15">
      <c r="A103" s="5"/>
      <c r="B103" s="6" t="s">
        <v>71</v>
      </c>
      <c r="C103" s="7">
        <v>403634</v>
      </c>
      <c r="D103" s="7">
        <v>243788</v>
      </c>
      <c r="E103" s="7">
        <v>135088</v>
      </c>
      <c r="F103" s="7">
        <v>139870</v>
      </c>
      <c r="G103" s="7">
        <v>182018</v>
      </c>
      <c r="H103" s="7">
        <v>165284</v>
      </c>
      <c r="I103" s="7">
        <v>282592</v>
      </c>
      <c r="J103" s="7">
        <v>346075</v>
      </c>
      <c r="K103" s="7">
        <v>202512</v>
      </c>
      <c r="L103" s="7">
        <v>168181</v>
      </c>
      <c r="N103" s="9">
        <f t="shared" si="7"/>
        <v>568918</v>
      </c>
      <c r="O103" s="9">
        <f t="shared" si="8"/>
        <v>526380</v>
      </c>
      <c r="P103" s="9">
        <f t="shared" si="9"/>
        <v>481163</v>
      </c>
      <c r="Q103" s="9">
        <f t="shared" si="10"/>
        <v>342382</v>
      </c>
      <c r="R103" s="9">
        <f t="shared" si="11"/>
        <v>350199</v>
      </c>
      <c r="S103" s="10">
        <f t="shared" si="12"/>
        <v>453808.4</v>
      </c>
    </row>
    <row r="104" spans="1:19" ht="15">
      <c r="A104" s="5"/>
      <c r="B104" s="6" t="s">
        <v>72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N104" s="9">
        <f t="shared" si="7"/>
        <v>0</v>
      </c>
      <c r="O104" s="9">
        <f t="shared" si="8"/>
        <v>0</v>
      </c>
      <c r="P104" s="9">
        <f t="shared" si="9"/>
        <v>0</v>
      </c>
      <c r="Q104" s="9">
        <f t="shared" si="10"/>
        <v>0</v>
      </c>
      <c r="R104" s="9">
        <f t="shared" si="11"/>
        <v>0</v>
      </c>
      <c r="S104" s="10">
        <f t="shared" si="12"/>
        <v>0</v>
      </c>
    </row>
    <row r="105" spans="1:19" ht="15">
      <c r="A105" s="5"/>
      <c r="B105" s="6" t="s">
        <v>73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N105" s="9">
        <f t="shared" si="7"/>
        <v>0</v>
      </c>
      <c r="O105" s="9">
        <f t="shared" si="8"/>
        <v>0</v>
      </c>
      <c r="P105" s="9">
        <f t="shared" si="9"/>
        <v>0</v>
      </c>
      <c r="Q105" s="9">
        <f t="shared" si="10"/>
        <v>0</v>
      </c>
      <c r="R105" s="9">
        <f t="shared" si="11"/>
        <v>0</v>
      </c>
      <c r="S105" s="10">
        <f t="shared" si="12"/>
        <v>0</v>
      </c>
    </row>
    <row r="106" spans="1:19" ht="15">
      <c r="A106" s="5"/>
      <c r="B106" s="6" t="s">
        <v>74</v>
      </c>
      <c r="C106" s="7">
        <v>11150</v>
      </c>
      <c r="D106" s="7">
        <v>0</v>
      </c>
      <c r="E106" s="7">
        <v>2506</v>
      </c>
      <c r="F106" s="7">
        <v>36375</v>
      </c>
      <c r="G106" s="7">
        <v>0</v>
      </c>
      <c r="H106" s="7">
        <v>5255</v>
      </c>
      <c r="I106" s="7">
        <v>0</v>
      </c>
      <c r="J106" s="7">
        <v>11150</v>
      </c>
      <c r="K106" s="7">
        <v>0</v>
      </c>
      <c r="L106" s="7">
        <v>0</v>
      </c>
      <c r="N106" s="9">
        <f t="shared" si="7"/>
        <v>16405</v>
      </c>
      <c r="O106" s="9">
        <f t="shared" si="8"/>
        <v>0</v>
      </c>
      <c r="P106" s="9">
        <f t="shared" si="9"/>
        <v>13656</v>
      </c>
      <c r="Q106" s="9">
        <f t="shared" si="10"/>
        <v>36375</v>
      </c>
      <c r="R106" s="9">
        <f t="shared" si="11"/>
        <v>0</v>
      </c>
      <c r="S106" s="10">
        <f t="shared" si="12"/>
        <v>13287.2</v>
      </c>
    </row>
    <row r="108" spans="1:19" ht="15">
      <c r="A108" s="5" t="s">
        <v>80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9" ht="15">
      <c r="A109" s="221" t="s">
        <v>81</v>
      </c>
      <c r="B109" s="221"/>
      <c r="C109" s="221"/>
      <c r="D109" s="221"/>
      <c r="E109" s="221"/>
      <c r="F109" s="221"/>
      <c r="G109" s="221"/>
      <c r="H109" s="221"/>
      <c r="I109" s="221"/>
      <c r="J109" s="221"/>
      <c r="K109" s="221"/>
      <c r="L109" s="221"/>
    </row>
    <row r="111" spans="1:19" ht="15">
      <c r="A111" s="5" t="s">
        <v>80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9" ht="15">
      <c r="A112" s="5" t="s">
        <v>82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ht="15">
      <c r="A113" s="221" t="s">
        <v>83</v>
      </c>
      <c r="B113" s="221"/>
      <c r="C113" s="221"/>
      <c r="D113" s="221"/>
      <c r="E113" s="221"/>
      <c r="F113" s="221"/>
      <c r="G113" s="221"/>
      <c r="H113" s="221"/>
      <c r="I113" s="221"/>
      <c r="J113" s="221"/>
      <c r="K113" s="221"/>
      <c r="L113" s="221"/>
    </row>
    <row r="115" spans="1:12" ht="15">
      <c r="A115" s="5" t="s">
        <v>80</v>
      </c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ht="15">
      <c r="A116" s="5" t="s">
        <v>84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ht="15">
      <c r="A117" s="221" t="s">
        <v>85</v>
      </c>
      <c r="B117" s="221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</row>
    <row r="120" spans="1:12" ht="15">
      <c r="A120" s="5" t="s">
        <v>86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ht="15">
      <c r="A121" s="5" t="s">
        <v>112</v>
      </c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ht="15">
      <c r="A122" s="5" t="s">
        <v>88</v>
      </c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ht="15">
      <c r="A123" s="5" t="s">
        <v>113</v>
      </c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ht="15">
      <c r="A124" s="5" t="s">
        <v>88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6" spans="1:12" ht="15">
      <c r="A126" s="5" t="s">
        <v>90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ht="15">
      <c r="A127" s="5" t="s">
        <v>91</v>
      </c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9" spans="1:1" ht="15">
      <c r="A129" s="5" t="s">
        <v>92</v>
      </c>
    </row>
    <row r="130" spans="1:1" ht="15">
      <c r="A130" s="5" t="s">
        <v>112</v>
      </c>
    </row>
    <row r="131" spans="1:1" ht="15">
      <c r="A131" s="5" t="s">
        <v>93</v>
      </c>
    </row>
    <row r="132" spans="1:1" ht="15">
      <c r="A132" s="5" t="s">
        <v>94</v>
      </c>
    </row>
    <row r="133" spans="1:1" ht="15">
      <c r="A133" s="5" t="s">
        <v>95</v>
      </c>
    </row>
    <row r="135" spans="1:1" ht="15">
      <c r="A135" s="5" t="s">
        <v>96</v>
      </c>
    </row>
    <row r="136" spans="1:1" ht="15">
      <c r="A136" s="5" t="s">
        <v>97</v>
      </c>
    </row>
    <row r="137" spans="1:1" ht="15">
      <c r="A137" s="5" t="s">
        <v>98</v>
      </c>
    </row>
    <row r="141" spans="1:1" ht="15">
      <c r="A141" s="5" t="s">
        <v>99</v>
      </c>
    </row>
    <row r="143" spans="1:1" ht="15">
      <c r="A143" s="5" t="s">
        <v>100</v>
      </c>
    </row>
    <row r="144" spans="1:1" ht="15">
      <c r="A144" s="5" t="s">
        <v>112</v>
      </c>
    </row>
    <row r="145" spans="1:1" ht="15">
      <c r="A145" s="5" t="s">
        <v>114</v>
      </c>
    </row>
    <row r="146" spans="1:1" ht="15">
      <c r="A146" s="5" t="s">
        <v>113</v>
      </c>
    </row>
    <row r="147" spans="1:1" ht="15">
      <c r="A147" s="5" t="s">
        <v>114</v>
      </c>
    </row>
    <row r="148" spans="1:1" ht="15">
      <c r="A148" s="5" t="s">
        <v>102</v>
      </c>
    </row>
    <row r="149" spans="1:1" ht="15">
      <c r="A149" s="5" t="s">
        <v>112</v>
      </c>
    </row>
    <row r="150" spans="1:1" ht="15">
      <c r="A150" s="5" t="s">
        <v>103</v>
      </c>
    </row>
    <row r="151" spans="1:1" ht="15">
      <c r="A151" s="5" t="s">
        <v>113</v>
      </c>
    </row>
    <row r="152" spans="1:1" ht="15">
      <c r="A152" s="5" t="s">
        <v>103</v>
      </c>
    </row>
    <row r="154" spans="1:1" ht="15">
      <c r="A154" s="5" t="s">
        <v>104</v>
      </c>
    </row>
    <row r="155" spans="1:1" ht="15">
      <c r="A155" s="5" t="s">
        <v>110</v>
      </c>
    </row>
    <row r="156" spans="1:1" ht="15">
      <c r="A156" s="5" t="s">
        <v>105</v>
      </c>
    </row>
    <row r="157" spans="1:1" ht="15">
      <c r="A157" s="5" t="s">
        <v>111</v>
      </c>
    </row>
    <row r="158" spans="1:1" ht="15">
      <c r="A158" s="5" t="s">
        <v>105</v>
      </c>
    </row>
    <row r="165" spans="1:1" ht="15">
      <c r="A165" s="5" t="s">
        <v>106</v>
      </c>
    </row>
    <row r="166" spans="1:1" ht="15">
      <c r="A166" s="5" t="s">
        <v>107</v>
      </c>
    </row>
    <row r="168" spans="1:1" ht="15">
      <c r="A168" s="5" t="s">
        <v>108</v>
      </c>
    </row>
    <row r="169" spans="1:1" ht="15">
      <c r="A169" s="5" t="s">
        <v>115</v>
      </c>
    </row>
  </sheetData>
  <mergeCells count="4">
    <mergeCell ref="A109:L109"/>
    <mergeCell ref="A113:L113"/>
    <mergeCell ref="A117:L117"/>
    <mergeCell ref="N3:R3"/>
  </mergeCells>
  <pageMargins left="0.7" right="0.7" top="0.75" bottom="0.75" header="0.3" footer="0.3"/>
  <pageSetup paperSize="9" orientation="portrait" verticalDpi="0" r:id="rId1"/>
  <headerFooter>
    <oddFooter>&amp;C_x000D_&amp;1#&amp;"Verdana"&amp;7&amp;K000000 Confidential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pdragsdokument" ma:contentTypeID="0x01010088F59D7A19879A438907CE4041186F0F00C6ED67142907AE429CFB17321A8F41E5" ma:contentTypeVersion="5" ma:contentTypeDescription="Opprett et nytt dokument." ma:contentTypeScope="" ma:versionID="a6a6e63b2484aefee5ca6478617de511">
  <xsd:schema xmlns:xsd="http://www.w3.org/2001/XMLSchema" xmlns:xs="http://www.w3.org/2001/XMLSchema" xmlns:p="http://schemas.microsoft.com/office/2006/metadata/properties" xmlns:ns2="15111d86-b8b8-4e11-b33b-60689c965f80" xmlns:ns3="e1a60745-4a4e-445d-8054-c08dc68fd780" targetNamespace="http://schemas.microsoft.com/office/2006/metadata/properties" ma:root="true" ma:fieldsID="16046f107aa870410f8e3fd56f0cbada" ns2:_="" ns3:_="">
    <xsd:import namespace="15111d86-b8b8-4e11-b33b-60689c965f80"/>
    <xsd:import namespace="e1a60745-4a4e-445d-8054-c08dc68fd78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ChannelName" minOccurs="0"/>
                <xsd:element ref="ns2:Dokumenttema" minOccurs="0"/>
                <xsd:element ref="ns2:Oppdragsnummer" minOccurs="0"/>
                <xsd:element ref="ns2:Revisjon" minOccurs="0"/>
                <xsd:element ref="ns2:RevisjonsDato" minOccurs="0"/>
                <xsd:element ref="ns3:Platform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11d86-b8b8-4e11-b33b-60689c965f8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Fast ID" ma:description="Behold IDen ved tillegging." ma:hidden="true" ma:internalName="_dlc_DocIdPersistId" ma:readOnly="true">
      <xsd:simpleType>
        <xsd:restriction base="dms:Boolean"/>
      </xsd:simpleType>
    </xsd:element>
    <xsd:element name="ChannelName" ma:index="11" nillable="true" ma:displayName="Kanal" ma:internalName="ChannelName" ma:readOnly="true">
      <xsd:simpleType>
        <xsd:restriction base="dms:Text"/>
      </xsd:simpleType>
    </xsd:element>
    <xsd:element name="Dokumenttema" ma:index="12" nillable="true" ma:displayName="Dokumenttema" ma:list="{aef57d3d-78ce-4efe-bf1b-0b74836e2fa1}" ma:internalName="Dokumenttema" ma:showField="Title">
      <xsd:simpleType>
        <xsd:restriction base="dms:Lookup"/>
      </xsd:simpleType>
    </xsd:element>
    <xsd:element name="Oppdragsnummer" ma:index="13" nillable="true" ma:displayName="Oppdragsnummer" ma:internalName="Oppdragsnummer" ma:readOnly="true">
      <xsd:simpleType>
        <xsd:restriction base="dms:Text"/>
      </xsd:simpleType>
    </xsd:element>
    <xsd:element name="Revisjon" ma:index="14" nillable="true" ma:displayName="Revisjon" ma:internalName="Revisjon">
      <xsd:simpleType>
        <xsd:restriction base="dms:Text"/>
      </xsd:simpleType>
    </xsd:element>
    <xsd:element name="RevisjonsDato" ma:index="15" nillable="true" ma:displayName="RevisjonsDato" ma:format="DateOnly" ma:internalName="RevisjonsDato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60745-4a4e-445d-8054-c08dc68fd780" elementFormDefault="qualified">
    <xsd:import namespace="http://schemas.microsoft.com/office/2006/documentManagement/types"/>
    <xsd:import namespace="http://schemas.microsoft.com/office/infopath/2007/PartnerControls"/>
    <xsd:element name="Platform" ma:index="16" nillable="true" ma:displayName="Platform" ma:default="BikubeOnline" ma:internalName="Platform" ma:readOnly="true">
      <xsd:simpleType>
        <xsd:restriction base="dms:Text"/>
      </xsd:simpleType>
    </xsd:element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Dokument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6EC8561B693247A205301C4AA5CDE3" ma:contentTypeVersion="19" ma:contentTypeDescription="Opprett et nytt dokument." ma:contentTypeScope="" ma:versionID="46a10a666c555275477ca83fc9766d34">
  <xsd:schema xmlns:xsd="http://www.w3.org/2001/XMLSchema" xmlns:xs="http://www.w3.org/2001/XMLSchema" xmlns:p="http://schemas.microsoft.com/office/2006/metadata/properties" xmlns:ns2="737cb0d7-2b67-4950-802b-d125605fc250" xmlns:ns3="6425d6e2-2d12-4dbe-9b0d-2abb69d74db6" targetNamespace="http://schemas.microsoft.com/office/2006/metadata/properties" ma:root="true" ma:fieldsID="1868c6f0951ec6f79739250caa02f445" ns2:_="" ns3:_="">
    <xsd:import namespace="737cb0d7-2b67-4950-802b-d125605fc250"/>
    <xsd:import namespace="6425d6e2-2d12-4dbe-9b0d-2abb69d74d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3:Dato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7cb0d7-2b67-4950-802b-d125605fc2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6898210-b397-4e92-9435-2f30e2d0131f}" ma:internalName="TaxCatchAll" ma:showField="CatchAllData" ma:web="737cb0d7-2b67-4950-802b-d125605fc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5d6e2-2d12-4dbe-9b0d-2abb69d74d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o" ma:index="20" nillable="true" ma:displayName="Dato" ma:format="DateOnly" ma:internalName="Dato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57bf6439-6bc2-4a06-bccd-8ca5585f28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6425d6e2-2d12-4dbe-9b0d-2abb69d74db6" xsi:nil="true"/>
    <lcf76f155ced4ddcb4097134ff3c332f xmlns="6425d6e2-2d12-4dbe-9b0d-2abb69d74db6">
      <Terms xmlns="http://schemas.microsoft.com/office/infopath/2007/PartnerControls"/>
    </lcf76f155ced4ddcb4097134ff3c332f>
    <TaxCatchAll xmlns="737cb0d7-2b67-4950-802b-d125605fc250" xsi:nil="true"/>
  </documentManagement>
</p:properties>
</file>

<file path=customXml/itemProps1.xml><?xml version="1.0" encoding="utf-8"?>
<ds:datastoreItem xmlns:ds="http://schemas.openxmlformats.org/officeDocument/2006/customXml" ds:itemID="{82952679-456D-4180-976D-7C5A2FE128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F972C6-3BB2-4F52-BF7B-75212A8F3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111d86-b8b8-4e11-b33b-60689c965f80"/>
    <ds:schemaRef ds:uri="e1a60745-4a4e-445d-8054-c08dc68fd7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8A73E3-6808-4966-872F-71FA734ADB84}"/>
</file>

<file path=customXml/itemProps4.xml><?xml version="1.0" encoding="utf-8"?>
<ds:datastoreItem xmlns:ds="http://schemas.openxmlformats.org/officeDocument/2006/customXml" ds:itemID="{72B95EE3-6576-4AA4-9EB7-5DE88D371AC8}">
  <ds:schemaRefs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e1a60745-4a4e-445d-8054-c08dc68fd780"/>
    <ds:schemaRef ds:uri="15111d86-b8b8-4e11-b33b-60689c965f80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Nøkkelinfo og veiledning</vt:lpstr>
      <vt:lpstr>Klimabudsjett</vt:lpstr>
      <vt:lpstr>Sammenlikning utviklingsforslag</vt:lpstr>
      <vt:lpstr>Bygningsmasse og transport</vt:lpstr>
      <vt:lpstr>Infrastruktur</vt:lpstr>
      <vt:lpstr>Landskap</vt:lpstr>
      <vt:lpstr>Utslippsfaktorer</vt:lpstr>
      <vt:lpstr>Versjonslogg</vt:lpstr>
      <vt:lpstr>Boligutbygging</vt:lpstr>
      <vt:lpstr>Statistikk 05940 antall</vt:lpstr>
      <vt:lpstr>Statistikk 05940 m2</vt:lpstr>
    </vt:vector>
  </TitlesOfParts>
  <Manager/>
  <Company>Asplan Viak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Områdemetodikk test</dc:title>
  <dc:subject/>
  <dc:creator>Jill Saunders</dc:creator>
  <cp:keywords/>
  <dc:description/>
  <cp:lastModifiedBy>Ingvild Wang</cp:lastModifiedBy>
  <cp:revision/>
  <dcterms:created xsi:type="dcterms:W3CDTF">2021-06-22T13:20:26Z</dcterms:created>
  <dcterms:modified xsi:type="dcterms:W3CDTF">2024-04-01T14:35:12Z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0x01010088F59D7A19879A438907CE4041186F0F00C6ED67142907AE429CFB17321A8F41E5</vt:lpwstr>
  </property>
  <property fmtid="{D5CDD505-2E9C-101B-9397-08002B2CF9AE}" pid="3" name="_dlc_DocIdItemGuid">
    <vt:lpwstr>c36178d8-4b4b-4373-80cd-41945e2fa2ab</vt:lpwstr>
  </property>
  <property fmtid="{D5CDD505-2E9C-101B-9397-08002B2CF9AE}" pid="4" name="MSIP_Label_20ea7001-5c24-4702-a3ac-e436ccb02747_Enabled">
    <vt:lpwstr>true</vt:lpwstr>
  </property>
  <property fmtid="{D5CDD505-2E9C-101B-9397-08002B2CF9AE}" pid="5" name="MSIP_Label_20ea7001-5c24-4702-a3ac-e436ccb02747_SetDate">
    <vt:lpwstr>2023-09-01T08:21:07Z</vt:lpwstr>
  </property>
  <property fmtid="{D5CDD505-2E9C-101B-9397-08002B2CF9AE}" pid="6" name="MSIP_Label_20ea7001-5c24-4702-a3ac-e436ccb02747_Method">
    <vt:lpwstr>Standard</vt:lpwstr>
  </property>
  <property fmtid="{D5CDD505-2E9C-101B-9397-08002B2CF9AE}" pid="7" name="MSIP_Label_20ea7001-5c24-4702-a3ac-e436ccb02747_Name">
    <vt:lpwstr>Confidential</vt:lpwstr>
  </property>
  <property fmtid="{D5CDD505-2E9C-101B-9397-08002B2CF9AE}" pid="8" name="MSIP_Label_20ea7001-5c24-4702-a3ac-e436ccb02747_SiteId">
    <vt:lpwstr>c8823c91-be81-4f89-b024-6c3dd789c106</vt:lpwstr>
  </property>
  <property fmtid="{D5CDD505-2E9C-101B-9397-08002B2CF9AE}" pid="9" name="MSIP_Label_20ea7001-5c24-4702-a3ac-e436ccb02747_ActionId">
    <vt:lpwstr>545b3247-fbd2-4ea1-b7ab-accdee1c61f5</vt:lpwstr>
  </property>
  <property fmtid="{D5CDD505-2E9C-101B-9397-08002B2CF9AE}" pid="10" name="MSIP_Label_20ea7001-5c24-4702-a3ac-e436ccb02747_ContentBits">
    <vt:lpwstr>2</vt:lpwstr>
  </property>
</Properties>
</file>