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 codeName="{A63ED3A1-9429-3D75-F2AA-CA7E51A8F3A1}"/>
  <workbookPr date1904="1" showInkAnnotation="0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futurebuilt2.sharepoint.com/sites/FBuilt/Delte dokumenter/02. Forbildeprosjekter/02_DATABASEN 2.0/RAPPORTSKJEMA DATABASE 2.0/"/>
    </mc:Choice>
  </mc:AlternateContent>
  <xr:revisionPtr revIDLastSave="652" documentId="8_{7C5A026A-EEE8-7A4B-AF37-0E7F4F289A93}" xr6:coauthVersionLast="47" xr6:coauthVersionMax="47" xr10:uidLastSave="{3F289471-E492-8C4F-B305-A0A8E541930B}"/>
  <bookViews>
    <workbookView xWindow="6380" yWindow="460" windowWidth="30260" windowHeight="25780" tabRatio="812" xr2:uid="{00000000-000D-0000-FFFF-FFFF00000000}"/>
  </bookViews>
  <sheets>
    <sheet name="OPPLYSNINGER" sheetId="101" r:id="rId1"/>
    <sheet name="Verdier (kun for FutureBuilt)" sheetId="100" r:id="rId2"/>
    <sheet name="Relations" sheetId="5" state="hidden" r:id="rId3"/>
    <sheet name="Enumerations" sheetId="15" state="hidden" r:id="rId4"/>
    <sheet name="FylkeKommune" sheetId="98" state="hidden" r:id="rId5"/>
    <sheet name="MiljoTiltak" sheetId="17" state="hidden" r:id="rId6"/>
    <sheet name="ProjectExport" sheetId="20" state="hidden" r:id="rId7"/>
    <sheet name="MeasureExport" sheetId="28" state="hidden" r:id="rId8"/>
    <sheet name="EcoProject" sheetId="19" state="hidden" r:id="rId9"/>
    <sheet name="EcoMeasure" sheetId="26" state="hidden" r:id="rId10"/>
    <sheet name="tbl_ArchitectureOffices" sheetId="78" state="hidden" r:id="rId11"/>
    <sheet name="tbl_Companys" sheetId="79" state="hidden" r:id="rId12"/>
    <sheet name="tbl_ConsultingCompanys" sheetId="80" state="hidden" r:id="rId13"/>
    <sheet name="tbl_ArchitectureGuides" sheetId="81" state="hidden" r:id="rId14"/>
    <sheet name="tbl_ProjectAwardss" sheetId="82" state="hidden" r:id="rId15"/>
    <sheet name="tbl_ProjectCompetitions" sheetId="83" state="hidden" r:id="rId16"/>
    <sheet name="tbl_ContractingForms" sheetId="84" state="hidden" r:id="rId17"/>
    <sheet name="tbl_EnvironmentalStandards" sheetId="85" state="hidden" r:id="rId18"/>
    <sheet name="tbl_ProjectPhases" sheetId="86" state="hidden" r:id="rId19"/>
    <sheet name="tbl_RoleModels" sheetId="87" state="hidden" r:id="rId20"/>
    <sheet name="tbl_Researchs" sheetId="88" state="hidden" r:id="rId21"/>
    <sheet name="tbl_ExternalProjectDBUsers" sheetId="89" state="hidden" r:id="rId22"/>
    <sheet name="tbl_ExternalTags" sheetId="90" state="hidden" r:id="rId23"/>
    <sheet name="tbl_FByerExternalTags" sheetId="91" state="hidden" r:id="rId24"/>
    <sheet name="tbl_Municipalitys" sheetId="92" state="hidden" r:id="rId25"/>
    <sheet name="tbl_Countys" sheetId="93" state="hidden" r:id="rId26"/>
    <sheet name="tbl_ProjectTypes" sheetId="94" state="hidden" r:id="rId27"/>
    <sheet name="tbl_EcoMeasureTypes" sheetId="95" state="hidden" r:id="rId28"/>
    <sheet name="tbl_EcoMeasureTypeCategorys" sheetId="96" state="hidden" r:id="rId29"/>
    <sheet name="tbl_EcoMeasures" sheetId="97" state="hidden" r:id="rId30"/>
    <sheet name="tbl_ArchitectofficeCategorys" sheetId="99" state="hidden" r:id="rId31"/>
  </sheets>
  <definedNames>
    <definedName name="_xlnm._FilterDatabase" localSheetId="2" hidden="1">Relations!$A$1:$H$1</definedName>
    <definedName name="A_AuthorSignature_I">#REF!</definedName>
    <definedName name="A_EcoProjectTemplate_I">#REF!</definedName>
    <definedName name="A_EditAccess_I">#REF!</definedName>
    <definedName name="A_EditorialResponsibility_I">#REF!</definedName>
    <definedName name="A_ExternalProjectDBUsers_I1">#REF!</definedName>
    <definedName name="A_ExternalProjectDBUsers_I2">#REF!</definedName>
    <definedName name="A_ExternalProjectDBUsers_I3">#REF!</definedName>
    <definedName name="A_ExternalProjectDBUsers_I4">#REF!</definedName>
    <definedName name="A_ExternalProjectDBUsers_I5">#REF!</definedName>
    <definedName name="A_ExternalTags_I1">#REF!</definedName>
    <definedName name="A_ExternalTags_I2">#REF!</definedName>
    <definedName name="A_ExternalTags_I3">#REF!</definedName>
    <definedName name="A_ExternalTags_I4">#REF!</definedName>
    <definedName name="A_ExternalTags_I5">#REF!</definedName>
    <definedName name="A_HideOnEcobox_I">#REF!</definedName>
    <definedName name="A_HideOnProjectFrontPage_I">#REF!</definedName>
    <definedName name="A_ID_I">#REF!</definedName>
    <definedName name="A_MapZoomLevel_I">#REF!</definedName>
    <definedName name="A_ProjectArchitectureGuide_I1">#REF!</definedName>
    <definedName name="A_ProjectArchitectureGuide_I2">#REF!</definedName>
    <definedName name="A_ProjectArchitectureGuide_I3">#REF!</definedName>
    <definedName name="A_ProjectArchitectureGuide_I4">#REF!</definedName>
    <definedName name="A_ProjectOwner_I">#REF!</definedName>
    <definedName name="A_PublishAccess_I">#REF!</definedName>
    <definedName name="A_PublishToEnova_I">#REF!</definedName>
    <definedName name="A_PublishToFramtidensByer_I">#REF!</definedName>
    <definedName name="A_PublishToHusbanken_I">#REF!</definedName>
    <definedName name="A_PublishToTretekniskInstitutt_I">#REF!</definedName>
    <definedName name="A_URL">#REF!</definedName>
    <definedName name="AdvisorIngAcoustics">ProjectExport!$G$224</definedName>
    <definedName name="AdvisorIngBuildingPhysics">ProjectExport!$G$222</definedName>
    <definedName name="AdvisorIngBygg">ProjectExport!$G$219</definedName>
    <definedName name="AdvisorIngElektro">ProjectExport!$G$221</definedName>
    <definedName name="AdvisorIngFireSafety">ProjectExport!$G$223</definedName>
    <definedName name="AdvisorIngVVS">ProjectExport!$G$220</definedName>
    <definedName name="ArchitectARK">ProjectExport!$G$204</definedName>
    <definedName name="ArchitectIARK">ProjectExport!$G$208</definedName>
    <definedName name="ArchitectLARK">ProjectExport!$G$206</definedName>
    <definedName name="AreaUsed">ProjectExport!$G$247</definedName>
    <definedName name="AuthorSignature">ProjectExport!$G$5</definedName>
    <definedName name="BikeParkingArea">ProjectExport!$G$261</definedName>
    <definedName name="BikeParkingSpotsPerUnit">ProjectExport!$G$262</definedName>
    <definedName name="Builders">ProjectExport!$G$202</definedName>
    <definedName name="BuildingCosts">ProjectExport!$G$316</definedName>
    <definedName name="ChangeLog">ProjectExport!$G$158</definedName>
    <definedName name="ClosingParagraph">ProjectExport!$G$62</definedName>
    <definedName name="ClosingParagraphHeader">ProjectExport!$G$61</definedName>
    <definedName name="CO2DesignedEnergy">ProjectExport!$G$268</definedName>
    <definedName name="CO2DesignedMaterials">ProjectExport!$G$269</definedName>
    <definedName name="CO2DesignedTransport">ProjectExport!$G$270</definedName>
    <definedName name="CO2DesignesEnergy">ProjectExport!$G$268</definedName>
    <definedName name="CO2FinishedEnergy">ProjectExport!$G$271</definedName>
    <definedName name="CO2FinishedMaterials">ProjectExport!$G$272</definedName>
    <definedName name="CO2FinishedTransport">ProjectExport!$G$273</definedName>
    <definedName name="CO2InUseEnergy">ProjectExport!$G$274</definedName>
    <definedName name="CO2InUseMaterials">ProjectExport!$G$275</definedName>
    <definedName name="CO2InUseTransport">ProjectExport!$G$276</definedName>
    <definedName name="CO2Method">ProjectExport!$G$264</definedName>
    <definedName name="CO2ReferenceEnergy">ProjectExport!$G$265</definedName>
    <definedName name="CO2ReferenceMaterials">ProjectExport!$G$266</definedName>
    <definedName name="CO2ReferenceTransport">ProjectExport!$G$267</definedName>
    <definedName name="Collaboration">ProjectExport!$G$145</definedName>
    <definedName name="CompactnessFactor">ProjectExport!$G$253</definedName>
    <definedName name="ConstructionCompletedYear">ProjectExport!$G$73</definedName>
    <definedName name="ConstructionManagement">ProjectExport!$G$230</definedName>
    <definedName name="ConstructionStartedYear">ProjectExport!$G$72</definedName>
    <definedName name="Contact">ProjectExport!$G$22</definedName>
    <definedName name="ContactEmail">ProjectExport!$G$24</definedName>
    <definedName name="ContactPhone">ProjectExport!$G$23</definedName>
    <definedName name="Contractors">ProjectExport!$G$228</definedName>
    <definedName name="CostBenefitEvaluations">ProjectExport!$G$60</definedName>
    <definedName name="Counter">COUNTA(INDEX(ValData,,MATCH(#REF!,MiljoTiltak!$1:$1,0)))</definedName>
    <definedName name="CounterFK" localSheetId="0">COUNTA(INDEX([0]!ValDataFK,,MATCH(OPPLYSNINGER!A1048576,FylkeKommune!$1:$1,0)))</definedName>
    <definedName name="CounterFK">COUNTA(INDEX(ValDataFK,,MATCH(#REF!,FylkeKommune!$1:$1,0)))</definedName>
    <definedName name="Dele_ChangeLogDate">ProjectExport!$B$365</definedName>
    <definedName name="Dele_ChangeLogText">ProjectExport!$B$364</definedName>
    <definedName name="Dele_ParagraphText">ProjectExport!$B$363</definedName>
    <definedName name="Dele_ParagraphTitle">ProjectExport!$B$362</definedName>
    <definedName name="Dele_QuickLinkExternalUrl">ProjectExport!$B$367</definedName>
    <definedName name="Dele_QuickLinkText">ProjectExport!$B$366</definedName>
    <definedName name="Deletegn">ProjectExport!$B$361</definedName>
    <definedName name="DistanceToCityCenter">ProjectExport!$G$258</definedName>
    <definedName name="DistanceToCollectivePoint">ProjectExport!$G$257</definedName>
    <definedName name="DomesticHotWater">ProjectExport!$G$307</definedName>
    <definedName name="EcoMeasureDescription_E1">MeasureExport!$G$5</definedName>
    <definedName name="EcoMeasureDescription_E2">MeasureExport!$G$20</definedName>
    <definedName name="EcoMeasureDescription_E3">MeasureExport!$G$35</definedName>
    <definedName name="EcoMeasureDescription_E4">MeasureExport!$G$50</definedName>
    <definedName name="EcoMeasureDescription_E5">MeasureExport!$G$65</definedName>
    <definedName name="EcoMeasureDescription_E6">MeasureExport!$G$80</definedName>
    <definedName name="EcoMeasureDescription_E7">MeasureExport!$G$95</definedName>
    <definedName name="EcoMeasureDescription_E8">MeasureExport!$G$110</definedName>
    <definedName name="EcoMeasureEditAccess_E1">MeasureExport!$G$15</definedName>
    <definedName name="EcoMeasureEditAccess_E2">MeasureExport!$G$30</definedName>
    <definedName name="EcoMeasureEditAccess_E3">MeasureExport!$G$45</definedName>
    <definedName name="EcoMeasureEditAccess_E4">MeasureExport!$G$60</definedName>
    <definedName name="EcoMeasureEditAccess_E5">MeasureExport!$G$75</definedName>
    <definedName name="EcoMeasureEditAccess_E6">MeasureExport!$G$90</definedName>
    <definedName name="EcoMeasureEditAccess_E7">MeasureExport!$G$105</definedName>
    <definedName name="EcoMeasureEditAccess_E8">MeasureExport!$G$120</definedName>
    <definedName name="EcoMeasureEnova_E1">MeasureExport!$G$6</definedName>
    <definedName name="EcoMeasureEnova_E2">MeasureExport!$G$21</definedName>
    <definedName name="EcoMeasureEnova_E3">MeasureExport!$G$36</definedName>
    <definedName name="EcoMeasureEnova_E4">MeasureExport!$G$51</definedName>
    <definedName name="EcoMeasureEnova_E5">MeasureExport!$G$66</definedName>
    <definedName name="EcoMeasureEnova_E6">MeasureExport!$G$81</definedName>
    <definedName name="EcoMeasureEnova_E7">MeasureExport!$G$96</definedName>
    <definedName name="EcoMeasureEnova_E8">MeasureExport!$G$111</definedName>
    <definedName name="EcoMeasureId_E1">MeasureExport!$G$2</definedName>
    <definedName name="EcoMeasureId_E2">MeasureExport!$G$17</definedName>
    <definedName name="EcoMeasureId_E3">MeasureExport!$G$32</definedName>
    <definedName name="EcoMeasureId_E4">MeasureExport!$G$47</definedName>
    <definedName name="EcoMeasureId_E5">MeasureExport!$G$62</definedName>
    <definedName name="EcoMeasureId_E6">MeasureExport!$G$77</definedName>
    <definedName name="EcoMeasureId_E7">MeasureExport!$G$92</definedName>
    <definedName name="EcoMeasureId_E8">MeasureExport!$G$107</definedName>
    <definedName name="EcoMeasureMeasureType_E1">MeasureExport!$G$14</definedName>
    <definedName name="EcoMeasureMeasureType_E2">MeasureExport!$G$29</definedName>
    <definedName name="EcoMeasureMeasureType_E3">MeasureExport!$G$44</definedName>
    <definedName name="EcoMeasureMeasureType_E4">MeasureExport!$G$59</definedName>
    <definedName name="EcoMeasureMeasureType_E5">MeasureExport!$G$74</definedName>
    <definedName name="EcoMeasureMeasureType_E6">MeasureExport!$G$89</definedName>
    <definedName name="EcoMeasureMeasureType_E7">MeasureExport!$G$104</definedName>
    <definedName name="EcoMeasureMeasureType_E8">MeasureExport!$G$119</definedName>
    <definedName name="EcoMeasureName_E1">MeasureExport!$G$3</definedName>
    <definedName name="EcoMeasureName_E2">MeasureExport!$G$18</definedName>
    <definedName name="EcoMeasureName_E3">MeasureExport!$G$33</definedName>
    <definedName name="EcoMeasureName_E4">MeasureExport!$G$48</definedName>
    <definedName name="EcoMeasureName_E5">MeasureExport!$G$63</definedName>
    <definedName name="EcoMeasureName_E6">MeasureExport!$G$78</definedName>
    <definedName name="EcoMeasureName_E7">MeasureExport!$G$93</definedName>
    <definedName name="EcoMeasureName_E8">MeasureExport!$G$108</definedName>
    <definedName name="EcoMeasureProject_E1">MeasureExport!$G$4</definedName>
    <definedName name="EcoMeasureProject_E2">MeasureExport!$G$19</definedName>
    <definedName name="EcoMeasureProject_E3">MeasureExport!$G$34</definedName>
    <definedName name="EcoMeasureProject_E4">MeasureExport!$G$49</definedName>
    <definedName name="EcoMeasureProject_E5">MeasureExport!$G$64</definedName>
    <definedName name="EcoMeasureProject_E6">MeasureExport!$G$79</definedName>
    <definedName name="EcoMeasureProject_E7">MeasureExport!$G$94</definedName>
    <definedName name="EcoMeasureProject_E8">MeasureExport!$G$109</definedName>
    <definedName name="EcoMeasurePublishAccess_E1">MeasureExport!$G$16</definedName>
    <definedName name="EcoMeasurePublishAccess_E2">MeasureExport!$G$31</definedName>
    <definedName name="EcoMeasurePublishAccess_E3">MeasureExport!$G$46</definedName>
    <definedName name="EcoMeasurePublishAccess_E4">MeasureExport!$G$61</definedName>
    <definedName name="EcoMeasurePublishAccess_E5">MeasureExport!$G$76</definedName>
    <definedName name="EcoMeasurePublishAccess_E6">MeasureExport!$G$91</definedName>
    <definedName name="EcoMeasurePublishAccess_E7">MeasureExport!$G$106</definedName>
    <definedName name="EcoMeasurePublishAccess_E8">MeasureExport!$G$121</definedName>
    <definedName name="EcoMeasures">ProjectExport!$G$57</definedName>
    <definedName name="Economy">ProjectExport!$G$59</definedName>
    <definedName name="EconomyHeader">ProjectExport!$G$58</definedName>
    <definedName name="EcoProjectTemplate">ProjectExport!$G$21</definedName>
    <definedName name="EditAccess">ProjectExport!$G$350</definedName>
    <definedName name="EditorialResponsibility">ProjectExport!$G$7</definedName>
    <definedName name="EnergyConsultants">ProjectExport!$G$216</definedName>
    <definedName name="EnergyConsumption">ProjectExport!$G$282</definedName>
    <definedName name="EnergyConvertedFromElectricityToRenewable">ProjectExport!$G$293</definedName>
    <definedName name="EnergyConvertedFromFossilToRenewable">ProjectExport!$G$294</definedName>
    <definedName name="EnergyDelivered">ProjectExport!$G$295</definedName>
    <definedName name="EnergyEfficiencyMethod">ProjectExport!$G$315</definedName>
    <definedName name="EnergyLabel">ProjectExport!$G$277</definedName>
    <definedName name="EnergySavings">ProjectExport!$G$292</definedName>
    <definedName name="EnergySources">ProjectExport!$G$287</definedName>
    <definedName name="EnovaFactsComfort">ProjectExport!$G$297</definedName>
    <definedName name="EnovaFactsEnergy">ProjectExport!$G$296</definedName>
    <definedName name="Enumeration_Checkbox">Enumerations!$S$2:$T$5</definedName>
    <definedName name="Enumeration_EnergyLabel">Enumerations!$A$2:$C$9</definedName>
    <definedName name="Enumeration_FByerImportance">Enumerations!$G$2:$I$5</definedName>
    <definedName name="Enumeration_FByerTimeUsage">Enumerations!$J$2:$L$4</definedName>
    <definedName name="Enumeration_GeneralProjectType">Enumerations!$M$2:$O$6</definedName>
    <definedName name="Enumeration_HeatRating">Enumerations!$D$2:$F$7</definedName>
    <definedName name="Enumeration_MapZoomLevel">Enumerations!$U$2:$W$17</definedName>
    <definedName name="Enumeration_ProgressStatus">Enumerations!$P$2:$R$4</definedName>
    <definedName name="EnvironmentConsultants">ProjectExport!$G$214</definedName>
    <definedName name="EstimatedDeliveredEnergy">ProjectExport!$G$291</definedName>
    <definedName name="EstimatedDeliveredEnergy3700">ProjectExport!$G$289</definedName>
    <definedName name="ExternalProjectDBUsers">ProjectExport!$G$39</definedName>
    <definedName name="ExternalTags">ProjectExport!$G$34</definedName>
    <definedName name="F_ChangeLog_Date_I1">#REF!</definedName>
    <definedName name="F_ChangeLog_Date_I2">#REF!</definedName>
    <definedName name="F_ChangeLog_Date_I3">#REF!</definedName>
    <definedName name="F_ChangeLog_Date_I4">#REF!</definedName>
    <definedName name="F_ChangeLog_Text_I1">#REF!</definedName>
    <definedName name="F_ChangeLog_Text_I2">#REF!</definedName>
    <definedName name="F_ChangeLog_Text_I3">#REF!</definedName>
    <definedName name="F_ChangeLog_Text_I4">#REF!</definedName>
    <definedName name="F_Collaboration_I">#REF!</definedName>
    <definedName name="F_FByerCO2_I">#REF!</definedName>
    <definedName name="F_FByerCosts_I">#REF!</definedName>
    <definedName name="F_FByerExternalTags_I1">#REF!</definedName>
    <definedName name="F_FByerExternalTags_I2">#REF!</definedName>
    <definedName name="F_FByerExternalTags_I3">#REF!</definedName>
    <definedName name="F_FByerExternalTags_I4">#REF!</definedName>
    <definedName name="F_FByerExternalTags_I5">#REF!</definedName>
    <definedName name="F_FByerImportance_I">#REF!</definedName>
    <definedName name="F_FByerOtherRemarks_I">#REF!</definedName>
    <definedName name="F_FByerOtherResults_I">#REF!</definedName>
    <definedName name="F_FByerPeopleInformed_I">#REF!</definedName>
    <definedName name="F_FByerTimeUsage_I">#REF!</definedName>
    <definedName name="F_FinishedProject_I">#REF!</definedName>
    <definedName name="F_GeneralProjectType_I">#REF!</definedName>
    <definedName name="F_GreenAreaIncrease_I">#REF!</definedName>
    <definedName name="F_HardAreaReduction_I">#REF!</definedName>
    <definedName name="F_MunicipalitiesCollaboration_I">#REF!</definedName>
    <definedName name="F_OtherCollaboration_I">#REF!</definedName>
    <definedName name="F_OthersInvolved_I">#REF!</definedName>
    <definedName name="F_Partners_I1">#REF!</definedName>
    <definedName name="F_Partners_I2">#REF!</definedName>
    <definedName name="F_Partners_I3">#REF!</definedName>
    <definedName name="F_Partners_I4">#REF!</definedName>
    <definedName name="F_Partners_I5">#REF!</definedName>
    <definedName name="F_PrivateCollaboration_I">#REF!</definedName>
    <definedName name="F_ProgressDescription_I">#REF!</definedName>
    <definedName name="F_ProgressStatus_I">#REF!</definedName>
    <definedName name="F_ProjectresponsibleFB_I">#REF!</definedName>
    <definedName name="F_PublishToByrapport_I">#REF!</definedName>
    <definedName name="F_ResponsibleDepartment_I">#REF!</definedName>
    <definedName name="F_WalkwaysLength_I">#REF!</definedName>
    <definedName name="FanAdministration">ProjectExport!$G$308</definedName>
    <definedName name="FByerCO2">ProjectExport!$G$263</definedName>
    <definedName name="FByerCosts">ProjectExport!$G$160</definedName>
    <definedName name="FByerExternalTags">ProjectExport!$G$29</definedName>
    <definedName name="FByerImportance">ProjectExport!$G$161</definedName>
    <definedName name="FbyerOtherRemarks">ProjectExport!$G$164</definedName>
    <definedName name="FByerOtherResults">ProjectExport!$G$159</definedName>
    <definedName name="FByerPeopleInformed">ProjectExport!$G$163</definedName>
    <definedName name="FByerTimeUsage">ProjectExport!$G$162</definedName>
    <definedName name="FinishedProject">ProjectExport!$G$11</definedName>
    <definedName name="FK_CountyTitleA_I1">FylkeKommune!$B$1</definedName>
    <definedName name="FK_CountyTitleA_I10">FylkeKommune!$K$1</definedName>
    <definedName name="FK_CountyTitleA_I11">FylkeKommune!$L$1</definedName>
    <definedName name="FK_CountyTitleA_I12">FylkeKommune!$M$1</definedName>
    <definedName name="FK_CountyTitleA_I13">FylkeKommune!$N$1</definedName>
    <definedName name="FK_CountyTitleA_I14">FylkeKommune!$O$1</definedName>
    <definedName name="FK_CountyTitleA_I15">FylkeKommune!$P$1</definedName>
    <definedName name="FK_CountyTitleA_I16">FylkeKommune!$Q$1</definedName>
    <definedName name="FK_CountyTitleA_I17">FylkeKommune!$R$1</definedName>
    <definedName name="FK_CountyTitleA_I18">FylkeKommune!$S$1</definedName>
    <definedName name="FK_CountyTitleA_I19">FylkeKommune!$T$1</definedName>
    <definedName name="FK_CountyTitleA_I2">FylkeKommune!$C$1</definedName>
    <definedName name="FK_CountyTitleA_I20">FylkeKommune!$U$1</definedName>
    <definedName name="FK_CountyTitleA_I21">FylkeKommune!$V$1</definedName>
    <definedName name="FK_CountyTitleA_I22">FylkeKommune!$W$1</definedName>
    <definedName name="FK_CountyTitleA_I3">FylkeKommune!$D$1</definedName>
    <definedName name="FK_CountyTitleA_I4">FylkeKommune!$E$1</definedName>
    <definedName name="FK_CountyTitleA_I5">FylkeKommune!$F$1</definedName>
    <definedName name="FK_CountyTitleA_I6">FylkeKommune!$G$1</definedName>
    <definedName name="FK_CountyTitleA_I7">FylkeKommune!$H$1</definedName>
    <definedName name="FK_CountyTitleA_I8">FylkeKommune!$I$1</definedName>
    <definedName name="FK_CountyTitleA_I9">FylkeKommune!$J$1</definedName>
    <definedName name="FK_CountyTitleB_I1">FylkeKommune!$A$2</definedName>
    <definedName name="FK_CountyTitleB_I10">FylkeKommune!$A$11</definedName>
    <definedName name="FK_CountyTitleB_I11">FylkeKommune!$A$12</definedName>
    <definedName name="FK_CountyTitleB_I12">FylkeKommune!$A$13</definedName>
    <definedName name="FK_CountyTitleB_I13">FylkeKommune!$A$14</definedName>
    <definedName name="FK_CountyTitleB_I14">FylkeKommune!$A$15</definedName>
    <definedName name="FK_CountyTitleB_I15">FylkeKommune!$A$16</definedName>
    <definedName name="FK_CountyTitleB_I16">FylkeKommune!$A$17</definedName>
    <definedName name="FK_CountyTitleB_I17">FylkeKommune!$A$18</definedName>
    <definedName name="FK_CountyTitleB_I18">FylkeKommune!$A$19</definedName>
    <definedName name="FK_CountyTitleB_I19">FylkeKommune!$A$20</definedName>
    <definedName name="FK_CountyTitleB_I2">FylkeKommune!$A$3</definedName>
    <definedName name="FK_CountyTitleB_I20">FylkeKommune!$A$21</definedName>
    <definedName name="FK_CountyTitleB_I21">FylkeKommune!$A$22</definedName>
    <definedName name="FK_CountyTitleB_I22">FylkeKommune!$A$23</definedName>
    <definedName name="FK_CountyTitleB_I3">FylkeKommune!$A$4</definedName>
    <definedName name="FK_CountyTitleB_I4">FylkeKommune!$A$5</definedName>
    <definedName name="FK_CountyTitleB_I5">FylkeKommune!$A$6</definedName>
    <definedName name="FK_CountyTitleB_I6">FylkeKommune!$A$7</definedName>
    <definedName name="FK_CountyTitleB_I7">FylkeKommune!$A$8</definedName>
    <definedName name="FK_CountyTitleB_I8">FylkeKommune!$A$9</definedName>
    <definedName name="FK_CountyTitleB_I9">FylkeKommune!$A$10</definedName>
    <definedName name="FK_MunicipalitiesTitle_I1_1">FylkeKommune!$B$2</definedName>
    <definedName name="FK_MunicipalitiesTitle_I1_10">FylkeKommune!$B$11</definedName>
    <definedName name="FK_MunicipalitiesTitle_I1_11">FylkeKommune!$B$12</definedName>
    <definedName name="FK_MunicipalitiesTitle_I1_12">FylkeKommune!$B$13</definedName>
    <definedName name="FK_MunicipalitiesTitle_I1_13">FylkeKommune!$B$14</definedName>
    <definedName name="FK_MunicipalitiesTitle_I1_14">FylkeKommune!$B$15</definedName>
    <definedName name="FK_MunicipalitiesTitle_I1_15">FylkeKommune!$B$16</definedName>
    <definedName name="FK_MunicipalitiesTitle_I1_16">FylkeKommune!$B$17</definedName>
    <definedName name="FK_MunicipalitiesTitle_I1_17">FylkeKommune!$B$18</definedName>
    <definedName name="FK_MunicipalitiesTitle_I1_18">FylkeKommune!$B$19</definedName>
    <definedName name="FK_MunicipalitiesTitle_I1_19">FylkeKommune!$B$20</definedName>
    <definedName name="FK_MunicipalitiesTitle_I1_2">FylkeKommune!$B$3</definedName>
    <definedName name="FK_MunicipalitiesTitle_I1_20">FylkeKommune!$B$21</definedName>
    <definedName name="FK_MunicipalitiesTitle_I1_21">FylkeKommune!$B$22</definedName>
    <definedName name="FK_MunicipalitiesTitle_I1_22">FylkeKommune!$B$23</definedName>
    <definedName name="FK_MunicipalitiesTitle_I1_23">FylkeKommune!$B$24</definedName>
    <definedName name="FK_MunicipalitiesTitle_I1_24">FylkeKommune!$B$25</definedName>
    <definedName name="FK_MunicipalitiesTitle_I1_25">FylkeKommune!$B$26</definedName>
    <definedName name="FK_MunicipalitiesTitle_I1_26">FylkeKommune!$B$27</definedName>
    <definedName name="FK_MunicipalitiesTitle_I1_27">FylkeKommune!$B$28</definedName>
    <definedName name="FK_MunicipalitiesTitle_I1_28">FylkeKommune!$B$29</definedName>
    <definedName name="FK_MunicipalitiesTitle_I1_29">FylkeKommune!$B$30</definedName>
    <definedName name="FK_MunicipalitiesTitle_I1_3">FylkeKommune!$B$4</definedName>
    <definedName name="FK_MunicipalitiesTitle_I1_30">FylkeKommune!$B$31</definedName>
    <definedName name="FK_MunicipalitiesTitle_I1_31">FylkeKommune!$B$32</definedName>
    <definedName name="FK_MunicipalitiesTitle_I1_32">FylkeKommune!$B$33</definedName>
    <definedName name="FK_MunicipalitiesTitle_I1_33">FylkeKommune!$B$34</definedName>
    <definedName name="FK_MunicipalitiesTitle_I1_34">FylkeKommune!$B$35</definedName>
    <definedName name="FK_MunicipalitiesTitle_I1_35">FylkeKommune!$B$36</definedName>
    <definedName name="FK_MunicipalitiesTitle_I1_36">FylkeKommune!$B$37</definedName>
    <definedName name="FK_MunicipalitiesTitle_I1_37">FylkeKommune!$B$38</definedName>
    <definedName name="FK_MunicipalitiesTitle_I1_38">FylkeKommune!$B$39</definedName>
    <definedName name="FK_MunicipalitiesTitle_I1_39">FylkeKommune!$B$40</definedName>
    <definedName name="FK_MunicipalitiesTitle_I1_4">FylkeKommune!$B$5</definedName>
    <definedName name="FK_MunicipalitiesTitle_I1_40">FylkeKommune!$B$41</definedName>
    <definedName name="FK_MunicipalitiesTitle_I1_41">FylkeKommune!$B$42</definedName>
    <definedName name="FK_MunicipalitiesTitle_I1_42">FylkeKommune!$B$43</definedName>
    <definedName name="FK_MunicipalitiesTitle_I1_43">FylkeKommune!$B$44</definedName>
    <definedName name="FK_MunicipalitiesTitle_I1_44">FylkeKommune!$B$45</definedName>
    <definedName name="FK_MunicipalitiesTitle_I1_45">FylkeKommune!$B$46</definedName>
    <definedName name="FK_MunicipalitiesTitle_I1_46">FylkeKommune!$B$47</definedName>
    <definedName name="FK_MunicipalitiesTitle_I1_47">FylkeKommune!$B$48</definedName>
    <definedName name="FK_MunicipalitiesTitle_I1_48">FylkeKommune!$B$49</definedName>
    <definedName name="FK_MunicipalitiesTitle_I1_49">FylkeKommune!$B$50</definedName>
    <definedName name="FK_MunicipalitiesTitle_I1_5">FylkeKommune!$B$6</definedName>
    <definedName name="FK_MunicipalitiesTitle_I1_50">FylkeKommune!$B$51</definedName>
    <definedName name="FK_MunicipalitiesTitle_I1_6">FylkeKommune!$B$7</definedName>
    <definedName name="FK_MunicipalitiesTitle_I1_7">FylkeKommune!$B$8</definedName>
    <definedName name="FK_MunicipalitiesTitle_I1_8">FylkeKommune!$B$9</definedName>
    <definedName name="FK_MunicipalitiesTitle_I1_9">FylkeKommune!$B$10</definedName>
    <definedName name="FK_MunicipalitiesTitle_I10_1">FylkeKommune!$K$2</definedName>
    <definedName name="FK_MunicipalitiesTitle_I10_10">FylkeKommune!$K$11</definedName>
    <definedName name="FK_MunicipalitiesTitle_I10_11">FylkeKommune!$K$12</definedName>
    <definedName name="FK_MunicipalitiesTitle_I10_12">FylkeKommune!$K$13</definedName>
    <definedName name="FK_MunicipalitiesTitle_I10_13">FylkeKommune!$K$14</definedName>
    <definedName name="FK_MunicipalitiesTitle_I10_14">FylkeKommune!$K$15</definedName>
    <definedName name="FK_MunicipalitiesTitle_I10_15">FylkeKommune!$K$16</definedName>
    <definedName name="FK_MunicipalitiesTitle_I10_16">FylkeKommune!$K$17</definedName>
    <definedName name="FK_MunicipalitiesTitle_I10_17">FylkeKommune!$K$18</definedName>
    <definedName name="FK_MunicipalitiesTitle_I10_18">FylkeKommune!$K$19</definedName>
    <definedName name="FK_MunicipalitiesTitle_I10_19">FylkeKommune!$K$20</definedName>
    <definedName name="FK_MunicipalitiesTitle_I10_2">FylkeKommune!$K$3</definedName>
    <definedName name="FK_MunicipalitiesTitle_I10_20">FylkeKommune!$K$21</definedName>
    <definedName name="FK_MunicipalitiesTitle_I10_21">FylkeKommune!$K$22</definedName>
    <definedName name="FK_MunicipalitiesTitle_I10_22">FylkeKommune!$K$23</definedName>
    <definedName name="FK_MunicipalitiesTitle_I10_23">FylkeKommune!$K$24</definedName>
    <definedName name="FK_MunicipalitiesTitle_I10_24">FylkeKommune!$K$25</definedName>
    <definedName name="FK_MunicipalitiesTitle_I10_25">FylkeKommune!$K$26</definedName>
    <definedName name="FK_MunicipalitiesTitle_I10_26">FylkeKommune!$K$27</definedName>
    <definedName name="FK_MunicipalitiesTitle_I10_27">FylkeKommune!$K$28</definedName>
    <definedName name="FK_MunicipalitiesTitle_I10_28">FylkeKommune!$K$29</definedName>
    <definedName name="FK_MunicipalitiesTitle_I10_29">FylkeKommune!$K$30</definedName>
    <definedName name="FK_MunicipalitiesTitle_I10_3">FylkeKommune!$K$4</definedName>
    <definedName name="FK_MunicipalitiesTitle_I10_30">FylkeKommune!$K$31</definedName>
    <definedName name="FK_MunicipalitiesTitle_I10_31">FylkeKommune!$K$32</definedName>
    <definedName name="FK_MunicipalitiesTitle_I10_32">FylkeKommune!$K$33</definedName>
    <definedName name="FK_MunicipalitiesTitle_I10_33">FylkeKommune!$K$34</definedName>
    <definedName name="FK_MunicipalitiesTitle_I10_34">FylkeKommune!$K$35</definedName>
    <definedName name="FK_MunicipalitiesTitle_I10_35">FylkeKommune!$K$36</definedName>
    <definedName name="FK_MunicipalitiesTitle_I10_36">FylkeKommune!$K$37</definedName>
    <definedName name="FK_MunicipalitiesTitle_I10_37">FylkeKommune!$K$38</definedName>
    <definedName name="FK_MunicipalitiesTitle_I10_38">FylkeKommune!$K$39</definedName>
    <definedName name="FK_MunicipalitiesTitle_I10_39">FylkeKommune!$K$40</definedName>
    <definedName name="FK_MunicipalitiesTitle_I10_4">FylkeKommune!$K$5</definedName>
    <definedName name="FK_MunicipalitiesTitle_I10_40">FylkeKommune!$K$41</definedName>
    <definedName name="FK_MunicipalitiesTitle_I10_41">FylkeKommune!$K$42</definedName>
    <definedName name="FK_MunicipalitiesTitle_I10_42">FylkeKommune!$K$43</definedName>
    <definedName name="FK_MunicipalitiesTitle_I10_43">FylkeKommune!$K$44</definedName>
    <definedName name="FK_MunicipalitiesTitle_I10_44">FylkeKommune!$K$45</definedName>
    <definedName name="FK_MunicipalitiesTitle_I10_45">FylkeKommune!$K$46</definedName>
    <definedName name="FK_MunicipalitiesTitle_I10_46">FylkeKommune!$K$47</definedName>
    <definedName name="FK_MunicipalitiesTitle_I10_47">FylkeKommune!$K$48</definedName>
    <definedName name="FK_MunicipalitiesTitle_I10_48">FylkeKommune!$K$49</definedName>
    <definedName name="FK_MunicipalitiesTitle_I10_49">FylkeKommune!$K$50</definedName>
    <definedName name="FK_MunicipalitiesTitle_I10_5">FylkeKommune!$K$6</definedName>
    <definedName name="FK_MunicipalitiesTitle_I10_50">FylkeKommune!$K$51</definedName>
    <definedName name="FK_MunicipalitiesTitle_I10_6">FylkeKommune!$K$7</definedName>
    <definedName name="FK_MunicipalitiesTitle_I10_7">FylkeKommune!$K$8</definedName>
    <definedName name="FK_MunicipalitiesTitle_I10_8">FylkeKommune!$K$9</definedName>
    <definedName name="FK_MunicipalitiesTitle_I10_9">FylkeKommune!$K$10</definedName>
    <definedName name="FK_MunicipalitiesTitle_I11_1">FylkeKommune!$L$2</definedName>
    <definedName name="FK_MunicipalitiesTitle_I11_10">FylkeKommune!$L$11</definedName>
    <definedName name="FK_MunicipalitiesTitle_I11_11">FylkeKommune!$L$12</definedName>
    <definedName name="FK_MunicipalitiesTitle_I11_12">FylkeKommune!$L$13</definedName>
    <definedName name="FK_MunicipalitiesTitle_I11_13">FylkeKommune!$L$14</definedName>
    <definedName name="FK_MunicipalitiesTitle_I11_14">FylkeKommune!$L$15</definedName>
    <definedName name="FK_MunicipalitiesTitle_I11_15">FylkeKommune!$L$16</definedName>
    <definedName name="FK_MunicipalitiesTitle_I11_16">FylkeKommune!$L$17</definedName>
    <definedName name="FK_MunicipalitiesTitle_I11_17">FylkeKommune!$L$18</definedName>
    <definedName name="FK_MunicipalitiesTitle_I11_18">FylkeKommune!$L$19</definedName>
    <definedName name="FK_MunicipalitiesTitle_I11_19">FylkeKommune!$L$20</definedName>
    <definedName name="FK_MunicipalitiesTitle_I11_2">FylkeKommune!$L$3</definedName>
    <definedName name="FK_MunicipalitiesTitle_I11_20">FylkeKommune!$L$21</definedName>
    <definedName name="FK_MunicipalitiesTitle_I11_21">FylkeKommune!$L$22</definedName>
    <definedName name="FK_MunicipalitiesTitle_I11_22">FylkeKommune!$L$23</definedName>
    <definedName name="FK_MunicipalitiesTitle_I11_23">FylkeKommune!$L$24</definedName>
    <definedName name="FK_MunicipalitiesTitle_I11_24">FylkeKommune!$L$25</definedName>
    <definedName name="FK_MunicipalitiesTitle_I11_25">FylkeKommune!$L$26</definedName>
    <definedName name="FK_MunicipalitiesTitle_I11_26">FylkeKommune!$L$27</definedName>
    <definedName name="FK_MunicipalitiesTitle_I11_27">FylkeKommune!$L$28</definedName>
    <definedName name="FK_MunicipalitiesTitle_I11_28">FylkeKommune!$L$29</definedName>
    <definedName name="FK_MunicipalitiesTitle_I11_29">FylkeKommune!$L$30</definedName>
    <definedName name="FK_MunicipalitiesTitle_I11_3">FylkeKommune!$L$4</definedName>
    <definedName name="FK_MunicipalitiesTitle_I11_30">FylkeKommune!$L$31</definedName>
    <definedName name="FK_MunicipalitiesTitle_I11_31">FylkeKommune!$L$32</definedName>
    <definedName name="FK_MunicipalitiesTitle_I11_32">FylkeKommune!$L$33</definedName>
    <definedName name="FK_MunicipalitiesTitle_I11_33">FylkeKommune!$L$34</definedName>
    <definedName name="FK_MunicipalitiesTitle_I11_34">FylkeKommune!$L$35</definedName>
    <definedName name="FK_MunicipalitiesTitle_I11_35">FylkeKommune!$L$36</definedName>
    <definedName name="FK_MunicipalitiesTitle_I11_36">FylkeKommune!$L$37</definedName>
    <definedName name="FK_MunicipalitiesTitle_I11_37">FylkeKommune!$L$38</definedName>
    <definedName name="FK_MunicipalitiesTitle_I11_38">FylkeKommune!$L$39</definedName>
    <definedName name="FK_MunicipalitiesTitle_I11_39">FylkeKommune!$L$40</definedName>
    <definedName name="FK_MunicipalitiesTitle_I11_4">FylkeKommune!$L$5</definedName>
    <definedName name="FK_MunicipalitiesTitle_I11_40">FylkeKommune!$L$41</definedName>
    <definedName name="FK_MunicipalitiesTitle_I11_41">FylkeKommune!$L$42</definedName>
    <definedName name="FK_MunicipalitiesTitle_I11_42">FylkeKommune!$L$43</definedName>
    <definedName name="FK_MunicipalitiesTitle_I11_43">FylkeKommune!$L$44</definedName>
    <definedName name="FK_MunicipalitiesTitle_I11_44">FylkeKommune!$L$45</definedName>
    <definedName name="FK_MunicipalitiesTitle_I11_45">FylkeKommune!$L$46</definedName>
    <definedName name="FK_MunicipalitiesTitle_I11_46">FylkeKommune!$L$47</definedName>
    <definedName name="FK_MunicipalitiesTitle_I11_47">FylkeKommune!$L$48</definedName>
    <definedName name="FK_MunicipalitiesTitle_I11_48">FylkeKommune!$L$49</definedName>
    <definedName name="FK_MunicipalitiesTitle_I11_49">FylkeKommune!$L$50</definedName>
    <definedName name="FK_MunicipalitiesTitle_I11_5">FylkeKommune!$L$6</definedName>
    <definedName name="FK_MunicipalitiesTitle_I11_50">FylkeKommune!$L$51</definedName>
    <definedName name="FK_MunicipalitiesTitle_I11_6">FylkeKommune!$L$7</definedName>
    <definedName name="FK_MunicipalitiesTitle_I11_7">FylkeKommune!$L$8</definedName>
    <definedName name="FK_MunicipalitiesTitle_I11_8">FylkeKommune!$L$9</definedName>
    <definedName name="FK_MunicipalitiesTitle_I11_9">FylkeKommune!$L$10</definedName>
    <definedName name="FK_MunicipalitiesTitle_I12_1">FylkeKommune!$M$2</definedName>
    <definedName name="FK_MunicipalitiesTitle_I12_10">FylkeKommune!$M$11</definedName>
    <definedName name="FK_MunicipalitiesTitle_I12_11">FylkeKommune!$M$12</definedName>
    <definedName name="FK_MunicipalitiesTitle_I12_12">FylkeKommune!$M$13</definedName>
    <definedName name="FK_MunicipalitiesTitle_I12_13">FylkeKommune!$M$14</definedName>
    <definedName name="FK_MunicipalitiesTitle_I12_14">FylkeKommune!$M$15</definedName>
    <definedName name="FK_MunicipalitiesTitle_I12_15">FylkeKommune!$M$16</definedName>
    <definedName name="FK_MunicipalitiesTitle_I12_16">FylkeKommune!$M$17</definedName>
    <definedName name="FK_MunicipalitiesTitle_I12_17">FylkeKommune!$M$18</definedName>
    <definedName name="FK_MunicipalitiesTitle_I12_18">FylkeKommune!$M$19</definedName>
    <definedName name="FK_MunicipalitiesTitle_I12_19">FylkeKommune!$M$20</definedName>
    <definedName name="FK_MunicipalitiesTitle_I12_2">FylkeKommune!$M$3</definedName>
    <definedName name="FK_MunicipalitiesTitle_I12_20">FylkeKommune!$M$21</definedName>
    <definedName name="FK_MunicipalitiesTitle_I12_21">FylkeKommune!$M$22</definedName>
    <definedName name="FK_MunicipalitiesTitle_I12_22">FylkeKommune!$M$23</definedName>
    <definedName name="FK_MunicipalitiesTitle_I12_23">FylkeKommune!$M$24</definedName>
    <definedName name="FK_MunicipalitiesTitle_I12_24">FylkeKommune!$M$25</definedName>
    <definedName name="FK_MunicipalitiesTitle_I12_25">FylkeKommune!$M$26</definedName>
    <definedName name="FK_MunicipalitiesTitle_I12_26">FylkeKommune!$M$27</definedName>
    <definedName name="FK_MunicipalitiesTitle_I12_27">FylkeKommune!$M$28</definedName>
    <definedName name="FK_MunicipalitiesTitle_I12_28">FylkeKommune!$M$29</definedName>
    <definedName name="FK_MunicipalitiesTitle_I12_29">FylkeKommune!$M$30</definedName>
    <definedName name="FK_MunicipalitiesTitle_I12_3">FylkeKommune!$M$4</definedName>
    <definedName name="FK_MunicipalitiesTitle_I12_30">FylkeKommune!$M$31</definedName>
    <definedName name="FK_MunicipalitiesTitle_I12_31">FylkeKommune!$M$32</definedName>
    <definedName name="FK_MunicipalitiesTitle_I12_32">FylkeKommune!$M$33</definedName>
    <definedName name="FK_MunicipalitiesTitle_I12_33">FylkeKommune!$M$34</definedName>
    <definedName name="FK_MunicipalitiesTitle_I12_34">FylkeKommune!$M$35</definedName>
    <definedName name="FK_MunicipalitiesTitle_I12_35">FylkeKommune!$M$36</definedName>
    <definedName name="FK_MunicipalitiesTitle_I12_36">FylkeKommune!$M$37</definedName>
    <definedName name="FK_MunicipalitiesTitle_I12_37">FylkeKommune!$M$38</definedName>
    <definedName name="FK_MunicipalitiesTitle_I12_38">FylkeKommune!$M$39</definedName>
    <definedName name="FK_MunicipalitiesTitle_I12_39">FylkeKommune!$M$40</definedName>
    <definedName name="FK_MunicipalitiesTitle_I12_4">FylkeKommune!$M$5</definedName>
    <definedName name="FK_MunicipalitiesTitle_I12_40">FylkeKommune!$M$41</definedName>
    <definedName name="FK_MunicipalitiesTitle_I12_41">FylkeKommune!$M$42</definedName>
    <definedName name="FK_MunicipalitiesTitle_I12_42">FylkeKommune!$M$43</definedName>
    <definedName name="FK_MunicipalitiesTitle_I12_43">FylkeKommune!$M$44</definedName>
    <definedName name="FK_MunicipalitiesTitle_I12_44">FylkeKommune!$M$45</definedName>
    <definedName name="FK_MunicipalitiesTitle_I12_45">FylkeKommune!$M$46</definedName>
    <definedName name="FK_MunicipalitiesTitle_I12_46">FylkeKommune!$M$47</definedName>
    <definedName name="FK_MunicipalitiesTitle_I12_47">FylkeKommune!$M$48</definedName>
    <definedName name="FK_MunicipalitiesTitle_I12_48">FylkeKommune!$M$49</definedName>
    <definedName name="FK_MunicipalitiesTitle_I12_49">FylkeKommune!$M$50</definedName>
    <definedName name="FK_MunicipalitiesTitle_I12_5">FylkeKommune!$M$6</definedName>
    <definedName name="FK_MunicipalitiesTitle_I12_50">FylkeKommune!$M$51</definedName>
    <definedName name="FK_MunicipalitiesTitle_I12_6">FylkeKommune!$M$7</definedName>
    <definedName name="FK_MunicipalitiesTitle_I12_7">FylkeKommune!$M$8</definedName>
    <definedName name="FK_MunicipalitiesTitle_I12_8">FylkeKommune!$M$9</definedName>
    <definedName name="FK_MunicipalitiesTitle_I12_9">FylkeKommune!$M$10</definedName>
    <definedName name="FK_MunicipalitiesTitle_I13_1">FylkeKommune!$N$2</definedName>
    <definedName name="FK_MunicipalitiesTitle_I13_10">FylkeKommune!$N$11</definedName>
    <definedName name="FK_MunicipalitiesTitle_I13_11">FylkeKommune!$N$12</definedName>
    <definedName name="FK_MunicipalitiesTitle_I13_12">FylkeKommune!$N$13</definedName>
    <definedName name="FK_MunicipalitiesTitle_I13_13">FylkeKommune!$N$14</definedName>
    <definedName name="FK_MunicipalitiesTitle_I13_14">FylkeKommune!$N$15</definedName>
    <definedName name="FK_MunicipalitiesTitle_I13_15">FylkeKommune!$N$16</definedName>
    <definedName name="FK_MunicipalitiesTitle_I13_16">FylkeKommune!$N$17</definedName>
    <definedName name="FK_MunicipalitiesTitle_I13_17">FylkeKommune!$N$18</definedName>
    <definedName name="FK_MunicipalitiesTitle_I13_18">FylkeKommune!$N$19</definedName>
    <definedName name="FK_MunicipalitiesTitle_I13_19">FylkeKommune!$N$20</definedName>
    <definedName name="FK_MunicipalitiesTitle_I13_2">FylkeKommune!$N$3</definedName>
    <definedName name="FK_MunicipalitiesTitle_I13_20">FylkeKommune!$N$21</definedName>
    <definedName name="FK_MunicipalitiesTitle_I13_21">FylkeKommune!$N$22</definedName>
    <definedName name="FK_MunicipalitiesTitle_I13_22">FylkeKommune!$N$23</definedName>
    <definedName name="FK_MunicipalitiesTitle_I13_23">FylkeKommune!$N$24</definedName>
    <definedName name="FK_MunicipalitiesTitle_I13_24">FylkeKommune!$N$25</definedName>
    <definedName name="FK_MunicipalitiesTitle_I13_25">FylkeKommune!$N$26</definedName>
    <definedName name="FK_MunicipalitiesTitle_I13_26">FylkeKommune!$N$27</definedName>
    <definedName name="FK_MunicipalitiesTitle_I13_27">FylkeKommune!$N$28</definedName>
    <definedName name="FK_MunicipalitiesTitle_I13_28">FylkeKommune!$N$29</definedName>
    <definedName name="FK_MunicipalitiesTitle_I13_29">FylkeKommune!$N$30</definedName>
    <definedName name="FK_MunicipalitiesTitle_I13_3">FylkeKommune!$N$4</definedName>
    <definedName name="FK_MunicipalitiesTitle_I13_30">FylkeKommune!$N$31</definedName>
    <definedName name="FK_MunicipalitiesTitle_I13_31">FylkeKommune!$N$32</definedName>
    <definedName name="FK_MunicipalitiesTitle_I13_32">FylkeKommune!$N$33</definedName>
    <definedName name="FK_MunicipalitiesTitle_I13_33">FylkeKommune!$N$34</definedName>
    <definedName name="FK_MunicipalitiesTitle_I13_34">FylkeKommune!$N$35</definedName>
    <definedName name="FK_MunicipalitiesTitle_I13_35">FylkeKommune!$N$36</definedName>
    <definedName name="FK_MunicipalitiesTitle_I13_36">FylkeKommune!$N$37</definedName>
    <definedName name="FK_MunicipalitiesTitle_I13_37">FylkeKommune!$N$38</definedName>
    <definedName name="FK_MunicipalitiesTitle_I13_38">FylkeKommune!$N$39</definedName>
    <definedName name="FK_MunicipalitiesTitle_I13_39">FylkeKommune!$N$40</definedName>
    <definedName name="FK_MunicipalitiesTitle_I13_4">FylkeKommune!$N$5</definedName>
    <definedName name="FK_MunicipalitiesTitle_I13_40">FylkeKommune!$N$41</definedName>
    <definedName name="FK_MunicipalitiesTitle_I13_41">FylkeKommune!$N$42</definedName>
    <definedName name="FK_MunicipalitiesTitle_I13_42">FylkeKommune!$N$43</definedName>
    <definedName name="FK_MunicipalitiesTitle_I13_43">FylkeKommune!$N$44</definedName>
    <definedName name="FK_MunicipalitiesTitle_I13_44">FylkeKommune!$N$45</definedName>
    <definedName name="FK_MunicipalitiesTitle_I13_45">FylkeKommune!$N$46</definedName>
    <definedName name="FK_MunicipalitiesTitle_I13_46">FylkeKommune!$N$47</definedName>
    <definedName name="FK_MunicipalitiesTitle_I13_47">FylkeKommune!$N$48</definedName>
    <definedName name="FK_MunicipalitiesTitle_I13_48">FylkeKommune!$N$49</definedName>
    <definedName name="FK_MunicipalitiesTitle_I13_49">FylkeKommune!$N$50</definedName>
    <definedName name="FK_MunicipalitiesTitle_I13_5">FylkeKommune!$N$6</definedName>
    <definedName name="FK_MunicipalitiesTitle_I13_50">FylkeKommune!$N$51</definedName>
    <definedName name="FK_MunicipalitiesTitle_I13_6">FylkeKommune!$N$7</definedName>
    <definedName name="FK_MunicipalitiesTitle_I13_7">FylkeKommune!$N$8</definedName>
    <definedName name="FK_MunicipalitiesTitle_I13_8">FylkeKommune!$N$9</definedName>
    <definedName name="FK_MunicipalitiesTitle_I13_9">FylkeKommune!$N$10</definedName>
    <definedName name="FK_MunicipalitiesTitle_I14_1">FylkeKommune!$O$2</definedName>
    <definedName name="FK_MunicipalitiesTitle_I14_10">FylkeKommune!$O$11</definedName>
    <definedName name="FK_MunicipalitiesTitle_I14_11">FylkeKommune!$O$12</definedName>
    <definedName name="FK_MunicipalitiesTitle_I14_12">FylkeKommune!$O$13</definedName>
    <definedName name="FK_MunicipalitiesTitle_I14_13">FylkeKommune!$O$14</definedName>
    <definedName name="FK_MunicipalitiesTitle_I14_14">FylkeKommune!$O$15</definedName>
    <definedName name="FK_MunicipalitiesTitle_I14_15">FylkeKommune!$O$16</definedName>
    <definedName name="FK_MunicipalitiesTitle_I14_16">FylkeKommune!$O$17</definedName>
    <definedName name="FK_MunicipalitiesTitle_I14_17">FylkeKommune!$O$18</definedName>
    <definedName name="FK_MunicipalitiesTitle_I14_18">FylkeKommune!$O$19</definedName>
    <definedName name="FK_MunicipalitiesTitle_I14_19">FylkeKommune!$O$20</definedName>
    <definedName name="FK_MunicipalitiesTitle_I14_2">FylkeKommune!$O$3</definedName>
    <definedName name="FK_MunicipalitiesTitle_I14_20">FylkeKommune!$O$21</definedName>
    <definedName name="FK_MunicipalitiesTitle_I14_21">FylkeKommune!$O$22</definedName>
    <definedName name="FK_MunicipalitiesTitle_I14_22">FylkeKommune!$O$23</definedName>
    <definedName name="FK_MunicipalitiesTitle_I14_23">FylkeKommune!$O$24</definedName>
    <definedName name="FK_MunicipalitiesTitle_I14_24">FylkeKommune!$O$25</definedName>
    <definedName name="FK_MunicipalitiesTitle_I14_25">FylkeKommune!$O$26</definedName>
    <definedName name="FK_MunicipalitiesTitle_I14_26">FylkeKommune!$O$27</definedName>
    <definedName name="FK_MunicipalitiesTitle_I14_27">FylkeKommune!$O$28</definedName>
    <definedName name="FK_MunicipalitiesTitle_I14_28">FylkeKommune!$O$29</definedName>
    <definedName name="FK_MunicipalitiesTitle_I14_29">FylkeKommune!$O$30</definedName>
    <definedName name="FK_MunicipalitiesTitle_I14_3">FylkeKommune!$O$4</definedName>
    <definedName name="FK_MunicipalitiesTitle_I14_30">FylkeKommune!$O$31</definedName>
    <definedName name="FK_MunicipalitiesTitle_I14_31">FylkeKommune!$O$32</definedName>
    <definedName name="FK_MunicipalitiesTitle_I14_32">FylkeKommune!$O$33</definedName>
    <definedName name="FK_MunicipalitiesTitle_I14_33">FylkeKommune!$O$34</definedName>
    <definedName name="FK_MunicipalitiesTitle_I14_34">FylkeKommune!$O$35</definedName>
    <definedName name="FK_MunicipalitiesTitle_I14_35">FylkeKommune!$O$36</definedName>
    <definedName name="FK_MunicipalitiesTitle_I14_36">FylkeKommune!$O$37</definedName>
    <definedName name="FK_MunicipalitiesTitle_I14_37">FylkeKommune!$O$38</definedName>
    <definedName name="FK_MunicipalitiesTitle_I14_38">FylkeKommune!$O$39</definedName>
    <definedName name="FK_MunicipalitiesTitle_I14_39">FylkeKommune!$O$40</definedName>
    <definedName name="FK_MunicipalitiesTitle_I14_4">FylkeKommune!$O$5</definedName>
    <definedName name="FK_MunicipalitiesTitle_I14_40">FylkeKommune!$O$41</definedName>
    <definedName name="FK_MunicipalitiesTitle_I14_41">FylkeKommune!$O$42</definedName>
    <definedName name="FK_MunicipalitiesTitle_I14_42">FylkeKommune!$O$43</definedName>
    <definedName name="FK_MunicipalitiesTitle_I14_43">FylkeKommune!$O$44</definedName>
    <definedName name="FK_MunicipalitiesTitle_I14_44">FylkeKommune!$O$45</definedName>
    <definedName name="FK_MunicipalitiesTitle_I14_45">FylkeKommune!$O$46</definedName>
    <definedName name="FK_MunicipalitiesTitle_I14_46">FylkeKommune!$O$47</definedName>
    <definedName name="FK_MunicipalitiesTitle_I14_47">FylkeKommune!$O$48</definedName>
    <definedName name="FK_MunicipalitiesTitle_I14_48">FylkeKommune!$O$49</definedName>
    <definedName name="FK_MunicipalitiesTitle_I14_49">FylkeKommune!$O$50</definedName>
    <definedName name="FK_MunicipalitiesTitle_I14_5">FylkeKommune!$O$6</definedName>
    <definedName name="FK_MunicipalitiesTitle_I14_50">FylkeKommune!$O$51</definedName>
    <definedName name="FK_MunicipalitiesTitle_I14_6">FylkeKommune!$O$7</definedName>
    <definedName name="FK_MunicipalitiesTitle_I14_7">FylkeKommune!$O$8</definedName>
    <definedName name="FK_MunicipalitiesTitle_I14_8">FylkeKommune!$O$9</definedName>
    <definedName name="FK_MunicipalitiesTitle_I14_9">FylkeKommune!$O$10</definedName>
    <definedName name="FK_MunicipalitiesTitle_I15_1">FylkeKommune!$P$2</definedName>
    <definedName name="FK_MunicipalitiesTitle_I15_10">FylkeKommune!$P$11</definedName>
    <definedName name="FK_MunicipalitiesTitle_I15_11">FylkeKommune!$P$12</definedName>
    <definedName name="FK_MunicipalitiesTitle_I15_12">FylkeKommune!$P$13</definedName>
    <definedName name="FK_MunicipalitiesTitle_I15_13">FylkeKommune!$P$14</definedName>
    <definedName name="FK_MunicipalitiesTitle_I15_14">FylkeKommune!$P$15</definedName>
    <definedName name="FK_MunicipalitiesTitle_I15_15">FylkeKommune!$P$16</definedName>
    <definedName name="FK_MunicipalitiesTitle_I15_16">FylkeKommune!$P$17</definedName>
    <definedName name="FK_MunicipalitiesTitle_I15_17">FylkeKommune!$P$18</definedName>
    <definedName name="FK_MunicipalitiesTitle_I15_18">FylkeKommune!$P$19</definedName>
    <definedName name="FK_MunicipalitiesTitle_I15_19">FylkeKommune!$P$20</definedName>
    <definedName name="FK_MunicipalitiesTitle_I15_2">FylkeKommune!$P$3</definedName>
    <definedName name="FK_MunicipalitiesTitle_I15_20">FylkeKommune!$P$21</definedName>
    <definedName name="FK_MunicipalitiesTitle_I15_21">FylkeKommune!$P$22</definedName>
    <definedName name="FK_MunicipalitiesTitle_I15_22">FylkeKommune!$P$23</definedName>
    <definedName name="FK_MunicipalitiesTitle_I15_23">FylkeKommune!$P$24</definedName>
    <definedName name="FK_MunicipalitiesTitle_I15_24">FylkeKommune!$P$25</definedName>
    <definedName name="FK_MunicipalitiesTitle_I15_25">FylkeKommune!$P$26</definedName>
    <definedName name="FK_MunicipalitiesTitle_I15_26">FylkeKommune!$P$27</definedName>
    <definedName name="FK_MunicipalitiesTitle_I15_27">FylkeKommune!$P$28</definedName>
    <definedName name="FK_MunicipalitiesTitle_I15_28">FylkeKommune!$P$29</definedName>
    <definedName name="FK_MunicipalitiesTitle_I15_29">FylkeKommune!$P$30</definedName>
    <definedName name="FK_MunicipalitiesTitle_I15_3">FylkeKommune!$P$4</definedName>
    <definedName name="FK_MunicipalitiesTitle_I15_30">FylkeKommune!$P$31</definedName>
    <definedName name="FK_MunicipalitiesTitle_I15_31">FylkeKommune!$P$32</definedName>
    <definedName name="FK_MunicipalitiesTitle_I15_32">FylkeKommune!$P$33</definedName>
    <definedName name="FK_MunicipalitiesTitle_I15_33">FylkeKommune!$P$34</definedName>
    <definedName name="FK_MunicipalitiesTitle_I15_34">FylkeKommune!$P$35</definedName>
    <definedName name="FK_MunicipalitiesTitle_I15_35">FylkeKommune!$P$36</definedName>
    <definedName name="FK_MunicipalitiesTitle_I15_36">FylkeKommune!$P$37</definedName>
    <definedName name="FK_MunicipalitiesTitle_I15_37">FylkeKommune!$P$38</definedName>
    <definedName name="FK_MunicipalitiesTitle_I15_38">FylkeKommune!$P$39</definedName>
    <definedName name="FK_MunicipalitiesTitle_I15_39">FylkeKommune!$P$40</definedName>
    <definedName name="FK_MunicipalitiesTitle_I15_4">FylkeKommune!$P$5</definedName>
    <definedName name="FK_MunicipalitiesTitle_I15_40">FylkeKommune!$P$41</definedName>
    <definedName name="FK_MunicipalitiesTitle_I15_41">FylkeKommune!$P$42</definedName>
    <definedName name="FK_MunicipalitiesTitle_I15_42">FylkeKommune!$P$43</definedName>
    <definedName name="FK_MunicipalitiesTitle_I15_43">FylkeKommune!$P$44</definedName>
    <definedName name="FK_MunicipalitiesTitle_I15_44">FylkeKommune!$P$45</definedName>
    <definedName name="FK_MunicipalitiesTitle_I15_45">FylkeKommune!$P$46</definedName>
    <definedName name="FK_MunicipalitiesTitle_I15_46">FylkeKommune!$P$47</definedName>
    <definedName name="FK_MunicipalitiesTitle_I15_47">FylkeKommune!$P$48</definedName>
    <definedName name="FK_MunicipalitiesTitle_I15_48">FylkeKommune!$P$49</definedName>
    <definedName name="FK_MunicipalitiesTitle_I15_49">FylkeKommune!$P$50</definedName>
    <definedName name="FK_MunicipalitiesTitle_I15_5">FylkeKommune!$P$6</definedName>
    <definedName name="FK_MunicipalitiesTitle_I15_50">FylkeKommune!$P$51</definedName>
    <definedName name="FK_MunicipalitiesTitle_I15_6">FylkeKommune!$P$7</definedName>
    <definedName name="FK_MunicipalitiesTitle_I15_7">FylkeKommune!$P$8</definedName>
    <definedName name="FK_MunicipalitiesTitle_I15_8">FylkeKommune!$P$9</definedName>
    <definedName name="FK_MunicipalitiesTitle_I15_9">FylkeKommune!$P$10</definedName>
    <definedName name="FK_MunicipalitiesTitle_I16_1">FylkeKommune!$Q$2</definedName>
    <definedName name="FK_MunicipalitiesTitle_I16_10">FylkeKommune!$Q$11</definedName>
    <definedName name="FK_MunicipalitiesTitle_I16_11">FylkeKommune!$Q$12</definedName>
    <definedName name="FK_MunicipalitiesTitle_I16_12">FylkeKommune!$Q$13</definedName>
    <definedName name="FK_MunicipalitiesTitle_I16_13">FylkeKommune!$Q$14</definedName>
    <definedName name="FK_MunicipalitiesTitle_I16_14">FylkeKommune!$Q$15</definedName>
    <definedName name="FK_MunicipalitiesTitle_I16_15">FylkeKommune!$Q$16</definedName>
    <definedName name="FK_MunicipalitiesTitle_I16_16">FylkeKommune!$Q$17</definedName>
    <definedName name="FK_MunicipalitiesTitle_I16_17">FylkeKommune!$Q$18</definedName>
    <definedName name="FK_MunicipalitiesTitle_I16_18">FylkeKommune!$Q$19</definedName>
    <definedName name="FK_MunicipalitiesTitle_I16_19">FylkeKommune!$Q$20</definedName>
    <definedName name="FK_MunicipalitiesTitle_I16_2">FylkeKommune!$Q$3</definedName>
    <definedName name="FK_MunicipalitiesTitle_I16_20">FylkeKommune!$Q$21</definedName>
    <definedName name="FK_MunicipalitiesTitle_I16_21">FylkeKommune!$Q$22</definedName>
    <definedName name="FK_MunicipalitiesTitle_I16_22">FylkeKommune!$Q$23</definedName>
    <definedName name="FK_MunicipalitiesTitle_I16_23">FylkeKommune!$Q$24</definedName>
    <definedName name="FK_MunicipalitiesTitle_I16_24">FylkeKommune!$Q$25</definedName>
    <definedName name="FK_MunicipalitiesTitle_I16_25">FylkeKommune!$Q$26</definedName>
    <definedName name="FK_MunicipalitiesTitle_I16_26">FylkeKommune!$Q$27</definedName>
    <definedName name="FK_MunicipalitiesTitle_I16_27">FylkeKommune!$Q$28</definedName>
    <definedName name="FK_MunicipalitiesTitle_I16_28">FylkeKommune!$Q$29</definedName>
    <definedName name="FK_MunicipalitiesTitle_I16_29">FylkeKommune!$Q$30</definedName>
    <definedName name="FK_MunicipalitiesTitle_I16_3">FylkeKommune!$Q$4</definedName>
    <definedName name="FK_MunicipalitiesTitle_I16_30">FylkeKommune!$Q$31</definedName>
    <definedName name="FK_MunicipalitiesTitle_I16_31">FylkeKommune!$Q$32</definedName>
    <definedName name="FK_MunicipalitiesTitle_I16_32">FylkeKommune!$Q$33</definedName>
    <definedName name="FK_MunicipalitiesTitle_I16_33">FylkeKommune!$Q$34</definedName>
    <definedName name="FK_MunicipalitiesTitle_I16_34">FylkeKommune!$Q$35</definedName>
    <definedName name="FK_MunicipalitiesTitle_I16_35">FylkeKommune!$Q$36</definedName>
    <definedName name="FK_MunicipalitiesTitle_I16_36">FylkeKommune!$Q$37</definedName>
    <definedName name="FK_MunicipalitiesTitle_I16_37">FylkeKommune!$Q$38</definedName>
    <definedName name="FK_MunicipalitiesTitle_I16_38">FylkeKommune!$Q$39</definedName>
    <definedName name="FK_MunicipalitiesTitle_I16_39">FylkeKommune!$Q$40</definedName>
    <definedName name="FK_MunicipalitiesTitle_I16_4">FylkeKommune!$Q$5</definedName>
    <definedName name="FK_MunicipalitiesTitle_I16_40">FylkeKommune!$Q$41</definedName>
    <definedName name="FK_MunicipalitiesTitle_I16_41">FylkeKommune!$Q$42</definedName>
    <definedName name="FK_MunicipalitiesTitle_I16_42">FylkeKommune!$Q$43</definedName>
    <definedName name="FK_MunicipalitiesTitle_I16_43">FylkeKommune!$Q$44</definedName>
    <definedName name="FK_MunicipalitiesTitle_I16_44">FylkeKommune!$Q$45</definedName>
    <definedName name="FK_MunicipalitiesTitle_I16_45">FylkeKommune!$Q$46</definedName>
    <definedName name="FK_MunicipalitiesTitle_I16_46">FylkeKommune!$Q$47</definedName>
    <definedName name="FK_MunicipalitiesTitle_I16_47">FylkeKommune!$Q$48</definedName>
    <definedName name="FK_MunicipalitiesTitle_I16_48">FylkeKommune!$Q$49</definedName>
    <definedName name="FK_MunicipalitiesTitle_I16_49">FylkeKommune!$Q$50</definedName>
    <definedName name="FK_MunicipalitiesTitle_I16_5">FylkeKommune!$Q$6</definedName>
    <definedName name="FK_MunicipalitiesTitle_I16_50">FylkeKommune!$Q$51</definedName>
    <definedName name="FK_MunicipalitiesTitle_I16_6">FylkeKommune!$Q$7</definedName>
    <definedName name="FK_MunicipalitiesTitle_I16_7">FylkeKommune!$Q$8</definedName>
    <definedName name="FK_MunicipalitiesTitle_I16_8">FylkeKommune!$Q$9</definedName>
    <definedName name="FK_MunicipalitiesTitle_I16_9">FylkeKommune!$Q$10</definedName>
    <definedName name="FK_MunicipalitiesTitle_I17_1">FylkeKommune!$R$2</definedName>
    <definedName name="FK_MunicipalitiesTitle_I17_10">FylkeKommune!$R$11</definedName>
    <definedName name="FK_MunicipalitiesTitle_I17_11">FylkeKommune!$R$12</definedName>
    <definedName name="FK_MunicipalitiesTitle_I17_12">FylkeKommune!$R$13</definedName>
    <definedName name="FK_MunicipalitiesTitle_I17_13">FylkeKommune!$R$14</definedName>
    <definedName name="FK_MunicipalitiesTitle_I17_14">FylkeKommune!$R$15</definedName>
    <definedName name="FK_MunicipalitiesTitle_I17_15">FylkeKommune!$R$16</definedName>
    <definedName name="FK_MunicipalitiesTitle_I17_16">FylkeKommune!$R$17</definedName>
    <definedName name="FK_MunicipalitiesTitle_I17_17">FylkeKommune!$R$18</definedName>
    <definedName name="FK_MunicipalitiesTitle_I17_18">FylkeKommune!$R$19</definedName>
    <definedName name="FK_MunicipalitiesTitle_I17_19">FylkeKommune!$R$20</definedName>
    <definedName name="FK_MunicipalitiesTitle_I17_2">FylkeKommune!$R$3</definedName>
    <definedName name="FK_MunicipalitiesTitle_I17_20">FylkeKommune!$R$21</definedName>
    <definedName name="FK_MunicipalitiesTitle_I17_21">FylkeKommune!$R$22</definedName>
    <definedName name="FK_MunicipalitiesTitle_I17_22">FylkeKommune!$R$23</definedName>
    <definedName name="FK_MunicipalitiesTitle_I17_23">FylkeKommune!$R$24</definedName>
    <definedName name="FK_MunicipalitiesTitle_I17_24">FylkeKommune!$R$25</definedName>
    <definedName name="FK_MunicipalitiesTitle_I17_25">FylkeKommune!$R$26</definedName>
    <definedName name="FK_MunicipalitiesTitle_I17_26">FylkeKommune!$R$27</definedName>
    <definedName name="FK_MunicipalitiesTitle_I17_27">FylkeKommune!$R$28</definedName>
    <definedName name="FK_MunicipalitiesTitle_I17_28">FylkeKommune!$R$29</definedName>
    <definedName name="FK_MunicipalitiesTitle_I17_29">FylkeKommune!$R$30</definedName>
    <definedName name="FK_MunicipalitiesTitle_I17_3">FylkeKommune!$R$4</definedName>
    <definedName name="FK_MunicipalitiesTitle_I17_30">FylkeKommune!$R$31</definedName>
    <definedName name="FK_MunicipalitiesTitle_I17_31">FylkeKommune!$R$32</definedName>
    <definedName name="FK_MunicipalitiesTitle_I17_32">FylkeKommune!$R$33</definedName>
    <definedName name="FK_MunicipalitiesTitle_I17_33">FylkeKommune!$R$34</definedName>
    <definedName name="FK_MunicipalitiesTitle_I17_34">FylkeKommune!$R$35</definedName>
    <definedName name="FK_MunicipalitiesTitle_I17_35">FylkeKommune!$R$36</definedName>
    <definedName name="FK_MunicipalitiesTitle_I17_36">FylkeKommune!$R$37</definedName>
    <definedName name="FK_MunicipalitiesTitle_I17_37">FylkeKommune!$R$38</definedName>
    <definedName name="FK_MunicipalitiesTitle_I17_38">FylkeKommune!$R$39</definedName>
    <definedName name="FK_MunicipalitiesTitle_I17_39">FylkeKommune!$R$40</definedName>
    <definedName name="FK_MunicipalitiesTitle_I17_4">FylkeKommune!$R$5</definedName>
    <definedName name="FK_MunicipalitiesTitle_I17_40">FylkeKommune!$R$41</definedName>
    <definedName name="FK_MunicipalitiesTitle_I17_41">FylkeKommune!$R$42</definedName>
    <definedName name="FK_MunicipalitiesTitle_I17_42">FylkeKommune!$R$43</definedName>
    <definedName name="FK_MunicipalitiesTitle_I17_43">FylkeKommune!$R$44</definedName>
    <definedName name="FK_MunicipalitiesTitle_I17_44">FylkeKommune!$R$45</definedName>
    <definedName name="FK_MunicipalitiesTitle_I17_45">FylkeKommune!$R$46</definedName>
    <definedName name="FK_MunicipalitiesTitle_I17_46">FylkeKommune!$R$47</definedName>
    <definedName name="FK_MunicipalitiesTitle_I17_47">FylkeKommune!$R$48</definedName>
    <definedName name="FK_MunicipalitiesTitle_I17_48">FylkeKommune!$R$49</definedName>
    <definedName name="FK_MunicipalitiesTitle_I17_49">FylkeKommune!$R$50</definedName>
    <definedName name="FK_MunicipalitiesTitle_I17_5">FylkeKommune!$R$6</definedName>
    <definedName name="FK_MunicipalitiesTitle_I17_50">FylkeKommune!$R$51</definedName>
    <definedName name="FK_MunicipalitiesTitle_I17_6">FylkeKommune!$R$7</definedName>
    <definedName name="FK_MunicipalitiesTitle_I17_7">FylkeKommune!$R$8</definedName>
    <definedName name="FK_MunicipalitiesTitle_I17_8">FylkeKommune!$R$9</definedName>
    <definedName name="FK_MunicipalitiesTitle_I17_9">FylkeKommune!$R$10</definedName>
    <definedName name="FK_MunicipalitiesTitle_I18_1">FylkeKommune!$S$2</definedName>
    <definedName name="FK_MunicipalitiesTitle_I18_10">FylkeKommune!$S$11</definedName>
    <definedName name="FK_MunicipalitiesTitle_I18_11">FylkeKommune!$S$12</definedName>
    <definedName name="FK_MunicipalitiesTitle_I18_12">FylkeKommune!$S$13</definedName>
    <definedName name="FK_MunicipalitiesTitle_I18_13">FylkeKommune!$S$14</definedName>
    <definedName name="FK_MunicipalitiesTitle_I18_14">FylkeKommune!$S$15</definedName>
    <definedName name="FK_MunicipalitiesTitle_I18_15">FylkeKommune!$S$16</definedName>
    <definedName name="FK_MunicipalitiesTitle_I18_16">FylkeKommune!$S$17</definedName>
    <definedName name="FK_MunicipalitiesTitle_I18_17">FylkeKommune!$S$18</definedName>
    <definedName name="FK_MunicipalitiesTitle_I18_18">FylkeKommune!$S$19</definedName>
    <definedName name="FK_MunicipalitiesTitle_I18_19">FylkeKommune!$S$20</definedName>
    <definedName name="FK_MunicipalitiesTitle_I18_2">FylkeKommune!$S$3</definedName>
    <definedName name="FK_MunicipalitiesTitle_I18_20">FylkeKommune!$S$21</definedName>
    <definedName name="FK_MunicipalitiesTitle_I18_21">FylkeKommune!$S$22</definedName>
    <definedName name="FK_MunicipalitiesTitle_I18_22">FylkeKommune!$S$23</definedName>
    <definedName name="FK_MunicipalitiesTitle_I18_23">FylkeKommune!$S$24</definedName>
    <definedName name="FK_MunicipalitiesTitle_I18_24">FylkeKommune!$S$25</definedName>
    <definedName name="FK_MunicipalitiesTitle_I18_25">FylkeKommune!$S$26</definedName>
    <definedName name="FK_MunicipalitiesTitle_I18_26">FylkeKommune!$S$27</definedName>
    <definedName name="FK_MunicipalitiesTitle_I18_27">FylkeKommune!$S$28</definedName>
    <definedName name="FK_MunicipalitiesTitle_I18_28">FylkeKommune!$S$29</definedName>
    <definedName name="FK_MunicipalitiesTitle_I18_29">FylkeKommune!$S$30</definedName>
    <definedName name="FK_MunicipalitiesTitle_I18_3">FylkeKommune!$S$4</definedName>
    <definedName name="FK_MunicipalitiesTitle_I18_30">FylkeKommune!$S$31</definedName>
    <definedName name="FK_MunicipalitiesTitle_I18_31">FylkeKommune!$S$32</definedName>
    <definedName name="FK_MunicipalitiesTitle_I18_32">FylkeKommune!$S$33</definedName>
    <definedName name="FK_MunicipalitiesTitle_I18_33">FylkeKommune!$S$34</definedName>
    <definedName name="FK_MunicipalitiesTitle_I18_34">FylkeKommune!$S$35</definedName>
    <definedName name="FK_MunicipalitiesTitle_I18_35">FylkeKommune!$S$36</definedName>
    <definedName name="FK_MunicipalitiesTitle_I18_36">FylkeKommune!$S$37</definedName>
    <definedName name="FK_MunicipalitiesTitle_I18_37">FylkeKommune!$S$38</definedName>
    <definedName name="FK_MunicipalitiesTitle_I18_38">FylkeKommune!$S$39</definedName>
    <definedName name="FK_MunicipalitiesTitle_I18_39">FylkeKommune!$S$40</definedName>
    <definedName name="FK_MunicipalitiesTitle_I18_4">FylkeKommune!$S$5</definedName>
    <definedName name="FK_MunicipalitiesTitle_I18_40">FylkeKommune!$S$41</definedName>
    <definedName name="FK_MunicipalitiesTitle_I18_41">FylkeKommune!$S$42</definedName>
    <definedName name="FK_MunicipalitiesTitle_I18_42">FylkeKommune!$S$43</definedName>
    <definedName name="FK_MunicipalitiesTitle_I18_43">FylkeKommune!$S$44</definedName>
    <definedName name="FK_MunicipalitiesTitle_I18_44">FylkeKommune!$S$45</definedName>
    <definedName name="FK_MunicipalitiesTitle_I18_45">FylkeKommune!$S$46</definedName>
    <definedName name="FK_MunicipalitiesTitle_I18_46">FylkeKommune!$S$47</definedName>
    <definedName name="FK_MunicipalitiesTitle_I18_47">FylkeKommune!$S$48</definedName>
    <definedName name="FK_MunicipalitiesTitle_I18_48">FylkeKommune!$S$49</definedName>
    <definedName name="FK_MunicipalitiesTitle_I18_49">FylkeKommune!$S$50</definedName>
    <definedName name="FK_MunicipalitiesTitle_I18_5">FylkeKommune!$S$6</definedName>
    <definedName name="FK_MunicipalitiesTitle_I18_50">FylkeKommune!$S$51</definedName>
    <definedName name="FK_MunicipalitiesTitle_I18_6">FylkeKommune!$S$7</definedName>
    <definedName name="FK_MunicipalitiesTitle_I18_7">FylkeKommune!$S$8</definedName>
    <definedName name="FK_MunicipalitiesTitle_I18_8">FylkeKommune!$S$9</definedName>
    <definedName name="FK_MunicipalitiesTitle_I18_9">FylkeKommune!$S$10</definedName>
    <definedName name="FK_MunicipalitiesTitle_I19_1">FylkeKommune!$T$2</definedName>
    <definedName name="FK_MunicipalitiesTitle_I19_10">FylkeKommune!$T$11</definedName>
    <definedName name="FK_MunicipalitiesTitle_I19_11">FylkeKommune!$T$12</definedName>
    <definedName name="FK_MunicipalitiesTitle_I19_12">FylkeKommune!$T$13</definedName>
    <definedName name="FK_MunicipalitiesTitle_I19_13">FylkeKommune!$T$14</definedName>
    <definedName name="FK_MunicipalitiesTitle_I19_14">FylkeKommune!$T$15</definedName>
    <definedName name="FK_MunicipalitiesTitle_I19_15">FylkeKommune!$T$16</definedName>
    <definedName name="FK_MunicipalitiesTitle_I19_16">FylkeKommune!$T$17</definedName>
    <definedName name="FK_MunicipalitiesTitle_I19_17">FylkeKommune!$T$18</definedName>
    <definedName name="FK_MunicipalitiesTitle_I19_18">FylkeKommune!$T$19</definedName>
    <definedName name="FK_MunicipalitiesTitle_I19_19">FylkeKommune!$T$20</definedName>
    <definedName name="FK_MunicipalitiesTitle_I19_2">FylkeKommune!$T$3</definedName>
    <definedName name="FK_MunicipalitiesTitle_I19_20">FylkeKommune!$T$21</definedName>
    <definedName name="FK_MunicipalitiesTitle_I19_21">FylkeKommune!$T$22</definedName>
    <definedName name="FK_MunicipalitiesTitle_I19_22">FylkeKommune!$T$23</definedName>
    <definedName name="FK_MunicipalitiesTitle_I19_23">FylkeKommune!$T$24</definedName>
    <definedName name="FK_MunicipalitiesTitle_I19_24">FylkeKommune!$T$25</definedName>
    <definedName name="FK_MunicipalitiesTitle_I19_25">FylkeKommune!$T$26</definedName>
    <definedName name="FK_MunicipalitiesTitle_I19_26">FylkeKommune!$T$27</definedName>
    <definedName name="FK_MunicipalitiesTitle_I19_27">FylkeKommune!$T$28</definedName>
    <definedName name="FK_MunicipalitiesTitle_I19_28">FylkeKommune!$T$29</definedName>
    <definedName name="FK_MunicipalitiesTitle_I19_29">FylkeKommune!$T$30</definedName>
    <definedName name="FK_MunicipalitiesTitle_I19_3">FylkeKommune!$T$4</definedName>
    <definedName name="FK_MunicipalitiesTitle_I19_30">FylkeKommune!$T$31</definedName>
    <definedName name="FK_MunicipalitiesTitle_I19_31">FylkeKommune!$T$32</definedName>
    <definedName name="FK_MunicipalitiesTitle_I19_32">FylkeKommune!$T$33</definedName>
    <definedName name="FK_MunicipalitiesTitle_I19_33">FylkeKommune!$T$34</definedName>
    <definedName name="FK_MunicipalitiesTitle_I19_34">FylkeKommune!$T$35</definedName>
    <definedName name="FK_MunicipalitiesTitle_I19_35">FylkeKommune!$T$36</definedName>
    <definedName name="FK_MunicipalitiesTitle_I19_36">FylkeKommune!$T$37</definedName>
    <definedName name="FK_MunicipalitiesTitle_I19_37">FylkeKommune!$T$38</definedName>
    <definedName name="FK_MunicipalitiesTitle_I19_38">FylkeKommune!$T$39</definedName>
    <definedName name="FK_MunicipalitiesTitle_I19_39">FylkeKommune!$T$40</definedName>
    <definedName name="FK_MunicipalitiesTitle_I19_4">FylkeKommune!$T$5</definedName>
    <definedName name="FK_MunicipalitiesTitle_I19_40">FylkeKommune!$T$41</definedName>
    <definedName name="FK_MunicipalitiesTitle_I19_41">FylkeKommune!$T$42</definedName>
    <definedName name="FK_MunicipalitiesTitle_I19_42">FylkeKommune!$T$43</definedName>
    <definedName name="FK_MunicipalitiesTitle_I19_43">FylkeKommune!$T$44</definedName>
    <definedName name="FK_MunicipalitiesTitle_I19_44">FylkeKommune!$T$45</definedName>
    <definedName name="FK_MunicipalitiesTitle_I19_45">FylkeKommune!$T$46</definedName>
    <definedName name="FK_MunicipalitiesTitle_I19_46">FylkeKommune!$T$47</definedName>
    <definedName name="FK_MunicipalitiesTitle_I19_47">FylkeKommune!$T$48</definedName>
    <definedName name="FK_MunicipalitiesTitle_I19_48">FylkeKommune!$T$49</definedName>
    <definedName name="FK_MunicipalitiesTitle_I19_49">FylkeKommune!$T$50</definedName>
    <definedName name="FK_MunicipalitiesTitle_I19_5">FylkeKommune!$T$6</definedName>
    <definedName name="FK_MunicipalitiesTitle_I19_50">FylkeKommune!$T$51</definedName>
    <definedName name="FK_MunicipalitiesTitle_I19_6">FylkeKommune!$T$7</definedName>
    <definedName name="FK_MunicipalitiesTitle_I19_7">FylkeKommune!$T$8</definedName>
    <definedName name="FK_MunicipalitiesTitle_I19_8">FylkeKommune!$T$9</definedName>
    <definedName name="FK_MunicipalitiesTitle_I19_9">FylkeKommune!$T$10</definedName>
    <definedName name="FK_MunicipalitiesTitle_I2_1">FylkeKommune!$C$2</definedName>
    <definedName name="FK_MunicipalitiesTitle_I2_10">FylkeKommune!$C$11</definedName>
    <definedName name="FK_MunicipalitiesTitle_I2_11">FylkeKommune!$C$12</definedName>
    <definedName name="FK_MunicipalitiesTitle_I2_12">FylkeKommune!$C$13</definedName>
    <definedName name="FK_MunicipalitiesTitle_I2_13">FylkeKommune!$C$14</definedName>
    <definedName name="FK_MunicipalitiesTitle_I2_14">FylkeKommune!$C$15</definedName>
    <definedName name="FK_MunicipalitiesTitle_I2_15">FylkeKommune!$C$16</definedName>
    <definedName name="FK_MunicipalitiesTitle_I2_16">FylkeKommune!$C$17</definedName>
    <definedName name="FK_MunicipalitiesTitle_I2_17">FylkeKommune!$C$18</definedName>
    <definedName name="FK_MunicipalitiesTitle_I2_18">FylkeKommune!$C$19</definedName>
    <definedName name="FK_MunicipalitiesTitle_I2_19">FylkeKommune!$C$20</definedName>
    <definedName name="FK_MunicipalitiesTitle_I2_2">FylkeKommune!$C$3</definedName>
    <definedName name="FK_MunicipalitiesTitle_I2_20">FylkeKommune!$C$21</definedName>
    <definedName name="FK_MunicipalitiesTitle_I2_21">FylkeKommune!$C$22</definedName>
    <definedName name="FK_MunicipalitiesTitle_I2_22">FylkeKommune!$C$23</definedName>
    <definedName name="FK_MunicipalitiesTitle_I2_23">FylkeKommune!$C$24</definedName>
    <definedName name="FK_MunicipalitiesTitle_I2_24">FylkeKommune!$C$25</definedName>
    <definedName name="FK_MunicipalitiesTitle_I2_25">FylkeKommune!$C$26</definedName>
    <definedName name="FK_MunicipalitiesTitle_I2_26">FylkeKommune!$C$27</definedName>
    <definedName name="FK_MunicipalitiesTitle_I2_27">FylkeKommune!$C$28</definedName>
    <definedName name="FK_MunicipalitiesTitle_I2_28">FylkeKommune!$C$29</definedName>
    <definedName name="FK_MunicipalitiesTitle_I2_29">FylkeKommune!$C$30</definedName>
    <definedName name="FK_MunicipalitiesTitle_I2_3">FylkeKommune!$C$4</definedName>
    <definedName name="FK_MunicipalitiesTitle_I2_30">FylkeKommune!$C$31</definedName>
    <definedName name="FK_MunicipalitiesTitle_I2_31">FylkeKommune!$C$32</definedName>
    <definedName name="FK_MunicipalitiesTitle_I2_32">FylkeKommune!$C$33</definedName>
    <definedName name="FK_MunicipalitiesTitle_I2_33">FylkeKommune!$C$34</definedName>
    <definedName name="FK_MunicipalitiesTitle_I2_34">FylkeKommune!$C$35</definedName>
    <definedName name="FK_MunicipalitiesTitle_I2_35">FylkeKommune!$C$36</definedName>
    <definedName name="FK_MunicipalitiesTitle_I2_36">FylkeKommune!$C$37</definedName>
    <definedName name="FK_MunicipalitiesTitle_I2_37">FylkeKommune!$C$38</definedName>
    <definedName name="FK_MunicipalitiesTitle_I2_38">FylkeKommune!$C$39</definedName>
    <definedName name="FK_MunicipalitiesTitle_I2_39">FylkeKommune!$C$40</definedName>
    <definedName name="FK_MunicipalitiesTitle_I2_4">FylkeKommune!$C$5</definedName>
    <definedName name="FK_MunicipalitiesTitle_I2_40">FylkeKommune!$C$41</definedName>
    <definedName name="FK_MunicipalitiesTitle_I2_41">FylkeKommune!$C$42</definedName>
    <definedName name="FK_MunicipalitiesTitle_I2_42">FylkeKommune!$C$43</definedName>
    <definedName name="FK_MunicipalitiesTitle_I2_43">FylkeKommune!$C$44</definedName>
    <definedName name="FK_MunicipalitiesTitle_I2_44">FylkeKommune!$C$45</definedName>
    <definedName name="FK_MunicipalitiesTitle_I2_45">FylkeKommune!$C$46</definedName>
    <definedName name="FK_MunicipalitiesTitle_I2_46">FylkeKommune!$C$47</definedName>
    <definedName name="FK_MunicipalitiesTitle_I2_47">FylkeKommune!$C$48</definedName>
    <definedName name="FK_MunicipalitiesTitle_I2_48">FylkeKommune!$C$49</definedName>
    <definedName name="FK_MunicipalitiesTitle_I2_49">FylkeKommune!$C$50</definedName>
    <definedName name="FK_MunicipalitiesTitle_I2_5">FylkeKommune!$C$6</definedName>
    <definedName name="FK_MunicipalitiesTitle_I2_50">FylkeKommune!$C$51</definedName>
    <definedName name="FK_MunicipalitiesTitle_I2_6">FylkeKommune!$C$7</definedName>
    <definedName name="FK_MunicipalitiesTitle_I2_7">FylkeKommune!$C$8</definedName>
    <definedName name="FK_MunicipalitiesTitle_I2_8">FylkeKommune!$C$9</definedName>
    <definedName name="FK_MunicipalitiesTitle_I2_9">FylkeKommune!$C$10</definedName>
    <definedName name="FK_MunicipalitiesTitle_I20_1">FylkeKommune!$U$2</definedName>
    <definedName name="FK_MunicipalitiesTitle_I20_10">FylkeKommune!$U$11</definedName>
    <definedName name="FK_MunicipalitiesTitle_I20_11">FylkeKommune!$U$12</definedName>
    <definedName name="FK_MunicipalitiesTitle_I20_12">FylkeKommune!$U$13</definedName>
    <definedName name="FK_MunicipalitiesTitle_I20_13">FylkeKommune!$U$14</definedName>
    <definedName name="FK_MunicipalitiesTitle_I20_14">FylkeKommune!$U$15</definedName>
    <definedName name="FK_MunicipalitiesTitle_I20_15">FylkeKommune!$U$16</definedName>
    <definedName name="FK_MunicipalitiesTitle_I20_16">FylkeKommune!$U$17</definedName>
    <definedName name="FK_MunicipalitiesTitle_I20_17">FylkeKommune!$U$18</definedName>
    <definedName name="FK_MunicipalitiesTitle_I20_18">FylkeKommune!$U$19</definedName>
    <definedName name="FK_MunicipalitiesTitle_I20_19">FylkeKommune!$U$20</definedName>
    <definedName name="FK_MunicipalitiesTitle_I20_2">FylkeKommune!$U$3</definedName>
    <definedName name="FK_MunicipalitiesTitle_I20_20">FylkeKommune!$U$21</definedName>
    <definedName name="FK_MunicipalitiesTitle_I20_21">FylkeKommune!$U$22</definedName>
    <definedName name="FK_MunicipalitiesTitle_I20_22">FylkeKommune!$U$23</definedName>
    <definedName name="FK_MunicipalitiesTitle_I20_23">FylkeKommune!$U$24</definedName>
    <definedName name="FK_MunicipalitiesTitle_I20_24">FylkeKommune!$U$25</definedName>
    <definedName name="FK_MunicipalitiesTitle_I20_25">FylkeKommune!$U$26</definedName>
    <definedName name="FK_MunicipalitiesTitle_I20_26">FylkeKommune!$U$27</definedName>
    <definedName name="FK_MunicipalitiesTitle_I20_27">FylkeKommune!$U$28</definedName>
    <definedName name="FK_MunicipalitiesTitle_I20_28">FylkeKommune!$U$29</definedName>
    <definedName name="FK_MunicipalitiesTitle_I20_29">FylkeKommune!$U$30</definedName>
    <definedName name="FK_MunicipalitiesTitle_I20_3">FylkeKommune!$U$4</definedName>
    <definedName name="FK_MunicipalitiesTitle_I20_30">FylkeKommune!$U$31</definedName>
    <definedName name="FK_MunicipalitiesTitle_I20_31">FylkeKommune!$U$32</definedName>
    <definedName name="FK_MunicipalitiesTitle_I20_32">FylkeKommune!$U$33</definedName>
    <definedName name="FK_MunicipalitiesTitle_I20_33">FylkeKommune!$U$34</definedName>
    <definedName name="FK_MunicipalitiesTitle_I20_34">FylkeKommune!$U$35</definedName>
    <definedName name="FK_MunicipalitiesTitle_I20_35">FylkeKommune!$U$36</definedName>
    <definedName name="FK_MunicipalitiesTitle_I20_36">FylkeKommune!$U$37</definedName>
    <definedName name="FK_MunicipalitiesTitle_I20_37">FylkeKommune!$U$38</definedName>
    <definedName name="FK_MunicipalitiesTitle_I20_38">FylkeKommune!$U$39</definedName>
    <definedName name="FK_MunicipalitiesTitle_I20_39">FylkeKommune!$U$40</definedName>
    <definedName name="FK_MunicipalitiesTitle_I20_4">FylkeKommune!$U$5</definedName>
    <definedName name="FK_MunicipalitiesTitle_I20_40">FylkeKommune!$U$41</definedName>
    <definedName name="FK_MunicipalitiesTitle_I20_41">FylkeKommune!$U$42</definedName>
    <definedName name="FK_MunicipalitiesTitle_I20_42">FylkeKommune!$U$43</definedName>
    <definedName name="FK_MunicipalitiesTitle_I20_43">FylkeKommune!$U$44</definedName>
    <definedName name="FK_MunicipalitiesTitle_I20_44">FylkeKommune!$U$45</definedName>
    <definedName name="FK_MunicipalitiesTitle_I20_45">FylkeKommune!$U$46</definedName>
    <definedName name="FK_MunicipalitiesTitle_I20_46">FylkeKommune!$U$47</definedName>
    <definedName name="FK_MunicipalitiesTitle_I20_47">FylkeKommune!$U$48</definedName>
    <definedName name="FK_MunicipalitiesTitle_I20_48">FylkeKommune!$U$49</definedName>
    <definedName name="FK_MunicipalitiesTitle_I20_49">FylkeKommune!$U$50</definedName>
    <definedName name="FK_MunicipalitiesTitle_I20_5">FylkeKommune!$U$6</definedName>
    <definedName name="FK_MunicipalitiesTitle_I20_50">FylkeKommune!$U$51</definedName>
    <definedName name="FK_MunicipalitiesTitle_I20_6">FylkeKommune!$U$7</definedName>
    <definedName name="FK_MunicipalitiesTitle_I20_7">FylkeKommune!$U$8</definedName>
    <definedName name="FK_MunicipalitiesTitle_I20_8">FylkeKommune!$U$9</definedName>
    <definedName name="FK_MunicipalitiesTitle_I20_9">FylkeKommune!$U$10</definedName>
    <definedName name="FK_MunicipalitiesTitle_I21_1">FylkeKommune!$V$2</definedName>
    <definedName name="FK_MunicipalitiesTitle_I21_10">FylkeKommune!$V$11</definedName>
    <definedName name="FK_MunicipalitiesTitle_I21_11">FylkeKommune!$V$12</definedName>
    <definedName name="FK_MunicipalitiesTitle_I21_12">FylkeKommune!$V$13</definedName>
    <definedName name="FK_MunicipalitiesTitle_I21_13">FylkeKommune!$V$14</definedName>
    <definedName name="FK_MunicipalitiesTitle_I21_14">FylkeKommune!$V$15</definedName>
    <definedName name="FK_MunicipalitiesTitle_I21_15">FylkeKommune!$V$16</definedName>
    <definedName name="FK_MunicipalitiesTitle_I21_16">FylkeKommune!$V$17</definedName>
    <definedName name="FK_MunicipalitiesTitle_I21_17">FylkeKommune!$V$18</definedName>
    <definedName name="FK_MunicipalitiesTitle_I21_18">FylkeKommune!$V$19</definedName>
    <definedName name="FK_MunicipalitiesTitle_I21_19">FylkeKommune!$V$20</definedName>
    <definedName name="FK_MunicipalitiesTitle_I21_2">FylkeKommune!$V$3</definedName>
    <definedName name="FK_MunicipalitiesTitle_I21_20">FylkeKommune!$V$21</definedName>
    <definedName name="FK_MunicipalitiesTitle_I21_21">FylkeKommune!$V$22</definedName>
    <definedName name="FK_MunicipalitiesTitle_I21_22">FylkeKommune!$V$23</definedName>
    <definedName name="FK_MunicipalitiesTitle_I21_23">FylkeKommune!$V$24</definedName>
    <definedName name="FK_MunicipalitiesTitle_I21_24">FylkeKommune!$V$25</definedName>
    <definedName name="FK_MunicipalitiesTitle_I21_25">FylkeKommune!$V$26</definedName>
    <definedName name="FK_MunicipalitiesTitle_I21_26">FylkeKommune!$V$27</definedName>
    <definedName name="FK_MunicipalitiesTitle_I21_27">FylkeKommune!$V$28</definedName>
    <definedName name="FK_MunicipalitiesTitle_I21_28">FylkeKommune!$V$29</definedName>
    <definedName name="FK_MunicipalitiesTitle_I21_29">FylkeKommune!$V$30</definedName>
    <definedName name="FK_MunicipalitiesTitle_I21_3">FylkeKommune!$V$4</definedName>
    <definedName name="FK_MunicipalitiesTitle_I21_30">FylkeKommune!$V$31</definedName>
    <definedName name="FK_MunicipalitiesTitle_I21_31">FylkeKommune!$V$32</definedName>
    <definedName name="FK_MunicipalitiesTitle_I21_32">FylkeKommune!$V$33</definedName>
    <definedName name="FK_MunicipalitiesTitle_I21_33">FylkeKommune!$V$34</definedName>
    <definedName name="FK_MunicipalitiesTitle_I21_34">FylkeKommune!$V$35</definedName>
    <definedName name="FK_MunicipalitiesTitle_I21_35">FylkeKommune!$V$36</definedName>
    <definedName name="FK_MunicipalitiesTitle_I21_36">FylkeKommune!$V$37</definedName>
    <definedName name="FK_MunicipalitiesTitle_I21_37">FylkeKommune!$V$38</definedName>
    <definedName name="FK_MunicipalitiesTitle_I21_38">FylkeKommune!$V$39</definedName>
    <definedName name="FK_MunicipalitiesTitle_I21_39">FylkeKommune!$V$40</definedName>
    <definedName name="FK_MunicipalitiesTitle_I21_4">FylkeKommune!$V$5</definedName>
    <definedName name="FK_MunicipalitiesTitle_I21_40">FylkeKommune!$V$41</definedName>
    <definedName name="FK_MunicipalitiesTitle_I21_41">FylkeKommune!$V$42</definedName>
    <definedName name="FK_MunicipalitiesTitle_I21_42">FylkeKommune!$V$43</definedName>
    <definedName name="FK_MunicipalitiesTitle_I21_43">FylkeKommune!$V$44</definedName>
    <definedName name="FK_MunicipalitiesTitle_I21_44">FylkeKommune!$V$45</definedName>
    <definedName name="FK_MunicipalitiesTitle_I21_45">FylkeKommune!$V$46</definedName>
    <definedName name="FK_MunicipalitiesTitle_I21_46">FylkeKommune!$V$47</definedName>
    <definedName name="FK_MunicipalitiesTitle_I21_47">FylkeKommune!$V$48</definedName>
    <definedName name="FK_MunicipalitiesTitle_I21_48">FylkeKommune!$V$49</definedName>
    <definedName name="FK_MunicipalitiesTitle_I21_49">FylkeKommune!$V$50</definedName>
    <definedName name="FK_MunicipalitiesTitle_I21_5">FylkeKommune!$V$6</definedName>
    <definedName name="FK_MunicipalitiesTitle_I21_50">FylkeKommune!$V$51</definedName>
    <definedName name="FK_MunicipalitiesTitle_I21_6">FylkeKommune!$V$7</definedName>
    <definedName name="FK_MunicipalitiesTitle_I21_7">FylkeKommune!$V$8</definedName>
    <definedName name="FK_MunicipalitiesTitle_I21_8">FylkeKommune!$V$9</definedName>
    <definedName name="FK_MunicipalitiesTitle_I21_9">FylkeKommune!$V$10</definedName>
    <definedName name="FK_MunicipalitiesTitle_I22_1">FylkeKommune!$W$2</definedName>
    <definedName name="FK_MunicipalitiesTitle_I22_10">FylkeKommune!$W$11</definedName>
    <definedName name="FK_MunicipalitiesTitle_I22_11">FylkeKommune!$W$12</definedName>
    <definedName name="FK_MunicipalitiesTitle_I22_12">FylkeKommune!$W$13</definedName>
    <definedName name="FK_MunicipalitiesTitle_I22_13">FylkeKommune!$W$14</definedName>
    <definedName name="FK_MunicipalitiesTitle_I22_14">FylkeKommune!$W$15</definedName>
    <definedName name="FK_MunicipalitiesTitle_I22_15">FylkeKommune!$W$16</definedName>
    <definedName name="FK_MunicipalitiesTitle_I22_16">FylkeKommune!$W$17</definedName>
    <definedName name="FK_MunicipalitiesTitle_I22_17">FylkeKommune!$W$18</definedName>
    <definedName name="FK_MunicipalitiesTitle_I22_18">FylkeKommune!$W$19</definedName>
    <definedName name="FK_MunicipalitiesTitle_I22_19">FylkeKommune!$W$20</definedName>
    <definedName name="FK_MunicipalitiesTitle_I22_2">FylkeKommune!$W$3</definedName>
    <definedName name="FK_MunicipalitiesTitle_I22_20">FylkeKommune!$W$21</definedName>
    <definedName name="FK_MunicipalitiesTitle_I22_21">FylkeKommune!$W$22</definedName>
    <definedName name="FK_MunicipalitiesTitle_I22_22">FylkeKommune!$W$23</definedName>
    <definedName name="FK_MunicipalitiesTitle_I22_23">FylkeKommune!$W$24</definedName>
    <definedName name="FK_MunicipalitiesTitle_I22_24">FylkeKommune!$W$25</definedName>
    <definedName name="FK_MunicipalitiesTitle_I22_25">FylkeKommune!$W$26</definedName>
    <definedName name="FK_MunicipalitiesTitle_I22_26">FylkeKommune!$W$27</definedName>
    <definedName name="FK_MunicipalitiesTitle_I22_27">FylkeKommune!$W$28</definedName>
    <definedName name="FK_MunicipalitiesTitle_I22_28">FylkeKommune!$W$29</definedName>
    <definedName name="FK_MunicipalitiesTitle_I22_29">FylkeKommune!$W$30</definedName>
    <definedName name="FK_MunicipalitiesTitle_I22_3">FylkeKommune!$W$4</definedName>
    <definedName name="FK_MunicipalitiesTitle_I22_30">FylkeKommune!$W$31</definedName>
    <definedName name="FK_MunicipalitiesTitle_I22_31">FylkeKommune!$W$32</definedName>
    <definedName name="FK_MunicipalitiesTitle_I22_32">FylkeKommune!$W$33</definedName>
    <definedName name="FK_MunicipalitiesTitle_I22_33">FylkeKommune!$W$34</definedName>
    <definedName name="FK_MunicipalitiesTitle_I22_34">FylkeKommune!$W$35</definedName>
    <definedName name="FK_MunicipalitiesTitle_I22_35">FylkeKommune!$W$36</definedName>
    <definedName name="FK_MunicipalitiesTitle_I22_36">FylkeKommune!$W$37</definedName>
    <definedName name="FK_MunicipalitiesTitle_I22_37">FylkeKommune!$W$38</definedName>
    <definedName name="FK_MunicipalitiesTitle_I22_38">FylkeKommune!$W$39</definedName>
    <definedName name="FK_MunicipalitiesTitle_I22_39">FylkeKommune!$W$40</definedName>
    <definedName name="FK_MunicipalitiesTitle_I22_4">FylkeKommune!$W$5</definedName>
    <definedName name="FK_MunicipalitiesTitle_I22_40">FylkeKommune!$W$41</definedName>
    <definedName name="FK_MunicipalitiesTitle_I22_41">FylkeKommune!$W$42</definedName>
    <definedName name="FK_MunicipalitiesTitle_I22_42">FylkeKommune!$W$43</definedName>
    <definedName name="FK_MunicipalitiesTitle_I22_43">FylkeKommune!$W$44</definedName>
    <definedName name="FK_MunicipalitiesTitle_I22_44">FylkeKommune!$W$45</definedName>
    <definedName name="FK_MunicipalitiesTitle_I22_45">FylkeKommune!$W$46</definedName>
    <definedName name="FK_MunicipalitiesTitle_I22_46">FylkeKommune!$W$47</definedName>
    <definedName name="FK_MunicipalitiesTitle_I22_47">FylkeKommune!$W$48</definedName>
    <definedName name="FK_MunicipalitiesTitle_I22_48">FylkeKommune!$W$49</definedName>
    <definedName name="FK_MunicipalitiesTitle_I22_49">FylkeKommune!$W$50</definedName>
    <definedName name="FK_MunicipalitiesTitle_I22_5">FylkeKommune!$W$6</definedName>
    <definedName name="FK_MunicipalitiesTitle_I22_50">FylkeKommune!$W$51</definedName>
    <definedName name="FK_MunicipalitiesTitle_I22_6">FylkeKommune!$W$7</definedName>
    <definedName name="FK_MunicipalitiesTitle_I22_7">FylkeKommune!$W$8</definedName>
    <definedName name="FK_MunicipalitiesTitle_I22_8">FylkeKommune!$W$9</definedName>
    <definedName name="FK_MunicipalitiesTitle_I22_9">FylkeKommune!$W$10</definedName>
    <definedName name="FK_MunicipalitiesTitle_I3_1">FylkeKommune!$D$2</definedName>
    <definedName name="FK_MunicipalitiesTitle_I3_10">FylkeKommune!$D$11</definedName>
    <definedName name="FK_MunicipalitiesTitle_I3_11">FylkeKommune!$D$12</definedName>
    <definedName name="FK_MunicipalitiesTitle_I3_12">FylkeKommune!$D$13</definedName>
    <definedName name="FK_MunicipalitiesTitle_I3_13">FylkeKommune!$D$14</definedName>
    <definedName name="FK_MunicipalitiesTitle_I3_14">FylkeKommune!$D$15</definedName>
    <definedName name="FK_MunicipalitiesTitle_I3_15">FylkeKommune!$D$16</definedName>
    <definedName name="FK_MunicipalitiesTitle_I3_16">FylkeKommune!$D$17</definedName>
    <definedName name="FK_MunicipalitiesTitle_I3_17">FylkeKommune!$D$18</definedName>
    <definedName name="FK_MunicipalitiesTitle_I3_18">FylkeKommune!$D$19</definedName>
    <definedName name="FK_MunicipalitiesTitle_I3_19">FylkeKommune!$D$20</definedName>
    <definedName name="FK_MunicipalitiesTitle_I3_2">FylkeKommune!$D$3</definedName>
    <definedName name="FK_MunicipalitiesTitle_I3_20">FylkeKommune!$D$21</definedName>
    <definedName name="FK_MunicipalitiesTitle_I3_21">FylkeKommune!$D$22</definedName>
    <definedName name="FK_MunicipalitiesTitle_I3_22">FylkeKommune!$D$23</definedName>
    <definedName name="FK_MunicipalitiesTitle_I3_23">FylkeKommune!$D$24</definedName>
    <definedName name="FK_MunicipalitiesTitle_I3_24">FylkeKommune!$D$25</definedName>
    <definedName name="FK_MunicipalitiesTitle_I3_25">FylkeKommune!$D$26</definedName>
    <definedName name="FK_MunicipalitiesTitle_I3_26">FylkeKommune!$D$27</definedName>
    <definedName name="FK_MunicipalitiesTitle_I3_27">FylkeKommune!$D$28</definedName>
    <definedName name="FK_MunicipalitiesTitle_I3_28">FylkeKommune!$D$29</definedName>
    <definedName name="FK_MunicipalitiesTitle_I3_29">FylkeKommune!$D$30</definedName>
    <definedName name="FK_MunicipalitiesTitle_I3_3">FylkeKommune!$D$4</definedName>
    <definedName name="FK_MunicipalitiesTitle_I3_30">FylkeKommune!$D$31</definedName>
    <definedName name="FK_MunicipalitiesTitle_I3_31">FylkeKommune!$D$32</definedName>
    <definedName name="FK_MunicipalitiesTitle_I3_32">FylkeKommune!$D$33</definedName>
    <definedName name="FK_MunicipalitiesTitle_I3_33">FylkeKommune!$D$34</definedName>
    <definedName name="FK_MunicipalitiesTitle_I3_34">FylkeKommune!$D$35</definedName>
    <definedName name="FK_MunicipalitiesTitle_I3_35">FylkeKommune!$D$36</definedName>
    <definedName name="FK_MunicipalitiesTitle_I3_36">FylkeKommune!$D$37</definedName>
    <definedName name="FK_MunicipalitiesTitle_I3_37">FylkeKommune!$D$38</definedName>
    <definedName name="FK_MunicipalitiesTitle_I3_38">FylkeKommune!$D$39</definedName>
    <definedName name="FK_MunicipalitiesTitle_I3_39">FylkeKommune!$D$40</definedName>
    <definedName name="FK_MunicipalitiesTitle_I3_4">FylkeKommune!$D$5</definedName>
    <definedName name="FK_MunicipalitiesTitle_I3_40">FylkeKommune!$D$41</definedName>
    <definedName name="FK_MunicipalitiesTitle_I3_41">FylkeKommune!$D$42</definedName>
    <definedName name="FK_MunicipalitiesTitle_I3_42">FylkeKommune!$D$43</definedName>
    <definedName name="FK_MunicipalitiesTitle_I3_43">FylkeKommune!$D$44</definedName>
    <definedName name="FK_MunicipalitiesTitle_I3_44">FylkeKommune!$D$45</definedName>
    <definedName name="FK_MunicipalitiesTitle_I3_45">FylkeKommune!$D$46</definedName>
    <definedName name="FK_MunicipalitiesTitle_I3_46">FylkeKommune!$D$47</definedName>
    <definedName name="FK_MunicipalitiesTitle_I3_47">FylkeKommune!$D$48</definedName>
    <definedName name="FK_MunicipalitiesTitle_I3_48">FylkeKommune!$D$49</definedName>
    <definedName name="FK_MunicipalitiesTitle_I3_49">FylkeKommune!$D$50</definedName>
    <definedName name="FK_MunicipalitiesTitle_I3_5">FylkeKommune!$D$6</definedName>
    <definedName name="FK_MunicipalitiesTitle_I3_50">FylkeKommune!$D$51</definedName>
    <definedName name="FK_MunicipalitiesTitle_I3_6">FylkeKommune!$D$7</definedName>
    <definedName name="FK_MunicipalitiesTitle_I3_7">FylkeKommune!$D$8</definedName>
    <definedName name="FK_MunicipalitiesTitle_I3_8">FylkeKommune!$D$9</definedName>
    <definedName name="FK_MunicipalitiesTitle_I3_9">FylkeKommune!$D$10</definedName>
    <definedName name="FK_MunicipalitiesTitle_I4_1">FylkeKommune!$E$2</definedName>
    <definedName name="FK_MunicipalitiesTitle_I4_10">FylkeKommune!$E$11</definedName>
    <definedName name="FK_MunicipalitiesTitle_I4_11">FylkeKommune!$E$12</definedName>
    <definedName name="FK_MunicipalitiesTitle_I4_12">FylkeKommune!$E$13</definedName>
    <definedName name="FK_MunicipalitiesTitle_I4_13">FylkeKommune!$E$14</definedName>
    <definedName name="FK_MunicipalitiesTitle_I4_14">FylkeKommune!$E$15</definedName>
    <definedName name="FK_MunicipalitiesTitle_I4_15">FylkeKommune!$E$16</definedName>
    <definedName name="FK_MunicipalitiesTitle_I4_16">FylkeKommune!$E$17</definedName>
    <definedName name="FK_MunicipalitiesTitle_I4_17">FylkeKommune!$E$18</definedName>
    <definedName name="FK_MunicipalitiesTitle_I4_18">FylkeKommune!$E$19</definedName>
    <definedName name="FK_MunicipalitiesTitle_I4_19">FylkeKommune!$E$20</definedName>
    <definedName name="FK_MunicipalitiesTitle_I4_2">FylkeKommune!$E$3</definedName>
    <definedName name="FK_MunicipalitiesTitle_I4_20">FylkeKommune!$E$21</definedName>
    <definedName name="FK_MunicipalitiesTitle_I4_21">FylkeKommune!$E$22</definedName>
    <definedName name="FK_MunicipalitiesTitle_I4_22">FylkeKommune!$E$23</definedName>
    <definedName name="FK_MunicipalitiesTitle_I4_23">FylkeKommune!$E$24</definedName>
    <definedName name="FK_MunicipalitiesTitle_I4_24">FylkeKommune!$E$25</definedName>
    <definedName name="FK_MunicipalitiesTitle_I4_25">FylkeKommune!$E$26</definedName>
    <definedName name="FK_MunicipalitiesTitle_I4_26">FylkeKommune!$E$27</definedName>
    <definedName name="FK_MunicipalitiesTitle_I4_27">FylkeKommune!$E$28</definedName>
    <definedName name="FK_MunicipalitiesTitle_I4_28">FylkeKommune!$E$29</definedName>
    <definedName name="FK_MunicipalitiesTitle_I4_29">FylkeKommune!$E$30</definedName>
    <definedName name="FK_MunicipalitiesTitle_I4_3">FylkeKommune!$E$4</definedName>
    <definedName name="FK_MunicipalitiesTitle_I4_30">FylkeKommune!$E$31</definedName>
    <definedName name="FK_MunicipalitiesTitle_I4_31">FylkeKommune!$E$32</definedName>
    <definedName name="FK_MunicipalitiesTitle_I4_32">FylkeKommune!$E$33</definedName>
    <definedName name="FK_MunicipalitiesTitle_I4_33">FylkeKommune!$E$34</definedName>
    <definedName name="FK_MunicipalitiesTitle_I4_34">FylkeKommune!$E$35</definedName>
    <definedName name="FK_MunicipalitiesTitle_I4_35">FylkeKommune!$E$36</definedName>
    <definedName name="FK_MunicipalitiesTitle_I4_36">FylkeKommune!$E$37</definedName>
    <definedName name="FK_MunicipalitiesTitle_I4_37">FylkeKommune!$E$38</definedName>
    <definedName name="FK_MunicipalitiesTitle_I4_38">FylkeKommune!$E$39</definedName>
    <definedName name="FK_MunicipalitiesTitle_I4_39">FylkeKommune!$E$40</definedName>
    <definedName name="FK_MunicipalitiesTitle_I4_4">FylkeKommune!$E$5</definedName>
    <definedName name="FK_MunicipalitiesTitle_I4_40">FylkeKommune!$E$41</definedName>
    <definedName name="FK_MunicipalitiesTitle_I4_41">FylkeKommune!$E$42</definedName>
    <definedName name="FK_MunicipalitiesTitle_I4_42">FylkeKommune!$E$43</definedName>
    <definedName name="FK_MunicipalitiesTitle_I4_43">FylkeKommune!$E$44</definedName>
    <definedName name="FK_MunicipalitiesTitle_I4_44">FylkeKommune!$E$45</definedName>
    <definedName name="FK_MunicipalitiesTitle_I4_45">FylkeKommune!$E$46</definedName>
    <definedName name="FK_MunicipalitiesTitle_I4_46">FylkeKommune!$E$47</definedName>
    <definedName name="FK_MunicipalitiesTitle_I4_47">FylkeKommune!$E$48</definedName>
    <definedName name="FK_MunicipalitiesTitle_I4_48">FylkeKommune!$E$49</definedName>
    <definedName name="FK_MunicipalitiesTitle_I4_49">FylkeKommune!$E$50</definedName>
    <definedName name="FK_MunicipalitiesTitle_I4_5">FylkeKommune!$E$6</definedName>
    <definedName name="FK_MunicipalitiesTitle_I4_50">FylkeKommune!$E$51</definedName>
    <definedName name="FK_MunicipalitiesTitle_I4_6">FylkeKommune!$E$7</definedName>
    <definedName name="FK_MunicipalitiesTitle_I4_7">FylkeKommune!$E$8</definedName>
    <definedName name="FK_MunicipalitiesTitle_I4_8">FylkeKommune!$E$9</definedName>
    <definedName name="FK_MunicipalitiesTitle_I4_9">FylkeKommune!$E$10</definedName>
    <definedName name="FK_MunicipalitiesTitle_I5_1">FylkeKommune!$F$2</definedName>
    <definedName name="FK_MunicipalitiesTitle_I5_10">FylkeKommune!$F$11</definedName>
    <definedName name="FK_MunicipalitiesTitle_I5_11">FylkeKommune!$F$12</definedName>
    <definedName name="FK_MunicipalitiesTitle_I5_12">FylkeKommune!$F$13</definedName>
    <definedName name="FK_MunicipalitiesTitle_I5_13">FylkeKommune!$F$14</definedName>
    <definedName name="FK_MunicipalitiesTitle_I5_14">FylkeKommune!$F$15</definedName>
    <definedName name="FK_MunicipalitiesTitle_I5_15">FylkeKommune!$F$16</definedName>
    <definedName name="FK_MunicipalitiesTitle_I5_16">FylkeKommune!$F$17</definedName>
    <definedName name="FK_MunicipalitiesTitle_I5_17">FylkeKommune!$F$18</definedName>
    <definedName name="FK_MunicipalitiesTitle_I5_18">FylkeKommune!$F$19</definedName>
    <definedName name="FK_MunicipalitiesTitle_I5_19">FylkeKommune!$F$20</definedName>
    <definedName name="FK_MunicipalitiesTitle_I5_2">FylkeKommune!$F$3</definedName>
    <definedName name="FK_MunicipalitiesTitle_I5_20">FylkeKommune!$F$21</definedName>
    <definedName name="FK_MunicipalitiesTitle_I5_21">FylkeKommune!$F$22</definedName>
    <definedName name="FK_MunicipalitiesTitle_I5_22">FylkeKommune!$F$23</definedName>
    <definedName name="FK_MunicipalitiesTitle_I5_23">FylkeKommune!$F$24</definedName>
    <definedName name="FK_MunicipalitiesTitle_I5_24">FylkeKommune!$F$25</definedName>
    <definedName name="FK_MunicipalitiesTitle_I5_25">FylkeKommune!$F$26</definedName>
    <definedName name="FK_MunicipalitiesTitle_I5_26">FylkeKommune!$F$27</definedName>
    <definedName name="FK_MunicipalitiesTitle_I5_27">FylkeKommune!$F$28</definedName>
    <definedName name="FK_MunicipalitiesTitle_I5_28">FylkeKommune!$F$29</definedName>
    <definedName name="FK_MunicipalitiesTitle_I5_29">FylkeKommune!$F$30</definedName>
    <definedName name="FK_MunicipalitiesTitle_I5_3">FylkeKommune!$F$4</definedName>
    <definedName name="FK_MunicipalitiesTitle_I5_30">FylkeKommune!$F$31</definedName>
    <definedName name="FK_MunicipalitiesTitle_I5_31">FylkeKommune!$F$32</definedName>
    <definedName name="FK_MunicipalitiesTitle_I5_32">FylkeKommune!$F$33</definedName>
    <definedName name="FK_MunicipalitiesTitle_I5_33">FylkeKommune!$F$34</definedName>
    <definedName name="FK_MunicipalitiesTitle_I5_34">FylkeKommune!$F$35</definedName>
    <definedName name="FK_MunicipalitiesTitle_I5_35">FylkeKommune!$F$36</definedName>
    <definedName name="FK_MunicipalitiesTitle_I5_36">FylkeKommune!$F$37</definedName>
    <definedName name="FK_MunicipalitiesTitle_I5_37">FylkeKommune!$F$38</definedName>
    <definedName name="FK_MunicipalitiesTitle_I5_38">FylkeKommune!$F$39</definedName>
    <definedName name="FK_MunicipalitiesTitle_I5_39">FylkeKommune!$F$40</definedName>
    <definedName name="FK_MunicipalitiesTitle_I5_4">FylkeKommune!$F$5</definedName>
    <definedName name="FK_MunicipalitiesTitle_I5_40">FylkeKommune!$F$41</definedName>
    <definedName name="FK_MunicipalitiesTitle_I5_41">FylkeKommune!$F$42</definedName>
    <definedName name="FK_MunicipalitiesTitle_I5_42">FylkeKommune!$F$43</definedName>
    <definedName name="FK_MunicipalitiesTitle_I5_43">FylkeKommune!$F$44</definedName>
    <definedName name="FK_MunicipalitiesTitle_I5_44">FylkeKommune!$F$45</definedName>
    <definedName name="FK_MunicipalitiesTitle_I5_45">FylkeKommune!$F$46</definedName>
    <definedName name="FK_MunicipalitiesTitle_I5_46">FylkeKommune!$F$47</definedName>
    <definedName name="FK_MunicipalitiesTitle_I5_47">FylkeKommune!$F$48</definedName>
    <definedName name="FK_MunicipalitiesTitle_I5_48">FylkeKommune!$F$49</definedName>
    <definedName name="FK_MunicipalitiesTitle_I5_49">FylkeKommune!$F$50</definedName>
    <definedName name="FK_MunicipalitiesTitle_I5_5">FylkeKommune!$F$6</definedName>
    <definedName name="FK_MunicipalitiesTitle_I5_50">FylkeKommune!$F$51</definedName>
    <definedName name="FK_MunicipalitiesTitle_I5_6">FylkeKommune!$F$7</definedName>
    <definedName name="FK_MunicipalitiesTitle_I5_7">FylkeKommune!$F$8</definedName>
    <definedName name="FK_MunicipalitiesTitle_I5_8">FylkeKommune!$F$9</definedName>
    <definedName name="FK_MunicipalitiesTitle_I5_9">FylkeKommune!$F$10</definedName>
    <definedName name="FK_MunicipalitiesTitle_I6_1">FylkeKommune!$G$2</definedName>
    <definedName name="FK_MunicipalitiesTitle_I6_10">FylkeKommune!$G$11</definedName>
    <definedName name="FK_MunicipalitiesTitle_I6_11">FylkeKommune!$G$12</definedName>
    <definedName name="FK_MunicipalitiesTitle_I6_12">FylkeKommune!$G$13</definedName>
    <definedName name="FK_MunicipalitiesTitle_I6_13">FylkeKommune!$G$14</definedName>
    <definedName name="FK_MunicipalitiesTitle_I6_14">FylkeKommune!$G$15</definedName>
    <definedName name="FK_MunicipalitiesTitle_I6_15">FylkeKommune!$G$16</definedName>
    <definedName name="FK_MunicipalitiesTitle_I6_16">FylkeKommune!$G$17</definedName>
    <definedName name="FK_MunicipalitiesTitle_I6_17">FylkeKommune!$G$18</definedName>
    <definedName name="FK_MunicipalitiesTitle_I6_18">FylkeKommune!$G$19</definedName>
    <definedName name="FK_MunicipalitiesTitle_I6_19">FylkeKommune!$G$20</definedName>
    <definedName name="FK_MunicipalitiesTitle_I6_2">FylkeKommune!$G$3</definedName>
    <definedName name="FK_MunicipalitiesTitle_I6_20">FylkeKommune!$G$21</definedName>
    <definedName name="FK_MunicipalitiesTitle_I6_21">FylkeKommune!$G$22</definedName>
    <definedName name="FK_MunicipalitiesTitle_I6_22">FylkeKommune!$G$23</definedName>
    <definedName name="FK_MunicipalitiesTitle_I6_23">FylkeKommune!$G$24</definedName>
    <definedName name="FK_MunicipalitiesTitle_I6_24">FylkeKommune!$G$25</definedName>
    <definedName name="FK_MunicipalitiesTitle_I6_25">FylkeKommune!$G$26</definedName>
    <definedName name="FK_MunicipalitiesTitle_I6_26">FylkeKommune!$G$27</definedName>
    <definedName name="FK_MunicipalitiesTitle_I6_27">FylkeKommune!$G$28</definedName>
    <definedName name="FK_MunicipalitiesTitle_I6_28">FylkeKommune!$G$29</definedName>
    <definedName name="FK_MunicipalitiesTitle_I6_29">FylkeKommune!$G$30</definedName>
    <definedName name="FK_MunicipalitiesTitle_I6_3">FylkeKommune!$G$4</definedName>
    <definedName name="FK_MunicipalitiesTitle_I6_30">FylkeKommune!$G$31</definedName>
    <definedName name="FK_MunicipalitiesTitle_I6_31">FylkeKommune!$G$32</definedName>
    <definedName name="FK_MunicipalitiesTitle_I6_32">FylkeKommune!$G$33</definedName>
    <definedName name="FK_MunicipalitiesTitle_I6_33">FylkeKommune!$G$34</definedName>
    <definedName name="FK_MunicipalitiesTitle_I6_34">FylkeKommune!$G$35</definedName>
    <definedName name="FK_MunicipalitiesTitle_I6_35">FylkeKommune!$G$36</definedName>
    <definedName name="FK_MunicipalitiesTitle_I6_36">FylkeKommune!$G$37</definedName>
    <definedName name="FK_MunicipalitiesTitle_I6_37">FylkeKommune!$G$38</definedName>
    <definedName name="FK_MunicipalitiesTitle_I6_38">FylkeKommune!$G$39</definedName>
    <definedName name="FK_MunicipalitiesTitle_I6_39">FylkeKommune!$G$40</definedName>
    <definedName name="FK_MunicipalitiesTitle_I6_4">FylkeKommune!$G$5</definedName>
    <definedName name="FK_MunicipalitiesTitle_I6_40">FylkeKommune!$G$41</definedName>
    <definedName name="FK_MunicipalitiesTitle_I6_41">FylkeKommune!$G$42</definedName>
    <definedName name="FK_MunicipalitiesTitle_I6_42">FylkeKommune!$G$43</definedName>
    <definedName name="FK_MunicipalitiesTitle_I6_43">FylkeKommune!$G$44</definedName>
    <definedName name="FK_MunicipalitiesTitle_I6_44">FylkeKommune!$G$45</definedName>
    <definedName name="FK_MunicipalitiesTitle_I6_45">FylkeKommune!$G$46</definedName>
    <definedName name="FK_MunicipalitiesTitle_I6_46">FylkeKommune!$G$47</definedName>
    <definedName name="FK_MunicipalitiesTitle_I6_47">FylkeKommune!$G$48</definedName>
    <definedName name="FK_MunicipalitiesTitle_I6_48">FylkeKommune!$G$49</definedName>
    <definedName name="FK_MunicipalitiesTitle_I6_49">FylkeKommune!$G$50</definedName>
    <definedName name="FK_MunicipalitiesTitle_I6_5">FylkeKommune!$G$6</definedName>
    <definedName name="FK_MunicipalitiesTitle_I6_50">FylkeKommune!$G$51</definedName>
    <definedName name="FK_MunicipalitiesTitle_I6_6">FylkeKommune!$G$7</definedName>
    <definedName name="FK_MunicipalitiesTitle_I6_7">FylkeKommune!$G$8</definedName>
    <definedName name="FK_MunicipalitiesTitle_I6_8">FylkeKommune!$G$9</definedName>
    <definedName name="FK_MunicipalitiesTitle_I6_9">FylkeKommune!$G$10</definedName>
    <definedName name="FK_MunicipalitiesTitle_I7_1">FylkeKommune!$H$2</definedName>
    <definedName name="FK_MunicipalitiesTitle_I7_10">FylkeKommune!$H$11</definedName>
    <definedName name="FK_MunicipalitiesTitle_I7_11">FylkeKommune!$H$12</definedName>
    <definedName name="FK_MunicipalitiesTitle_I7_12">FylkeKommune!$H$13</definedName>
    <definedName name="FK_MunicipalitiesTitle_I7_13">FylkeKommune!$H$14</definedName>
    <definedName name="FK_MunicipalitiesTitle_I7_14">FylkeKommune!$H$15</definedName>
    <definedName name="FK_MunicipalitiesTitle_I7_15">FylkeKommune!$H$16</definedName>
    <definedName name="FK_MunicipalitiesTitle_I7_16">FylkeKommune!$H$17</definedName>
    <definedName name="FK_MunicipalitiesTitle_I7_17">FylkeKommune!$H$18</definedName>
    <definedName name="FK_MunicipalitiesTitle_I7_18">FylkeKommune!$H$19</definedName>
    <definedName name="FK_MunicipalitiesTitle_I7_19">FylkeKommune!$H$20</definedName>
    <definedName name="FK_MunicipalitiesTitle_I7_2">FylkeKommune!$H$3</definedName>
    <definedName name="FK_MunicipalitiesTitle_I7_20">FylkeKommune!$H$21</definedName>
    <definedName name="FK_MunicipalitiesTitle_I7_21">FylkeKommune!$H$22</definedName>
    <definedName name="FK_MunicipalitiesTitle_I7_22">FylkeKommune!$H$23</definedName>
    <definedName name="FK_MunicipalitiesTitle_I7_23">FylkeKommune!$H$24</definedName>
    <definedName name="FK_MunicipalitiesTitle_I7_24">FylkeKommune!$H$25</definedName>
    <definedName name="FK_MunicipalitiesTitle_I7_25">FylkeKommune!$H$26</definedName>
    <definedName name="FK_MunicipalitiesTitle_I7_26">FylkeKommune!$H$27</definedName>
    <definedName name="FK_MunicipalitiesTitle_I7_27">FylkeKommune!$H$28</definedName>
    <definedName name="FK_MunicipalitiesTitle_I7_28">FylkeKommune!$H$29</definedName>
    <definedName name="FK_MunicipalitiesTitle_I7_29">FylkeKommune!$H$30</definedName>
    <definedName name="FK_MunicipalitiesTitle_I7_3">FylkeKommune!$H$4</definedName>
    <definedName name="FK_MunicipalitiesTitle_I7_30">FylkeKommune!$H$31</definedName>
    <definedName name="FK_MunicipalitiesTitle_I7_31">FylkeKommune!$H$32</definedName>
    <definedName name="FK_MunicipalitiesTitle_I7_32">FylkeKommune!$H$33</definedName>
    <definedName name="FK_MunicipalitiesTitle_I7_33">FylkeKommune!$H$34</definedName>
    <definedName name="FK_MunicipalitiesTitle_I7_34">FylkeKommune!$H$35</definedName>
    <definedName name="FK_MunicipalitiesTitle_I7_35">FylkeKommune!$H$36</definedName>
    <definedName name="FK_MunicipalitiesTitle_I7_36">FylkeKommune!$H$37</definedName>
    <definedName name="FK_MunicipalitiesTitle_I7_37">FylkeKommune!$H$38</definedName>
    <definedName name="FK_MunicipalitiesTitle_I7_38">FylkeKommune!$H$39</definedName>
    <definedName name="FK_MunicipalitiesTitle_I7_39">FylkeKommune!$H$40</definedName>
    <definedName name="FK_MunicipalitiesTitle_I7_4">FylkeKommune!$H$5</definedName>
    <definedName name="FK_MunicipalitiesTitle_I7_40">FylkeKommune!$H$41</definedName>
    <definedName name="FK_MunicipalitiesTitle_I7_41">FylkeKommune!$H$42</definedName>
    <definedName name="FK_MunicipalitiesTitle_I7_42">FylkeKommune!$H$43</definedName>
    <definedName name="FK_MunicipalitiesTitle_I7_43">FylkeKommune!$H$44</definedName>
    <definedName name="FK_MunicipalitiesTitle_I7_44">FylkeKommune!$H$45</definedName>
    <definedName name="FK_MunicipalitiesTitle_I7_45">FylkeKommune!$H$46</definedName>
    <definedName name="FK_MunicipalitiesTitle_I7_46">FylkeKommune!$H$47</definedName>
    <definedName name="FK_MunicipalitiesTitle_I7_47">FylkeKommune!$H$48</definedName>
    <definedName name="FK_MunicipalitiesTitle_I7_48">FylkeKommune!$H$49</definedName>
    <definedName name="FK_MunicipalitiesTitle_I7_49">FylkeKommune!$H$50</definedName>
    <definedName name="FK_MunicipalitiesTitle_I7_5">FylkeKommune!$H$6</definedName>
    <definedName name="FK_MunicipalitiesTitle_I7_50">FylkeKommune!$H$51</definedName>
    <definedName name="FK_MunicipalitiesTitle_I7_6">FylkeKommune!$H$7</definedName>
    <definedName name="FK_MunicipalitiesTitle_I7_7">FylkeKommune!$H$8</definedName>
    <definedName name="FK_MunicipalitiesTitle_I7_8">FylkeKommune!$H$9</definedName>
    <definedName name="FK_MunicipalitiesTitle_I7_9">FylkeKommune!$H$10</definedName>
    <definedName name="FK_MunicipalitiesTitle_I8_1">FylkeKommune!$I$2</definedName>
    <definedName name="FK_MunicipalitiesTitle_I8_10">FylkeKommune!$I$11</definedName>
    <definedName name="FK_MunicipalitiesTitle_I8_11">FylkeKommune!$I$12</definedName>
    <definedName name="FK_MunicipalitiesTitle_I8_12">FylkeKommune!$I$13</definedName>
    <definedName name="FK_MunicipalitiesTitle_I8_13">FylkeKommune!$I$14</definedName>
    <definedName name="FK_MunicipalitiesTitle_I8_14">FylkeKommune!$I$15</definedName>
    <definedName name="FK_MunicipalitiesTitle_I8_15">FylkeKommune!$I$16</definedName>
    <definedName name="FK_MunicipalitiesTitle_I8_16">FylkeKommune!$I$17</definedName>
    <definedName name="FK_MunicipalitiesTitle_I8_17">FylkeKommune!$I$18</definedName>
    <definedName name="FK_MunicipalitiesTitle_I8_18">FylkeKommune!$I$19</definedName>
    <definedName name="FK_MunicipalitiesTitle_I8_19">FylkeKommune!$I$20</definedName>
    <definedName name="FK_MunicipalitiesTitle_I8_2">FylkeKommune!$I$3</definedName>
    <definedName name="FK_MunicipalitiesTitle_I8_20">FylkeKommune!$I$21</definedName>
    <definedName name="FK_MunicipalitiesTitle_I8_21">FylkeKommune!$I$22</definedName>
    <definedName name="FK_MunicipalitiesTitle_I8_22">FylkeKommune!$I$23</definedName>
    <definedName name="FK_MunicipalitiesTitle_I8_23">FylkeKommune!$I$24</definedName>
    <definedName name="FK_MunicipalitiesTitle_I8_24">FylkeKommune!$I$25</definedName>
    <definedName name="FK_MunicipalitiesTitle_I8_25">FylkeKommune!$I$26</definedName>
    <definedName name="FK_MunicipalitiesTitle_I8_26">FylkeKommune!$I$27</definedName>
    <definedName name="FK_MunicipalitiesTitle_I8_27">FylkeKommune!$I$28</definedName>
    <definedName name="FK_MunicipalitiesTitle_I8_28">FylkeKommune!$I$29</definedName>
    <definedName name="FK_MunicipalitiesTitle_I8_29">FylkeKommune!$I$30</definedName>
    <definedName name="FK_MunicipalitiesTitle_I8_3">FylkeKommune!$I$4</definedName>
    <definedName name="FK_MunicipalitiesTitle_I8_30">FylkeKommune!$I$31</definedName>
    <definedName name="FK_MunicipalitiesTitle_I8_31">FylkeKommune!$I$32</definedName>
    <definedName name="FK_MunicipalitiesTitle_I8_32">FylkeKommune!$I$33</definedName>
    <definedName name="FK_MunicipalitiesTitle_I8_33">FylkeKommune!$I$34</definedName>
    <definedName name="FK_MunicipalitiesTitle_I8_34">FylkeKommune!$I$35</definedName>
    <definedName name="FK_MunicipalitiesTitle_I8_35">FylkeKommune!$I$36</definedName>
    <definedName name="FK_MunicipalitiesTitle_I8_36">FylkeKommune!$I$37</definedName>
    <definedName name="FK_MunicipalitiesTitle_I8_37">FylkeKommune!$I$38</definedName>
    <definedName name="FK_MunicipalitiesTitle_I8_38">FylkeKommune!$I$39</definedName>
    <definedName name="FK_MunicipalitiesTitle_I8_39">FylkeKommune!$I$40</definedName>
    <definedName name="FK_MunicipalitiesTitle_I8_4">FylkeKommune!$I$5</definedName>
    <definedName name="FK_MunicipalitiesTitle_I8_40">FylkeKommune!$I$41</definedName>
    <definedName name="FK_MunicipalitiesTitle_I8_41">FylkeKommune!$I$42</definedName>
    <definedName name="FK_MunicipalitiesTitle_I8_42">FylkeKommune!$I$43</definedName>
    <definedName name="FK_MunicipalitiesTitle_I8_43">FylkeKommune!$I$44</definedName>
    <definedName name="FK_MunicipalitiesTitle_I8_44">FylkeKommune!$I$45</definedName>
    <definedName name="FK_MunicipalitiesTitle_I8_45">FylkeKommune!$I$46</definedName>
    <definedName name="FK_MunicipalitiesTitle_I8_46">FylkeKommune!$I$47</definedName>
    <definedName name="FK_MunicipalitiesTitle_I8_47">FylkeKommune!$I$48</definedName>
    <definedName name="FK_MunicipalitiesTitle_I8_48">FylkeKommune!$I$49</definedName>
    <definedName name="FK_MunicipalitiesTitle_I8_49">FylkeKommune!$I$50</definedName>
    <definedName name="FK_MunicipalitiesTitle_I8_5">FylkeKommune!$I$6</definedName>
    <definedName name="FK_MunicipalitiesTitle_I8_50">FylkeKommune!$I$51</definedName>
    <definedName name="FK_MunicipalitiesTitle_I8_6">FylkeKommune!$I$7</definedName>
    <definedName name="FK_MunicipalitiesTitle_I8_7">FylkeKommune!$I$8</definedName>
    <definedName name="FK_MunicipalitiesTitle_I8_8">FylkeKommune!$I$9</definedName>
    <definedName name="FK_MunicipalitiesTitle_I8_9">FylkeKommune!$I$10</definedName>
    <definedName name="FK_MunicipalitiesTitle_I9_1">FylkeKommune!$J$2</definedName>
    <definedName name="FK_MunicipalitiesTitle_I9_10">FylkeKommune!$J$11</definedName>
    <definedName name="FK_MunicipalitiesTitle_I9_11">FylkeKommune!$J$12</definedName>
    <definedName name="FK_MunicipalitiesTitle_I9_12">FylkeKommune!$J$13</definedName>
    <definedName name="FK_MunicipalitiesTitle_I9_13">FylkeKommune!$J$14</definedName>
    <definedName name="FK_MunicipalitiesTitle_I9_14">FylkeKommune!$J$15</definedName>
    <definedName name="FK_MunicipalitiesTitle_I9_15">FylkeKommune!$J$16</definedName>
    <definedName name="FK_MunicipalitiesTitle_I9_16">FylkeKommune!$J$17</definedName>
    <definedName name="FK_MunicipalitiesTitle_I9_17">FylkeKommune!$J$18</definedName>
    <definedName name="FK_MunicipalitiesTitle_I9_18">FylkeKommune!$J$19</definedName>
    <definedName name="FK_MunicipalitiesTitle_I9_19">FylkeKommune!$J$20</definedName>
    <definedName name="FK_MunicipalitiesTitle_I9_2">FylkeKommune!$J$3</definedName>
    <definedName name="FK_MunicipalitiesTitle_I9_20">FylkeKommune!$J$21</definedName>
    <definedName name="FK_MunicipalitiesTitle_I9_21">FylkeKommune!$J$22</definedName>
    <definedName name="FK_MunicipalitiesTitle_I9_22">FylkeKommune!$J$23</definedName>
    <definedName name="FK_MunicipalitiesTitle_I9_23">FylkeKommune!$J$24</definedName>
    <definedName name="FK_MunicipalitiesTitle_I9_24">FylkeKommune!$J$25</definedName>
    <definedName name="FK_MunicipalitiesTitle_I9_25">FylkeKommune!$J$26</definedName>
    <definedName name="FK_MunicipalitiesTitle_I9_26">FylkeKommune!$J$27</definedName>
    <definedName name="FK_MunicipalitiesTitle_I9_27">FylkeKommune!$J$28</definedName>
    <definedName name="FK_MunicipalitiesTitle_I9_28">FylkeKommune!$J$29</definedName>
    <definedName name="FK_MunicipalitiesTitle_I9_29">FylkeKommune!$J$30</definedName>
    <definedName name="FK_MunicipalitiesTitle_I9_3">FylkeKommune!$J$4</definedName>
    <definedName name="FK_MunicipalitiesTitle_I9_30">FylkeKommune!$J$31</definedName>
    <definedName name="FK_MunicipalitiesTitle_I9_31">FylkeKommune!$J$32</definedName>
    <definedName name="FK_MunicipalitiesTitle_I9_32">FylkeKommune!$J$33</definedName>
    <definedName name="FK_MunicipalitiesTitle_I9_33">FylkeKommune!$J$34</definedName>
    <definedName name="FK_MunicipalitiesTitle_I9_34">FylkeKommune!$J$35</definedName>
    <definedName name="FK_MunicipalitiesTitle_I9_35">FylkeKommune!$J$36</definedName>
    <definedName name="FK_MunicipalitiesTitle_I9_36">FylkeKommune!$J$37</definedName>
    <definedName name="FK_MunicipalitiesTitle_I9_37">FylkeKommune!$J$38</definedName>
    <definedName name="FK_MunicipalitiesTitle_I9_38">FylkeKommune!$J$39</definedName>
    <definedName name="FK_MunicipalitiesTitle_I9_39">FylkeKommune!$J$40</definedName>
    <definedName name="FK_MunicipalitiesTitle_I9_4">FylkeKommune!$J$5</definedName>
    <definedName name="FK_MunicipalitiesTitle_I9_40">FylkeKommune!$J$41</definedName>
    <definedName name="FK_MunicipalitiesTitle_I9_41">FylkeKommune!$J$42</definedName>
    <definedName name="FK_MunicipalitiesTitle_I9_42">FylkeKommune!$J$43</definedName>
    <definedName name="FK_MunicipalitiesTitle_I9_43">FylkeKommune!$J$44</definedName>
    <definedName name="FK_MunicipalitiesTitle_I9_44">FylkeKommune!$J$45</definedName>
    <definedName name="FK_MunicipalitiesTitle_I9_45">FylkeKommune!$J$46</definedName>
    <definedName name="FK_MunicipalitiesTitle_I9_46">FylkeKommune!$J$47</definedName>
    <definedName name="FK_MunicipalitiesTitle_I9_47">FylkeKommune!$J$48</definedName>
    <definedName name="FK_MunicipalitiesTitle_I9_48">FylkeKommune!$J$49</definedName>
    <definedName name="FK_MunicipalitiesTitle_I9_49">FylkeKommune!$J$50</definedName>
    <definedName name="FK_MunicipalitiesTitle_I9_5">FylkeKommune!$J$6</definedName>
    <definedName name="FK_MunicipalitiesTitle_I9_50">FylkeKommune!$J$51</definedName>
    <definedName name="FK_MunicipalitiesTitle_I9_6">FylkeKommune!$J$7</definedName>
    <definedName name="FK_MunicipalitiesTitle_I9_7">FylkeKommune!$J$8</definedName>
    <definedName name="FK_MunicipalitiesTitle_I9_8">FylkeKommune!$J$9</definedName>
    <definedName name="FK_MunicipalitiesTitle_I9_9">FylkeKommune!$J$10</definedName>
    <definedName name="FramtidensByerDatabase">ProjectExport!$G$14</definedName>
    <definedName name="FunctionBuildingCategory">ProjectExport!$G$174</definedName>
    <definedName name="Funksjon">Relations!$E$1:$F$47</definedName>
    <definedName name="GeneralProjectType">ProjectExport!$G$9</definedName>
    <definedName name="GreenAreaIncrease">ProjectExport!$G$254</definedName>
    <definedName name="GrossSquareFoot">ProjectExport!$G$250</definedName>
    <definedName name="GrossSquareFootBTA">ProjectExport!$G$249</definedName>
    <definedName name="GrossSquareFootHeated">ProjectExport!$G$251</definedName>
    <definedName name="HardAreaReduction">ProjectExport!$G$255</definedName>
    <definedName name="HeatRating">ProjectExport!$G$278</definedName>
    <definedName name="HeatRecoveryEfficiency">ProjectExport!$G$304</definedName>
    <definedName name="HideFromProjectFrontPage">ProjectExport!$G$20</definedName>
    <definedName name="HideOnEcobox">ProjectExport!$G$19</definedName>
    <definedName name="html.pend">ProjectExport!$B$369</definedName>
    <definedName name="html.pstart">ProjectExport!$B$368</definedName>
    <definedName name="ID">ProjectExport!$G$2</definedName>
    <definedName name="KeywordMeasures">ProjectExport!$G$144</definedName>
    <definedName name="koko" localSheetId="0">OPPLYSNINGER!#REF!</definedName>
    <definedName name="koko">#REF!</definedName>
    <definedName name="Lighting">ProjectExport!$G$310</definedName>
    <definedName name="Linebreak">ProjectExport!$B$360</definedName>
    <definedName name="Location">ProjectExport!$G$66</definedName>
    <definedName name="M_Topic_I1_1">MiljoTiltak!$B$2</definedName>
    <definedName name="M_Topic_I1_10">MiljoTiltak!$B$11</definedName>
    <definedName name="M_Topic_I1_11">MiljoTiltak!$B$12</definedName>
    <definedName name="M_Topic_I1_12">MiljoTiltak!$B$13</definedName>
    <definedName name="M_Topic_I1_13">MiljoTiltak!$B$14</definedName>
    <definedName name="M_Topic_I1_14">MiljoTiltak!$B$15</definedName>
    <definedName name="M_Topic_I1_15">MiljoTiltak!$B$16</definedName>
    <definedName name="M_Topic_I1_16">MiljoTiltak!$B$17</definedName>
    <definedName name="M_Topic_I1_17">MiljoTiltak!$B$18</definedName>
    <definedName name="M_Topic_I1_18">MiljoTiltak!$B$19</definedName>
    <definedName name="M_Topic_I1_19">MiljoTiltak!$B$20</definedName>
    <definedName name="M_Topic_I1_2">MiljoTiltak!$B$3</definedName>
    <definedName name="M_Topic_I1_20">MiljoTiltak!$B$21</definedName>
    <definedName name="M_Topic_I1_21">MiljoTiltak!$B$22</definedName>
    <definedName name="M_Topic_I1_22">MiljoTiltak!$B$23</definedName>
    <definedName name="M_Topic_I1_23">MiljoTiltak!$B$24</definedName>
    <definedName name="M_Topic_I1_24">MiljoTiltak!$B$25</definedName>
    <definedName name="M_Topic_I1_25">MiljoTiltak!$B$26</definedName>
    <definedName name="M_Topic_I1_26">MiljoTiltak!$B$27</definedName>
    <definedName name="M_Topic_I1_27">MiljoTiltak!$B$28</definedName>
    <definedName name="M_Topic_I1_3">MiljoTiltak!$B$4</definedName>
    <definedName name="M_Topic_I1_4">MiljoTiltak!$B$5</definedName>
    <definedName name="M_Topic_I1_5">MiljoTiltak!$B$6</definedName>
    <definedName name="M_Topic_I1_6">MiljoTiltak!$B$7</definedName>
    <definedName name="M_Topic_I1_7">MiljoTiltak!$B$8</definedName>
    <definedName name="M_Topic_I1_8">MiljoTiltak!$B$9</definedName>
    <definedName name="M_Topic_I1_9">MiljoTiltak!$B$10</definedName>
    <definedName name="M_Topic_I10_1">MiljoTiltak!$K$2</definedName>
    <definedName name="M_Topic_I10_10">MiljoTiltak!$K$11</definedName>
    <definedName name="M_Topic_I10_11">MiljoTiltak!$K$12</definedName>
    <definedName name="M_Topic_I10_12">MiljoTiltak!$K$13</definedName>
    <definedName name="M_Topic_I10_13">MiljoTiltak!$K$14</definedName>
    <definedName name="M_Topic_I10_14">MiljoTiltak!$K$15</definedName>
    <definedName name="M_Topic_I10_15">MiljoTiltak!$K$16</definedName>
    <definedName name="M_Topic_I10_16">MiljoTiltak!$K$17</definedName>
    <definedName name="M_Topic_I10_17">MiljoTiltak!$K$18</definedName>
    <definedName name="M_Topic_I10_18">MiljoTiltak!$K$19</definedName>
    <definedName name="M_Topic_I10_19">MiljoTiltak!$K$20</definedName>
    <definedName name="M_Topic_I10_2">MiljoTiltak!$K$3</definedName>
    <definedName name="M_Topic_I10_20">MiljoTiltak!$K$21</definedName>
    <definedName name="M_Topic_I10_21">MiljoTiltak!$K$22</definedName>
    <definedName name="M_Topic_I10_22">MiljoTiltak!$K$23</definedName>
    <definedName name="M_Topic_I10_23">MiljoTiltak!$K$24</definedName>
    <definedName name="M_Topic_I10_24">MiljoTiltak!$K$25</definedName>
    <definedName name="M_Topic_I10_25">MiljoTiltak!$K$26</definedName>
    <definedName name="M_Topic_I10_26">MiljoTiltak!$K$27</definedName>
    <definedName name="M_Topic_I10_27">MiljoTiltak!$K$28</definedName>
    <definedName name="M_Topic_I10_3">MiljoTiltak!$K$4</definedName>
    <definedName name="M_Topic_I10_4">MiljoTiltak!$K$5</definedName>
    <definedName name="M_Topic_I10_5">MiljoTiltak!$K$6</definedName>
    <definedName name="M_Topic_I10_6">MiljoTiltak!$K$7</definedName>
    <definedName name="M_Topic_I10_7">MiljoTiltak!$K$8</definedName>
    <definedName name="M_Topic_I10_8">MiljoTiltak!$K$9</definedName>
    <definedName name="M_Topic_I10_9">MiljoTiltak!$K$10</definedName>
    <definedName name="M_Topic_I11_1">MiljoTiltak!$L$2</definedName>
    <definedName name="M_Topic_I11_10">MiljoTiltak!$L$11</definedName>
    <definedName name="M_Topic_I11_11">MiljoTiltak!$L$12</definedName>
    <definedName name="M_Topic_I11_12">MiljoTiltak!$L$13</definedName>
    <definedName name="M_Topic_I11_13">MiljoTiltak!$L$14</definedName>
    <definedName name="M_Topic_I11_14">MiljoTiltak!$L$15</definedName>
    <definedName name="M_Topic_I11_15">MiljoTiltak!$L$16</definedName>
    <definedName name="M_Topic_I11_16">MiljoTiltak!$L$17</definedName>
    <definedName name="M_Topic_I11_17">MiljoTiltak!$L$18</definedName>
    <definedName name="M_Topic_I11_18">MiljoTiltak!$L$19</definedName>
    <definedName name="M_Topic_I11_19">MiljoTiltak!$L$20</definedName>
    <definedName name="M_Topic_I11_2">MiljoTiltak!$L$3</definedName>
    <definedName name="M_Topic_I11_20">MiljoTiltak!$L$21</definedName>
    <definedName name="M_Topic_I11_21">MiljoTiltak!$L$22</definedName>
    <definedName name="M_Topic_I11_22">MiljoTiltak!$L$23</definedName>
    <definedName name="M_Topic_I11_23">MiljoTiltak!$L$24</definedName>
    <definedName name="M_Topic_I11_24">MiljoTiltak!$L$25</definedName>
    <definedName name="M_Topic_I11_25">MiljoTiltak!$L$26</definedName>
    <definedName name="M_Topic_I11_26">MiljoTiltak!$L$27</definedName>
    <definedName name="M_Topic_I11_27">MiljoTiltak!$L$28</definedName>
    <definedName name="M_Topic_I11_3">MiljoTiltak!$L$4</definedName>
    <definedName name="M_Topic_I11_4">MiljoTiltak!$L$5</definedName>
    <definedName name="M_Topic_I11_5">MiljoTiltak!$L$6</definedName>
    <definedName name="M_Topic_I11_6">MiljoTiltak!$L$7</definedName>
    <definedName name="M_Topic_I11_7">MiljoTiltak!$L$8</definedName>
    <definedName name="M_Topic_I11_8">MiljoTiltak!$L$9</definedName>
    <definedName name="M_Topic_I11_9">MiljoTiltak!$L$10</definedName>
    <definedName name="M_Topic_I12_1">MiljoTiltak!$M$2</definedName>
    <definedName name="M_Topic_I12_10">MiljoTiltak!$M$11</definedName>
    <definedName name="M_Topic_I12_11">MiljoTiltak!$M$12</definedName>
    <definedName name="M_Topic_I12_12">MiljoTiltak!$M$13</definedName>
    <definedName name="M_Topic_I12_13">MiljoTiltak!$M$14</definedName>
    <definedName name="M_Topic_I12_14">MiljoTiltak!$M$15</definedName>
    <definedName name="M_Topic_I12_15">MiljoTiltak!$M$16</definedName>
    <definedName name="M_Topic_I12_16">MiljoTiltak!$M$17</definedName>
    <definedName name="M_Topic_I12_17">MiljoTiltak!$M$18</definedName>
    <definedName name="M_Topic_I12_18">MiljoTiltak!$M$19</definedName>
    <definedName name="M_Topic_I12_19">MiljoTiltak!$M$20</definedName>
    <definedName name="M_Topic_I12_2">MiljoTiltak!$M$3</definedName>
    <definedName name="M_Topic_I12_20">MiljoTiltak!$M$21</definedName>
    <definedName name="M_Topic_I12_21">MiljoTiltak!$M$22</definedName>
    <definedName name="M_Topic_I12_22">MiljoTiltak!$M$23</definedName>
    <definedName name="M_Topic_I12_23">MiljoTiltak!$M$24</definedName>
    <definedName name="M_Topic_I12_24">MiljoTiltak!$M$25</definedName>
    <definedName name="M_Topic_I12_25">MiljoTiltak!$M$26</definedName>
    <definedName name="M_Topic_I12_26">MiljoTiltak!$M$27</definedName>
    <definedName name="M_Topic_I12_27">MiljoTiltak!$M$28</definedName>
    <definedName name="M_Topic_I12_3">MiljoTiltak!$M$4</definedName>
    <definedName name="M_Topic_I12_4">MiljoTiltak!$M$5</definedName>
    <definedName name="M_Topic_I12_5">MiljoTiltak!$M$6</definedName>
    <definedName name="M_Topic_I12_6">MiljoTiltak!$M$7</definedName>
    <definedName name="M_Topic_I12_7">MiljoTiltak!$M$8</definedName>
    <definedName name="M_Topic_I12_8">MiljoTiltak!$M$9</definedName>
    <definedName name="M_Topic_I12_9">MiljoTiltak!$M$10</definedName>
    <definedName name="M_Topic_I13_1">MiljoTiltak!$N$2</definedName>
    <definedName name="M_Topic_I13_10">MiljoTiltak!$N$11</definedName>
    <definedName name="M_Topic_I13_11">MiljoTiltak!$N$12</definedName>
    <definedName name="M_Topic_I13_12">MiljoTiltak!$N$13</definedName>
    <definedName name="M_Topic_I13_13">MiljoTiltak!$N$14</definedName>
    <definedName name="M_Topic_I13_14">MiljoTiltak!$N$15</definedName>
    <definedName name="M_Topic_I13_15">MiljoTiltak!$N$16</definedName>
    <definedName name="M_Topic_I13_16">MiljoTiltak!$N$17</definedName>
    <definedName name="M_Topic_I13_17">MiljoTiltak!$N$18</definedName>
    <definedName name="M_Topic_I13_18">MiljoTiltak!$N$19</definedName>
    <definedName name="M_Topic_I13_19">MiljoTiltak!$N$20</definedName>
    <definedName name="M_Topic_I13_2">MiljoTiltak!$N$3</definedName>
    <definedName name="M_Topic_I13_20">MiljoTiltak!$N$21</definedName>
    <definedName name="M_Topic_I13_21">MiljoTiltak!$N$22</definedName>
    <definedName name="M_Topic_I13_22">MiljoTiltak!$N$23</definedName>
    <definedName name="M_Topic_I13_23">MiljoTiltak!$N$24</definedName>
    <definedName name="M_Topic_I13_24">MiljoTiltak!$N$25</definedName>
    <definedName name="M_Topic_I13_25">MiljoTiltak!$N$26</definedName>
    <definedName name="M_Topic_I13_26">MiljoTiltak!$N$27</definedName>
    <definedName name="M_Topic_I13_27">MiljoTiltak!$N$28</definedName>
    <definedName name="M_Topic_I13_3">MiljoTiltak!$N$4</definedName>
    <definedName name="M_Topic_I13_4">MiljoTiltak!$N$5</definedName>
    <definedName name="M_Topic_I13_5">MiljoTiltak!$N$6</definedName>
    <definedName name="M_Topic_I13_6">MiljoTiltak!$N$7</definedName>
    <definedName name="M_Topic_I13_7">MiljoTiltak!$N$8</definedName>
    <definedName name="M_Topic_I13_8">MiljoTiltak!$N$9</definedName>
    <definedName name="M_Topic_I13_9">MiljoTiltak!$N$10</definedName>
    <definedName name="M_Topic_I14_1">MiljoTiltak!$O$2</definedName>
    <definedName name="M_Topic_I14_10">MiljoTiltak!$O$11</definedName>
    <definedName name="M_Topic_I14_11">MiljoTiltak!$O$12</definedName>
    <definedName name="M_Topic_I14_12">MiljoTiltak!$O$13</definedName>
    <definedName name="M_Topic_I14_13">MiljoTiltak!$O$14</definedName>
    <definedName name="M_Topic_I14_14">MiljoTiltak!$O$15</definedName>
    <definedName name="M_Topic_I14_15">MiljoTiltak!$O$16</definedName>
    <definedName name="M_Topic_I14_16">MiljoTiltak!$O$17</definedName>
    <definedName name="M_Topic_I14_17">MiljoTiltak!$O$18</definedName>
    <definedName name="M_Topic_I14_18">MiljoTiltak!$O$19</definedName>
    <definedName name="M_Topic_I14_19">MiljoTiltak!$O$20</definedName>
    <definedName name="M_Topic_I14_2">MiljoTiltak!$O$3</definedName>
    <definedName name="M_Topic_I14_20">MiljoTiltak!$O$21</definedName>
    <definedName name="M_Topic_I14_21">MiljoTiltak!$O$22</definedName>
    <definedName name="M_Topic_I14_22">MiljoTiltak!$O$23</definedName>
    <definedName name="M_Topic_I14_23">MiljoTiltak!$O$24</definedName>
    <definedName name="M_Topic_I14_24">MiljoTiltak!$O$25</definedName>
    <definedName name="M_Topic_I14_25">MiljoTiltak!$O$26</definedName>
    <definedName name="M_Topic_I14_26">MiljoTiltak!$O$27</definedName>
    <definedName name="M_Topic_I14_27">MiljoTiltak!$O$28</definedName>
    <definedName name="M_Topic_I14_3">MiljoTiltak!$O$4</definedName>
    <definedName name="M_Topic_I14_4">MiljoTiltak!$O$5</definedName>
    <definedName name="M_Topic_I14_5">MiljoTiltak!$O$6</definedName>
    <definedName name="M_Topic_I14_6">MiljoTiltak!$O$7</definedName>
    <definedName name="M_Topic_I14_7">MiljoTiltak!$O$8</definedName>
    <definedName name="M_Topic_I14_8">MiljoTiltak!$O$9</definedName>
    <definedName name="M_Topic_I14_9">MiljoTiltak!$O$10</definedName>
    <definedName name="M_Topic_I15_1">MiljoTiltak!$P$2</definedName>
    <definedName name="M_Topic_I15_10">MiljoTiltak!$P$11</definedName>
    <definedName name="M_Topic_I15_11">MiljoTiltak!$P$12</definedName>
    <definedName name="M_Topic_I15_12">MiljoTiltak!$P$13</definedName>
    <definedName name="M_Topic_I15_13">MiljoTiltak!$P$14</definedName>
    <definedName name="M_Topic_I15_14">MiljoTiltak!$P$15</definedName>
    <definedName name="M_Topic_I15_15">MiljoTiltak!$P$16</definedName>
    <definedName name="M_Topic_I15_16">MiljoTiltak!$P$17</definedName>
    <definedName name="M_Topic_I15_17">MiljoTiltak!$P$18</definedName>
    <definedName name="M_Topic_I15_18">MiljoTiltak!$P$19</definedName>
    <definedName name="M_Topic_I15_19">MiljoTiltak!$P$20</definedName>
    <definedName name="M_Topic_I15_2">MiljoTiltak!$P$3</definedName>
    <definedName name="M_Topic_I15_20">MiljoTiltak!$P$21</definedName>
    <definedName name="M_Topic_I15_21">MiljoTiltak!$P$22</definedName>
    <definedName name="M_Topic_I15_22">MiljoTiltak!$P$23</definedName>
    <definedName name="M_Topic_I15_23">MiljoTiltak!$P$24</definedName>
    <definedName name="M_Topic_I15_24">MiljoTiltak!$P$25</definedName>
    <definedName name="M_Topic_I15_25">MiljoTiltak!$P$26</definedName>
    <definedName name="M_Topic_I15_26">MiljoTiltak!$P$27</definedName>
    <definedName name="M_Topic_I15_27">MiljoTiltak!$P$28</definedName>
    <definedName name="M_Topic_I15_3">MiljoTiltak!$P$4</definedName>
    <definedName name="M_Topic_I15_4">MiljoTiltak!$P$5</definedName>
    <definedName name="M_Topic_I15_5">MiljoTiltak!$P$6</definedName>
    <definedName name="M_Topic_I15_6">MiljoTiltak!$P$7</definedName>
    <definedName name="M_Topic_I15_7">MiljoTiltak!$P$8</definedName>
    <definedName name="M_Topic_I15_8">MiljoTiltak!$P$9</definedName>
    <definedName name="M_Topic_I15_9">MiljoTiltak!$P$10</definedName>
    <definedName name="M_Topic_I2_1">MiljoTiltak!$C$2</definedName>
    <definedName name="M_Topic_I2_10">MiljoTiltak!$C$11</definedName>
    <definedName name="M_Topic_I2_11">MiljoTiltak!$C$12</definedName>
    <definedName name="M_Topic_I2_12">MiljoTiltak!$C$13</definedName>
    <definedName name="M_Topic_I2_13">MiljoTiltak!$C$14</definedName>
    <definedName name="M_Topic_I2_14">MiljoTiltak!$C$15</definedName>
    <definedName name="M_Topic_I2_15">MiljoTiltak!$C$16</definedName>
    <definedName name="M_Topic_I2_16">MiljoTiltak!$C$17</definedName>
    <definedName name="M_Topic_I2_17">MiljoTiltak!$C$18</definedName>
    <definedName name="M_Topic_I2_18">MiljoTiltak!$C$19</definedName>
    <definedName name="M_Topic_I2_19">MiljoTiltak!$C$20</definedName>
    <definedName name="M_Topic_I2_2">MiljoTiltak!$C$3</definedName>
    <definedName name="M_Topic_I2_20">MiljoTiltak!$C$21</definedName>
    <definedName name="M_Topic_I2_21">MiljoTiltak!$C$22</definedName>
    <definedName name="M_Topic_I2_22">MiljoTiltak!$C$23</definedName>
    <definedName name="M_Topic_I2_23">MiljoTiltak!$C$24</definedName>
    <definedName name="M_Topic_I2_24">MiljoTiltak!$C$25</definedName>
    <definedName name="M_Topic_I2_25">MiljoTiltak!$C$26</definedName>
    <definedName name="M_Topic_I2_26">MiljoTiltak!$C$27</definedName>
    <definedName name="M_Topic_I2_27">MiljoTiltak!$C$28</definedName>
    <definedName name="M_Topic_I2_3">MiljoTiltak!$C$4</definedName>
    <definedName name="M_Topic_I2_4">MiljoTiltak!$C$5</definedName>
    <definedName name="M_Topic_I2_5">MiljoTiltak!$C$6</definedName>
    <definedName name="M_Topic_I2_6">MiljoTiltak!$C$7</definedName>
    <definedName name="M_Topic_I2_7">MiljoTiltak!$C$8</definedName>
    <definedName name="M_Topic_I2_8">MiljoTiltak!$C$9</definedName>
    <definedName name="M_Topic_I2_9">MiljoTiltak!$C$10</definedName>
    <definedName name="M_Topic_I3_1">MiljoTiltak!$D$2</definedName>
    <definedName name="M_Topic_I3_10">MiljoTiltak!$D$11</definedName>
    <definedName name="M_Topic_I3_11">MiljoTiltak!$D$12</definedName>
    <definedName name="M_Topic_I3_12">MiljoTiltak!$D$13</definedName>
    <definedName name="M_Topic_I3_13">MiljoTiltak!$D$14</definedName>
    <definedName name="M_Topic_I3_14">MiljoTiltak!$D$15</definedName>
    <definedName name="M_Topic_I3_15">MiljoTiltak!$D$16</definedName>
    <definedName name="M_Topic_I3_16">MiljoTiltak!$D$17</definedName>
    <definedName name="M_Topic_I3_17">MiljoTiltak!$D$18</definedName>
    <definedName name="M_Topic_I3_18">MiljoTiltak!$D$19</definedName>
    <definedName name="M_Topic_I3_19">MiljoTiltak!$D$20</definedName>
    <definedName name="M_Topic_I3_2">MiljoTiltak!$D$3</definedName>
    <definedName name="M_Topic_I3_20">MiljoTiltak!$D$21</definedName>
    <definedName name="M_Topic_I3_21">MiljoTiltak!$D$22</definedName>
    <definedName name="M_Topic_I3_22">MiljoTiltak!$D$23</definedName>
    <definedName name="M_Topic_I3_23">MiljoTiltak!$D$24</definedName>
    <definedName name="M_Topic_I3_24">MiljoTiltak!$D$25</definedName>
    <definedName name="M_Topic_I3_25">MiljoTiltak!$D$26</definedName>
    <definedName name="M_Topic_I3_26">MiljoTiltak!$D$27</definedName>
    <definedName name="M_Topic_I3_27">MiljoTiltak!$D$28</definedName>
    <definedName name="M_Topic_I3_28">MiljoTiltak!$D$29</definedName>
    <definedName name="M_Topic_I3_3">MiljoTiltak!$D$4</definedName>
    <definedName name="M_Topic_I3_4">MiljoTiltak!$D$5</definedName>
    <definedName name="M_Topic_I3_5">MiljoTiltak!$D$6</definedName>
    <definedName name="M_Topic_I3_6">MiljoTiltak!$D$7</definedName>
    <definedName name="M_Topic_I3_7">MiljoTiltak!$D$8</definedName>
    <definedName name="M_Topic_I3_8">MiljoTiltak!$D$9</definedName>
    <definedName name="M_Topic_I3_9">MiljoTiltak!$D$10</definedName>
    <definedName name="M_Topic_I4_1">MiljoTiltak!$E$2</definedName>
    <definedName name="M_Topic_I4_10">MiljoTiltak!$E$11</definedName>
    <definedName name="M_Topic_I4_11">MiljoTiltak!$E$12</definedName>
    <definedName name="M_Topic_I4_12">MiljoTiltak!$E$13</definedName>
    <definedName name="M_Topic_I4_13">MiljoTiltak!$E$14</definedName>
    <definedName name="M_Topic_I4_14">MiljoTiltak!$E$15</definedName>
    <definedName name="M_Topic_I4_15">MiljoTiltak!$E$16</definedName>
    <definedName name="M_Topic_I4_16">MiljoTiltak!$E$17</definedName>
    <definedName name="M_Topic_I4_17">MiljoTiltak!$E$18</definedName>
    <definedName name="M_Topic_I4_18">MiljoTiltak!$E$19</definedName>
    <definedName name="M_Topic_I4_19">MiljoTiltak!$E$20</definedName>
    <definedName name="M_Topic_I4_2">MiljoTiltak!$E$3</definedName>
    <definedName name="M_Topic_I4_20">MiljoTiltak!$E$21</definedName>
    <definedName name="M_Topic_I4_21">MiljoTiltak!$E$22</definedName>
    <definedName name="M_Topic_I4_22">MiljoTiltak!$E$23</definedName>
    <definedName name="M_Topic_I4_23">MiljoTiltak!$E$24</definedName>
    <definedName name="M_Topic_I4_24">MiljoTiltak!$E$25</definedName>
    <definedName name="M_Topic_I4_25">MiljoTiltak!$E$26</definedName>
    <definedName name="M_Topic_I4_26">MiljoTiltak!$E$27</definedName>
    <definedName name="M_Topic_I4_27">MiljoTiltak!$E$28</definedName>
    <definedName name="M_Topic_I4_3">MiljoTiltak!$E$4</definedName>
    <definedName name="M_Topic_I4_4">MiljoTiltak!$E$5</definedName>
    <definedName name="M_Topic_I4_5">MiljoTiltak!$E$6</definedName>
    <definedName name="M_Topic_I4_6">MiljoTiltak!$E$7</definedName>
    <definedName name="M_Topic_I4_7">MiljoTiltak!$E$8</definedName>
    <definedName name="M_Topic_I4_8">MiljoTiltak!$E$9</definedName>
    <definedName name="M_Topic_I4_9">MiljoTiltak!$E$10</definedName>
    <definedName name="M_Topic_I5_1">MiljoTiltak!$F$2</definedName>
    <definedName name="M_Topic_I5_10">MiljoTiltak!$F$11</definedName>
    <definedName name="M_Topic_I5_11">MiljoTiltak!$F$12</definedName>
    <definedName name="M_Topic_I5_12">MiljoTiltak!$F$13</definedName>
    <definedName name="M_Topic_I5_13">MiljoTiltak!$F$14</definedName>
    <definedName name="M_Topic_I5_14">MiljoTiltak!$F$15</definedName>
    <definedName name="M_Topic_I5_15">MiljoTiltak!$F$16</definedName>
    <definedName name="M_Topic_I5_16">MiljoTiltak!$F$17</definedName>
    <definedName name="M_Topic_I5_17">MiljoTiltak!$F$18</definedName>
    <definedName name="M_Topic_I5_18">MiljoTiltak!$F$19</definedName>
    <definedName name="M_Topic_I5_19">MiljoTiltak!$F$20</definedName>
    <definedName name="M_Topic_I5_2">MiljoTiltak!$F$3</definedName>
    <definedName name="M_Topic_I5_20">MiljoTiltak!$F$21</definedName>
    <definedName name="M_Topic_I5_21">MiljoTiltak!$F$22</definedName>
    <definedName name="M_Topic_I5_22">MiljoTiltak!$F$23</definedName>
    <definedName name="M_Topic_I5_23">MiljoTiltak!$F$24</definedName>
    <definedName name="M_Topic_I5_24">MiljoTiltak!$F$25</definedName>
    <definedName name="M_Topic_I5_25">MiljoTiltak!$F$26</definedName>
    <definedName name="M_Topic_I5_26">MiljoTiltak!$F$27</definedName>
    <definedName name="M_Topic_I5_27">MiljoTiltak!$F$28</definedName>
    <definedName name="M_Topic_I5_3">MiljoTiltak!$F$4</definedName>
    <definedName name="M_Topic_I5_4">MiljoTiltak!$F$5</definedName>
    <definedName name="M_Topic_I5_5">MiljoTiltak!$F$6</definedName>
    <definedName name="M_Topic_I5_6">MiljoTiltak!$F$7</definedName>
    <definedName name="M_Topic_I5_7">MiljoTiltak!$F$8</definedName>
    <definedName name="M_Topic_I5_8">MiljoTiltak!$F$9</definedName>
    <definedName name="M_Topic_I5_9">MiljoTiltak!$F$10</definedName>
    <definedName name="M_Topic_I6_1">MiljoTiltak!$G$2</definedName>
    <definedName name="M_Topic_I6_10">MiljoTiltak!$G$11</definedName>
    <definedName name="M_Topic_I6_11">MiljoTiltak!$G$12</definedName>
    <definedName name="M_Topic_I6_12">MiljoTiltak!$G$13</definedName>
    <definedName name="M_Topic_I6_13">MiljoTiltak!$G$14</definedName>
    <definedName name="M_Topic_I6_14">MiljoTiltak!$G$15</definedName>
    <definedName name="M_Topic_I6_15">MiljoTiltak!$G$16</definedName>
    <definedName name="M_Topic_I6_16">MiljoTiltak!$G$17</definedName>
    <definedName name="M_Topic_I6_17">MiljoTiltak!$G$18</definedName>
    <definedName name="M_Topic_I6_18">MiljoTiltak!$G$19</definedName>
    <definedName name="M_Topic_I6_19">MiljoTiltak!$G$20</definedName>
    <definedName name="M_Topic_I6_2">MiljoTiltak!$G$3</definedName>
    <definedName name="M_Topic_I6_20">MiljoTiltak!$G$21</definedName>
    <definedName name="M_Topic_I6_21">MiljoTiltak!$G$22</definedName>
    <definedName name="M_Topic_I6_22">MiljoTiltak!$G$23</definedName>
    <definedName name="M_Topic_I6_23">MiljoTiltak!$G$24</definedName>
    <definedName name="M_Topic_I6_24">MiljoTiltak!$G$25</definedName>
    <definedName name="M_Topic_I6_25">MiljoTiltak!$G$26</definedName>
    <definedName name="M_Topic_I6_26">MiljoTiltak!$G$27</definedName>
    <definedName name="M_Topic_I6_27">MiljoTiltak!$G$28</definedName>
    <definedName name="M_Topic_I6_3">MiljoTiltak!$G$4</definedName>
    <definedName name="M_Topic_I6_4">MiljoTiltak!$G$5</definedName>
    <definedName name="M_Topic_I6_5">MiljoTiltak!$G$6</definedName>
    <definedName name="M_Topic_I6_6">MiljoTiltak!$G$7</definedName>
    <definedName name="M_Topic_I6_7">MiljoTiltak!$G$8</definedName>
    <definedName name="M_Topic_I6_8">MiljoTiltak!$G$9</definedName>
    <definedName name="M_Topic_I6_9">MiljoTiltak!$G$10</definedName>
    <definedName name="M_Topic_I7_1">MiljoTiltak!$H$2</definedName>
    <definedName name="M_Topic_I7_10">MiljoTiltak!$H$11</definedName>
    <definedName name="M_Topic_I7_11">MiljoTiltak!$H$12</definedName>
    <definedName name="M_Topic_I7_12">MiljoTiltak!$H$13</definedName>
    <definedName name="M_Topic_I7_13">MiljoTiltak!$H$14</definedName>
    <definedName name="M_Topic_I7_14">MiljoTiltak!$H$15</definedName>
    <definedName name="M_Topic_I7_15">MiljoTiltak!$H$16</definedName>
    <definedName name="M_Topic_I7_16">MiljoTiltak!$H$17</definedName>
    <definedName name="M_Topic_I7_17">MiljoTiltak!$H$18</definedName>
    <definedName name="M_Topic_I7_18">MiljoTiltak!$H$19</definedName>
    <definedName name="M_Topic_I7_19">MiljoTiltak!$H$20</definedName>
    <definedName name="M_Topic_I7_2">MiljoTiltak!$H$3</definedName>
    <definedName name="M_Topic_I7_20">MiljoTiltak!$H$21</definedName>
    <definedName name="M_Topic_I7_21">MiljoTiltak!$H$22</definedName>
    <definedName name="M_Topic_I7_22">MiljoTiltak!$H$23</definedName>
    <definedName name="M_Topic_I7_23">MiljoTiltak!$H$24</definedName>
    <definedName name="M_Topic_I7_24">MiljoTiltak!$H$25</definedName>
    <definedName name="M_Topic_I7_25">MiljoTiltak!$H$26</definedName>
    <definedName name="M_Topic_I7_26">MiljoTiltak!$H$27</definedName>
    <definedName name="M_Topic_I7_27">MiljoTiltak!$H$28</definedName>
    <definedName name="M_Topic_I7_3">MiljoTiltak!$H$4</definedName>
    <definedName name="M_Topic_I7_4">MiljoTiltak!$H$5</definedName>
    <definedName name="M_Topic_I7_5">MiljoTiltak!$H$6</definedName>
    <definedName name="M_Topic_I7_6">MiljoTiltak!$H$7</definedName>
    <definedName name="M_Topic_I7_7">MiljoTiltak!$H$8</definedName>
    <definedName name="M_Topic_I7_8">MiljoTiltak!$H$9</definedName>
    <definedName name="M_Topic_I7_9">MiljoTiltak!$H$10</definedName>
    <definedName name="M_Topic_I8_1">MiljoTiltak!$I$2</definedName>
    <definedName name="M_Topic_I8_10">MiljoTiltak!$I$11</definedName>
    <definedName name="M_Topic_I8_11">MiljoTiltak!$I$12</definedName>
    <definedName name="M_Topic_I8_12">MiljoTiltak!$I$13</definedName>
    <definedName name="M_Topic_I8_13">MiljoTiltak!$I$14</definedName>
    <definedName name="M_Topic_I8_14">MiljoTiltak!$I$15</definedName>
    <definedName name="M_Topic_I8_15">MiljoTiltak!$I$16</definedName>
    <definedName name="M_Topic_I8_16">MiljoTiltak!$I$17</definedName>
    <definedName name="M_Topic_I8_17">MiljoTiltak!$I$18</definedName>
    <definedName name="M_Topic_I8_18">MiljoTiltak!$I$19</definedName>
    <definedName name="M_Topic_I8_19">MiljoTiltak!$I$20</definedName>
    <definedName name="M_Topic_I8_2">MiljoTiltak!$I$3</definedName>
    <definedName name="M_Topic_I8_20">MiljoTiltak!$I$21</definedName>
    <definedName name="M_Topic_I8_21">MiljoTiltak!$I$22</definedName>
    <definedName name="M_Topic_I8_22">MiljoTiltak!$I$23</definedName>
    <definedName name="M_Topic_I8_23">MiljoTiltak!$I$24</definedName>
    <definedName name="M_Topic_I8_24">MiljoTiltak!$I$25</definedName>
    <definedName name="M_Topic_I8_25">MiljoTiltak!$I$26</definedName>
    <definedName name="M_Topic_I8_26">MiljoTiltak!$I$27</definedName>
    <definedName name="M_Topic_I8_27">MiljoTiltak!$I$28</definedName>
    <definedName name="M_Topic_I8_3">MiljoTiltak!$I$4</definedName>
    <definedName name="M_Topic_I8_4">MiljoTiltak!$I$5</definedName>
    <definedName name="M_Topic_I8_5">MiljoTiltak!$I$6</definedName>
    <definedName name="M_Topic_I8_6">MiljoTiltak!$I$7</definedName>
    <definedName name="M_Topic_I8_7">MiljoTiltak!$I$8</definedName>
    <definedName name="M_Topic_I8_8">MiljoTiltak!$I$9</definedName>
    <definedName name="M_Topic_I8_9">MiljoTiltak!$I$10</definedName>
    <definedName name="M_Topic_I9_1">MiljoTiltak!$J$2</definedName>
    <definedName name="M_Topic_I9_10">MiljoTiltak!$J$11</definedName>
    <definedName name="M_Topic_I9_11">MiljoTiltak!$J$12</definedName>
    <definedName name="M_Topic_I9_12">MiljoTiltak!$J$13</definedName>
    <definedName name="M_Topic_I9_13">MiljoTiltak!$J$14</definedName>
    <definedName name="M_Topic_I9_14">MiljoTiltak!$J$15</definedName>
    <definedName name="M_Topic_I9_15">MiljoTiltak!$J$16</definedName>
    <definedName name="M_Topic_I9_16">MiljoTiltak!$J$17</definedName>
    <definedName name="M_Topic_I9_17">MiljoTiltak!$J$18</definedName>
    <definedName name="M_Topic_I9_18">MiljoTiltak!$J$19</definedName>
    <definedName name="M_Topic_I9_19">MiljoTiltak!$J$20</definedName>
    <definedName name="M_Topic_I9_2">MiljoTiltak!$J$3</definedName>
    <definedName name="M_Topic_I9_20">MiljoTiltak!$J$21</definedName>
    <definedName name="M_Topic_I9_21">MiljoTiltak!$J$22</definedName>
    <definedName name="M_Topic_I9_22">MiljoTiltak!$J$23</definedName>
    <definedName name="M_Topic_I9_23">MiljoTiltak!$J$24</definedName>
    <definedName name="M_Topic_I9_24">MiljoTiltak!$J$25</definedName>
    <definedName name="M_Topic_I9_25">MiljoTiltak!$J$26</definedName>
    <definedName name="M_Topic_I9_26">MiljoTiltak!$J$27</definedName>
    <definedName name="M_Topic_I9_27">MiljoTiltak!$J$28</definedName>
    <definedName name="M_Topic_I9_3">MiljoTiltak!$J$4</definedName>
    <definedName name="M_Topic_I9_4">MiljoTiltak!$J$5</definedName>
    <definedName name="M_Topic_I9_5">MiljoTiltak!$J$6</definedName>
    <definedName name="M_Topic_I9_6">MiljoTiltak!$J$7</definedName>
    <definedName name="M_Topic_I9_7">MiljoTiltak!$J$8</definedName>
    <definedName name="M_Topic_I9_8">MiljoTiltak!$J$9</definedName>
    <definedName name="M_Topic_I9_9">MiljoTiltak!$J$10</definedName>
    <definedName name="M_TopicA_I1">MiljoTiltak!$B$1</definedName>
    <definedName name="M_TopicA_I10">MiljoTiltak!$K$1</definedName>
    <definedName name="M_TopicA_I11">MiljoTiltak!$L$1</definedName>
    <definedName name="M_TopicA_I12">MiljoTiltak!$M$1</definedName>
    <definedName name="M_TopicA_I13">MiljoTiltak!$N$1</definedName>
    <definedName name="M_TopicA_I14">MiljoTiltak!$O$1</definedName>
    <definedName name="M_TopicA_I15">MiljoTiltak!$P$1</definedName>
    <definedName name="M_TopicA_I2">MiljoTiltak!$C$1</definedName>
    <definedName name="M_TopicA_I3">MiljoTiltak!$D$1</definedName>
    <definedName name="M_TopicA_I4">MiljoTiltak!$E$1</definedName>
    <definedName name="M_TopicA_I5">MiljoTiltak!$F$1</definedName>
    <definedName name="M_TopicA_I6">MiljoTiltak!$G$1</definedName>
    <definedName name="M_TopicA_I7">MiljoTiltak!$H$1</definedName>
    <definedName name="M_TopicA_I8">MiljoTiltak!$I$1</definedName>
    <definedName name="M_TopicA_I9">MiljoTiltak!$J$1</definedName>
    <definedName name="M_TopicB_I1">MiljoTiltak!$A$2</definedName>
    <definedName name="M_TopicB_I10">MiljoTiltak!$A$11</definedName>
    <definedName name="M_TopicB_I11">MiljoTiltak!$A$12</definedName>
    <definedName name="M_TopicB_I12">MiljoTiltak!$A$13</definedName>
    <definedName name="M_TopicB_I13">MiljoTiltak!$A$14</definedName>
    <definedName name="M_TopicB_I14">MiljoTiltak!$A$15</definedName>
    <definedName name="M_TopicB_I15">MiljoTiltak!$A$16</definedName>
    <definedName name="M_TopicB_I2">MiljoTiltak!$A$3</definedName>
    <definedName name="M_TopicB_I3">MiljoTiltak!$A$4</definedName>
    <definedName name="M_TopicB_I4">MiljoTiltak!$A$5</definedName>
    <definedName name="M_TopicB_I5">MiljoTiltak!$A$6</definedName>
    <definedName name="M_TopicB_I6">MiljoTiltak!$A$7</definedName>
    <definedName name="M_TopicB_I7">MiljoTiltak!$A$8</definedName>
    <definedName name="M_TopicB_I8">MiljoTiltak!$A$9</definedName>
    <definedName name="M_TopicB_I9">MiljoTiltak!$A$10</definedName>
    <definedName name="Manufacturers">ProjectExport!$G$232</definedName>
    <definedName name="MapLatitude">ProjectExport!$G$68</definedName>
    <definedName name="MapLongitude">ProjectExport!$G$69</definedName>
    <definedName name="MapZoomLevel">ProjectExport!$G$70</definedName>
    <definedName name="Master">MiljoTiltak!$A$2:INDEX(MiljoTiltak!$A:$A,COUNTA(MiljoTiltak!$A:$A))</definedName>
    <definedName name="MasterFK">FylkeKommune!$A$2:INDEX(FylkeKommune!$A:$A,COUNTA(FylkeKommune!$A:$A))</definedName>
    <definedName name="MeasuredAirTightness">ProjectExport!$G$302</definedName>
    <definedName name="MerkostnadEnergiM2Enova">ProjectExport!$G$318</definedName>
    <definedName name="MerkostnadM2">ProjectExport!$G$317</definedName>
    <definedName name="MerkostnadUniversellUtformingM2">ProjectExport!$G$319</definedName>
    <definedName name="Miljøtema">MiljoTiltak!$A$1:$A$15</definedName>
    <definedName name="Municipalities">ProjectExport!$G$67</definedName>
    <definedName name="MunicipalitiesCollaboration">ProjectExport!$G$146</definedName>
    <definedName name="Name">ProjectExport!$G$3</definedName>
    <definedName name="Name_Enumeration_Bygningskategori">Enumerations!$X$2:$X$15</definedName>
    <definedName name="Name_Enumeration_EcoProjectTemplate">Enumerations!$Z$2:$Z$4</definedName>
    <definedName name="Name_Enumeration_EcoProjectTemplateId">Enumerations!$AA$2:$AA$4</definedName>
    <definedName name="Name_Enumeration_Energiforsyningssystem">Enumerations!$Y$2:$Y$25</definedName>
    <definedName name="Name_Enumeration_EnergyLabel">Enumerations!$A$2:$A$9</definedName>
    <definedName name="Name_Enumeration_EnergyLabelCodename">Enumerations!$B$2:$B$9</definedName>
    <definedName name="Name_Enumeration_EnergyLabelValue">Enumerations!$C$2:$C$9</definedName>
    <definedName name="Name_Enumeration_FByerImportance">Enumerations!$G$2:$G$5</definedName>
    <definedName name="Name_Enumeration_FByerImportanceCodename">Enumerations!$H$2:$H$5</definedName>
    <definedName name="Name_Enumeration_FByerImportanceValue">Enumerations!$I$2:$I$5</definedName>
    <definedName name="Name_Enumeration_FByerTimeUsage">Enumerations!$J$2:$J$4</definedName>
    <definedName name="Name_Enumeration_FByerTimeUsageCodename">Enumerations!$K$2:$K$4</definedName>
    <definedName name="Name_Enumeration_FByerTimeUsageValue">Enumerations!$L$2:$L$4</definedName>
    <definedName name="Name_Enumeration_GeneralProjectType">Enumerations!$M$2:$M$6</definedName>
    <definedName name="Name_Enumeration_GeneralProjectTypeCodename">Enumerations!$N$2:$N$6</definedName>
    <definedName name="Name_Enumeration_GeneralProjectTypeValue">Enumerations!$O$2:$O$6</definedName>
    <definedName name="Name_Enumeration_HeatRating">Enumerations!$D$2:$D$7</definedName>
    <definedName name="Name_Enumeration_HeatRatingCodename">Enumerations!$E$2:$E$7</definedName>
    <definedName name="Name_Enumeration_HeatRatingValue">Enumerations!$F$2:$F$7</definedName>
    <definedName name="Name_Enumeration_MapZoomLevel">Enumerations!$U$2:$U$17</definedName>
    <definedName name="Name_Enumeration_MapZoomLevelCodename">Enumerations!$V$2:$V$17</definedName>
    <definedName name="Name_Enumeration_MapZoomLevelValue">Enumerations!$W$2:$W$17</definedName>
    <definedName name="Name_Enumeration_ProgressStatus">Enumerations!$P$2:$P$4</definedName>
    <definedName name="Name_Enumeration_ProgressStatusCodename">Enumerations!$Q$2:$Q$4</definedName>
    <definedName name="Name_Enumeration_ProgressStatusValue">Enumerations!$R$2:$R$4</definedName>
    <definedName name="Name_rel_ArchitectofficeCategorys">Relations!$E$2:$E$28</definedName>
    <definedName name="Name_rel_ProjectPhases">Relations!$A$2:$A$8</definedName>
    <definedName name="Name_rel_ProjectTypes">Relations!$C$2:$C$13</definedName>
    <definedName name="Name_rel_Usergroups">Relations!$I$2:$I$50</definedName>
    <definedName name="Name_tbl_ArchitectofficeCategorys">tbl_ArchitectofficeCategorys!$D$2:$D$32</definedName>
    <definedName name="Name_tbl_ArchitectofficeCategorys_Id">tbl_ArchitectofficeCategorys!$C$2:$C$32</definedName>
    <definedName name="Name_tbl_ArchitectureGuides">tbl_ArchitectureGuides!$D$2</definedName>
    <definedName name="Name_tbl_ArchitectureGuides_Id">tbl_ArchitectureGuides!$C$2</definedName>
    <definedName name="Name_tbl_ArchitectureOffices">tbl_ArchitectureOffices!$D$2:$D$548</definedName>
    <definedName name="Name_tbl_ArchitectureOffices_Id">tbl_ArchitectureOffices!$C$2:$C$548</definedName>
    <definedName name="Name_tbl_Companys">tbl_Companys!$D$2:$D$1282</definedName>
    <definedName name="Name_tbl_Companys_Id">tbl_Companys!$C$2:$C$1282</definedName>
    <definedName name="Name_tbl_ConsultingCompanys">tbl_ConsultingCompanys!$D$2:$D$735</definedName>
    <definedName name="Name_tbl_ConsultingCompanys_Id">tbl_ConsultingCompanys!$C$2:$C$735</definedName>
    <definedName name="Name_tbl_ContractingForms">tbl_ContractingForms!$D$2:$D$7</definedName>
    <definedName name="Name_tbl_ContractingForms_Id">tbl_ContractingForms!$C$2:$C$7</definedName>
    <definedName name="Name_tbl_Countys">tbl_Countys!$D$2:$D$22</definedName>
    <definedName name="Name_tbl_Countys_Id">tbl_Countys!$C$2:$C$22</definedName>
    <definedName name="Name_tbl_EcoMeasureTypeCategorys">tbl_EcoMeasureTypeCategorys!$G$2:$G$15</definedName>
    <definedName name="Name_tbl_EcoMeasureTypeCategorys_Id">tbl_EcoMeasureTypeCategorys!$C$2:$C$15</definedName>
    <definedName name="Name_tbl_EcoMeasureTypeCategorys_Measure">tbl_EcoMeasureTypeCategorys!$F$2:$F$133</definedName>
    <definedName name="Name_tbl_EcoMeasureTypeCategorys_Measure_Id">tbl_EcoMeasureTypeCategorys!$D$2:$D$133</definedName>
    <definedName name="Name_tbl_EcoMeasureTypeCategorys_Type">tbl_EcoMeasureTypeCategorys!$B$2:$B$133</definedName>
    <definedName name="Name_tbl_EcoMeasureTypeCategorys_Type_Id">tbl_EcoMeasureTypeCategorys!$A$2:$A$133</definedName>
    <definedName name="Name_tbl_EcoMeasureTypes">tbl_EcoMeasureTypes!$D$2:$D$131</definedName>
    <definedName name="Name_tbl_EcoMeasureTypes_Id">tbl_EcoMeasureTypes!$C$2:$C$131</definedName>
    <definedName name="Name_tbl_EnvironmentalStandards">tbl_EnvironmentalStandards!$D$2:$D$8</definedName>
    <definedName name="Name_tbl_EnvironmentalStandards_Id">tbl_EnvironmentalStandards!$C$2:$C$8</definedName>
    <definedName name="Name_tbl_ExternalProjectDBUsers">tbl_ExternalProjectDBUsers!$D$2:$D$28</definedName>
    <definedName name="Name_tbl_ExternalProjectDBUsers_Id">tbl_ExternalProjectDBUsers!$C$2:$C$28</definedName>
    <definedName name="Name_tbl_ExternalTags">tbl_ExternalTags!$D$2:$D$10</definedName>
    <definedName name="Name_tbl_ExternalTags_Id">tbl_ExternalTags!$C$2:$C$10</definedName>
    <definedName name="Name_tbl_FByerExternalTags">tbl_FByerExternalTags!$D$2:$D$6</definedName>
    <definedName name="Name_tbl_FByerExternalTags_Id">tbl_FByerExternalTags!$C$2:$C$6</definedName>
    <definedName name="Name_tbl_Municipalitys">tbl_Municipalitys!$D$2:$D$429</definedName>
    <definedName name="Name_tbl_Municipalitys_Id">tbl_Municipalitys!$C$2:$C$429</definedName>
    <definedName name="Name_tbl_ProjectAwardss">tbl_ProjectAwardss!$D$2:$D$13</definedName>
    <definedName name="Name_tbl_ProjectAwardss_Id">tbl_ProjectAwardss!$C$2:$C$13</definedName>
    <definedName name="Name_tbl_ProjectCompetitions">tbl_ProjectCompetitions!$D$2:$D$15</definedName>
    <definedName name="Name_tbl_ProjectCompetitions_Id">tbl_ProjectCompetitions!$C$2:$C$15</definedName>
    <definedName name="Name_tbl_ProjectPhases">tbl_ProjectPhases!$D$2:$D$7</definedName>
    <definedName name="Name_tbl_ProjectPhases_Id">tbl_ProjectPhases!$C$2:$C$7</definedName>
    <definedName name="Name_tbl_ProjectTypes">tbl_ProjectTypes!$D$2:$D$10</definedName>
    <definedName name="Name_tbl_ProjectTypes_Id">tbl_ProjectTypes!$C$2:$C$10</definedName>
    <definedName name="Name_tbl_Researchs">tbl_Researchs!$D$2:$D$8</definedName>
    <definedName name="Name_tbl_Researchs_Id">tbl_Researchs!$C$2:$C$8</definedName>
    <definedName name="Name_tbl_RoleModels">tbl_RoleModels!$D$2:$D$12</definedName>
    <definedName name="Name_tbl_RoleModels_Id">tbl_RoleModels!$C$2:$C$12</definedName>
    <definedName name="NameTableArchitechtureOffices">Relations!$K$2:$M$2000</definedName>
    <definedName name="NameTableCompanys">Relations!$N$2:$P$2000</definedName>
    <definedName name="NameTableConsultingCompanys">Relations!$Q$2:$S$2000</definedName>
    <definedName name="NetEnergy">ProjectExport!$G$290</definedName>
    <definedName name="NetEnergy3700">ProjectExport!$G$288</definedName>
    <definedName name="NumberOfResidents">ProjectExport!$G$248</definedName>
    <definedName name="O_AdvisorIngAcoustics_I" localSheetId="0">OPPLYSNINGER!$F$64</definedName>
    <definedName name="O_AdvisorIngAcoustics_I">#REF!</definedName>
    <definedName name="O_AdvisorIngBuildingPhysics_I" localSheetId="0">OPPLYSNINGER!$F$62</definedName>
    <definedName name="O_AdvisorIngBuildingPhysics_I">#REF!</definedName>
    <definedName name="O_AdvisorIngBygg_I" localSheetId="0">OPPLYSNINGER!$F$59</definedName>
    <definedName name="O_AdvisorIngBygg_I">#REF!</definedName>
    <definedName name="O_AdvisorIngElektro_I" localSheetId="0">OPPLYSNINGER!$F$61</definedName>
    <definedName name="O_AdvisorIngElektro_I">#REF!</definedName>
    <definedName name="O_AdvisorIngFireSafety_I" localSheetId="0">OPPLYSNINGER!$F$63</definedName>
    <definedName name="O_AdvisorIngFireSafety_I">#REF!</definedName>
    <definedName name="O_AdvisorIngVVS_I" localSheetId="0">OPPLYSNINGER!$F$60</definedName>
    <definedName name="O_AdvisorIngVVS_I">#REF!</definedName>
    <definedName name="O_ArchitectARK_I1" localSheetId="0">OPPLYSNINGER!$F$53</definedName>
    <definedName name="O_ArchitectARK_I1">#REF!</definedName>
    <definedName name="O_ArchitectARK_I2" localSheetId="0">OPPLYSNINGER!#REF!</definedName>
    <definedName name="O_ArchitectARK_I2">#REF!</definedName>
    <definedName name="O_ArchitectIARK_I1" localSheetId="0">OPPLYSNINGER!$F$55</definedName>
    <definedName name="O_ArchitectIARK_I1">#REF!</definedName>
    <definedName name="O_ArchitectIARK_I2" localSheetId="0">OPPLYSNINGER!#REF!</definedName>
    <definedName name="O_ArchitectIARK_I2">#REF!</definedName>
    <definedName name="O_ArchitectLARK_I1" localSheetId="0">OPPLYSNINGER!$F$54</definedName>
    <definedName name="O_ArchitectLARK_I1">#REF!</definedName>
    <definedName name="O_ArchitectLARK_I2" localSheetId="0">OPPLYSNINGER!#REF!</definedName>
    <definedName name="O_ArchitectLARK_I2">#REF!</definedName>
    <definedName name="O_AreaUsed_I" localSheetId="0">OPPLYSNINGER!#REF!</definedName>
    <definedName name="O_AreaUsed_I">#REF!</definedName>
    <definedName name="O_BikeParkingArea_I" localSheetId="0">OPPLYSNINGER!#REF!</definedName>
    <definedName name="O_BikeParkingArea_I">#REF!</definedName>
    <definedName name="O_BikeParkingSpotsPerUnit_I" localSheetId="0">OPPLYSNINGER!#REF!</definedName>
    <definedName name="O_BikeParkingSpotsPerUnit_I">#REF!</definedName>
    <definedName name="O_Builders_I1" localSheetId="0">OPPLYSNINGER!$F$51</definedName>
    <definedName name="O_Builders_I1">#REF!</definedName>
    <definedName name="O_BuildingConservation_I" localSheetId="0">OPPLYSNINGER!#REF!</definedName>
    <definedName name="O_BuildingConservation_I">#REF!</definedName>
    <definedName name="O_BuildingCosts_I" localSheetId="0">OPPLYSNINGER!#REF!</definedName>
    <definedName name="O_BuildingCosts_I">#REF!</definedName>
    <definedName name="O_BuildingCostsSum_I" localSheetId="0">OPPLYSNINGER!#REF!</definedName>
    <definedName name="O_BuildingCostsSum_I">#REF!</definedName>
    <definedName name="O_CO2DesignedEnergy_I" localSheetId="0">OPPLYSNINGER!$F$94</definedName>
    <definedName name="O_CO2DesignedEnergy_I">#REF!</definedName>
    <definedName name="O_CO2DesignedMaterials_I" localSheetId="0">OPPLYSNINGER!$F$95</definedName>
    <definedName name="O_CO2DesignedMaterials_I">#REF!</definedName>
    <definedName name="O_CO2DesignedTransport_I" localSheetId="0">OPPLYSNINGER!$F$93</definedName>
    <definedName name="O_CO2DesignedTransport_I">#REF!</definedName>
    <definedName name="O_CO2FinishedEnergy_I" localSheetId="0">OPPLYSNINGER!$F$97</definedName>
    <definedName name="O_CO2FinishedEnergy_I">#REF!</definedName>
    <definedName name="O_CO2FinishedMaterials_I" localSheetId="0">OPPLYSNINGER!$F$98</definedName>
    <definedName name="O_CO2FinishedMaterials_I">#REF!</definedName>
    <definedName name="O_CO2FinishedTransport_I" localSheetId="0">OPPLYSNINGER!$F$96</definedName>
    <definedName name="O_CO2FinishedTransport_I">#REF!</definedName>
    <definedName name="O_CO2InUseEnergy_I" localSheetId="0">OPPLYSNINGER!$F$100</definedName>
    <definedName name="O_CO2InUseEnergy_I">#REF!</definedName>
    <definedName name="O_CO2InUseMaterials_I" localSheetId="0">OPPLYSNINGER!$F$101</definedName>
    <definedName name="O_CO2InUseMaterials_I">#REF!</definedName>
    <definedName name="O_CO2InUseTransport_I" localSheetId="0">OPPLYSNINGER!$F$99</definedName>
    <definedName name="O_CO2InUseTransport_I">#REF!</definedName>
    <definedName name="O_CO2Method_I" localSheetId="0">OPPLYSNINGER!#REF!</definedName>
    <definedName name="O_CO2Method_I">#REF!</definedName>
    <definedName name="O_CO2ReferenceEnergy_I" localSheetId="0">OPPLYSNINGER!#REF!</definedName>
    <definedName name="O_CO2ReferenceEnergy_I">#REF!</definedName>
    <definedName name="O_CO2ReferenceMaterials_I" localSheetId="0">OPPLYSNINGER!#REF!</definedName>
    <definedName name="O_CO2ReferenceMaterials_I">#REF!</definedName>
    <definedName name="O_CO2ReferenceTransport_I" localSheetId="0">OPPLYSNINGER!#REF!</definedName>
    <definedName name="O_CO2ReferenceTransport_I">#REF!</definedName>
    <definedName name="O_ColdBridge_I" localSheetId="0">OPPLYSNINGER!#REF!</definedName>
    <definedName name="O_ColdBridge_I">#REF!</definedName>
    <definedName name="O_CompactnessFactor_I" localSheetId="0">OPPLYSNINGER!#REF!</definedName>
    <definedName name="O_CompactnessFactor_I">#REF!</definedName>
    <definedName name="O_ConstructionCompletedYear_I" localSheetId="0">OPPLYSNINGER!$F$25</definedName>
    <definedName name="O_ConstructionCompletedYear_I">#REF!</definedName>
    <definedName name="O_ConstructionManagement_I1" localSheetId="0">OPPLYSNINGER!$F$72</definedName>
    <definedName name="O_ConstructionManagement_I1">#REF!</definedName>
    <definedName name="O_ConstructionManagement_I2" localSheetId="0">OPPLYSNINGER!$F$73</definedName>
    <definedName name="O_ConstructionManagement_I2">#REF!</definedName>
    <definedName name="O_ConstructionStartedYear_I" localSheetId="0">OPPLYSNINGER!$F$24</definedName>
    <definedName name="O_ConstructionStartedYear_I">#REF!</definedName>
    <definedName name="O_Contact_I" localSheetId="0">OPPLYSNINGER!#REF!</definedName>
    <definedName name="O_Contact_I">#REF!</definedName>
    <definedName name="O_ContactEmail_I" localSheetId="0">OPPLYSNINGER!#REF!</definedName>
    <definedName name="O_ContactEmail_I">#REF!</definedName>
    <definedName name="O_ContactPhone_I" localSheetId="0">OPPLYSNINGER!#REF!</definedName>
    <definedName name="O_ContactPhone_I">#REF!</definedName>
    <definedName name="O_Contractors_I1" localSheetId="0">OPPLYSNINGER!$F$69</definedName>
    <definedName name="O_Contractors_I1">#REF!</definedName>
    <definedName name="O_Contractors_I2" localSheetId="0">OPPLYSNINGER!$F$70</definedName>
    <definedName name="O_Contractors_I2">#REF!</definedName>
    <definedName name="O_Contractors_I3" localSheetId="0">OPPLYSNINGER!$F$71</definedName>
    <definedName name="O_Contractors_I3">#REF!</definedName>
    <definedName name="O_County_I1" localSheetId="0">OPPLYSNINGER!#REF!</definedName>
    <definedName name="O_County_I1">#REF!</definedName>
    <definedName name="O_DateToday_I" localSheetId="0">OPPLYSNINGER!$F$18</definedName>
    <definedName name="O_DateToday_I">#REF!</definedName>
    <definedName name="O_DistanceToCityCenter_I" localSheetId="0">OPPLYSNINGER!#REF!</definedName>
    <definedName name="O_DistanceToCityCenter_I">#REF!</definedName>
    <definedName name="O_DistanceToCollectivePoint_I" localSheetId="0">OPPLYSNINGER!#REF!</definedName>
    <definedName name="O_DistanceToCollectivePoint_I">#REF!</definedName>
    <definedName name="O_DomesticHotWater_I" localSheetId="0">OPPLYSNINGER!#REF!</definedName>
    <definedName name="O_DomesticHotWater_I">#REF!</definedName>
    <definedName name="O_Energiforsyningssystem_I1" localSheetId="0">OPPLYSNINGER!$F$90</definedName>
    <definedName name="O_Energiforsyningssystem_I1">#REF!</definedName>
    <definedName name="O_Energiforsyningssystem_I2" localSheetId="0">OPPLYSNINGER!#REF!</definedName>
    <definedName name="O_Energiforsyningssystem_I2">#REF!</definedName>
    <definedName name="O_Energiforsyningssystem_I3" localSheetId="0">OPPLYSNINGER!#REF!</definedName>
    <definedName name="O_Energiforsyningssystem_I3">#REF!</definedName>
    <definedName name="O_Energiforsyningssystem_I4" localSheetId="0">OPPLYSNINGER!#REF!</definedName>
    <definedName name="O_Energiforsyningssystem_I4">#REF!</definedName>
    <definedName name="O_EnergiforsyningssystemKommentar_I1" localSheetId="0">OPPLYSNINGER!$G$90</definedName>
    <definedName name="O_EnergiforsyningssystemKommentar_I1">#REF!</definedName>
    <definedName name="O_EnergiforsyningssystemKommentar_I2" localSheetId="0">OPPLYSNINGER!#REF!</definedName>
    <definedName name="O_EnergiforsyningssystemKommentar_I2">#REF!</definedName>
    <definedName name="O_EnergiforsyningssystemKommentar_I3" localSheetId="0">OPPLYSNINGER!#REF!</definedName>
    <definedName name="O_EnergiforsyningssystemKommentar_I3">#REF!</definedName>
    <definedName name="O_EnergiforsyningssystemKommentar_I4" localSheetId="0">OPPLYSNINGER!#REF!</definedName>
    <definedName name="O_EnergiforsyningssystemKommentar_I4">#REF!</definedName>
    <definedName name="O_EnergyConsultants_I1" localSheetId="0">OPPLYSNINGER!$F$58</definedName>
    <definedName name="O_EnergyConsultants_I1">#REF!</definedName>
    <definedName name="O_EnergyConsultants_I2" localSheetId="0">OPPLYSNINGER!#REF!</definedName>
    <definedName name="O_EnergyConsultants_I2">#REF!</definedName>
    <definedName name="O_EnergyConsumption_I" localSheetId="0">OPPLYSNINGER!#REF!</definedName>
    <definedName name="O_EnergyConsumption_I">#REF!</definedName>
    <definedName name="O_EnergyConvertedFromElectricityToRenewable_I" localSheetId="0">OPPLYSNINGER!#REF!</definedName>
    <definedName name="O_EnergyConvertedFromElectricityToRenewable_I">#REF!</definedName>
    <definedName name="O_EnergyConvertedFromFossilToRenewable_I" localSheetId="0">OPPLYSNINGER!#REF!</definedName>
    <definedName name="O_EnergyConvertedFromFossilToRenewable_I">#REF!</definedName>
    <definedName name="O_EnergyDelivered_I" localSheetId="0">OPPLYSNINGER!$F$86</definedName>
    <definedName name="O_EnergyDelivered_I">#REF!</definedName>
    <definedName name="O_EnergyEfficiencyMethod_I" localSheetId="0">OPPLYSNINGER!#REF!</definedName>
    <definedName name="O_EnergyEfficiencyMethod_I">#REF!</definedName>
    <definedName name="O_EnergyLabel_I" localSheetId="0">OPPLYSNINGER!#REF!</definedName>
    <definedName name="O_EnergyLabel_I">#REF!</definedName>
    <definedName name="O_EnergySavings_I" localSheetId="0">OPPLYSNINGER!#REF!</definedName>
    <definedName name="O_EnergySavings_I">#REF!</definedName>
    <definedName name="O_EnergySources_I" localSheetId="0">OPPLYSNINGER!#REF!</definedName>
    <definedName name="O_EnergySources_I">#REF!</definedName>
    <definedName name="O_EnovaFactsComfort_I" localSheetId="0">OPPLYSNINGER!#REF!</definedName>
    <definedName name="O_EnovaFactsComfort_I">#REF!</definedName>
    <definedName name="O_EnovaFactsEnergy_I" localSheetId="0">OPPLYSNINGER!#REF!</definedName>
    <definedName name="O_EnovaFactsEnergy_I">#REF!</definedName>
    <definedName name="O_EnvironmentConsultants_I1" localSheetId="0">OPPLYSNINGER!$F$57</definedName>
    <definedName name="O_EnvironmentConsultants_I1">#REF!</definedName>
    <definedName name="O_EnvironmentConsultants_I2" localSheetId="0">OPPLYSNINGER!#REF!</definedName>
    <definedName name="O_EnvironmentConsultants_I2">#REF!</definedName>
    <definedName name="O_EstimatedDeliveredEnergy_I" localSheetId="0">OPPLYSNINGER!$F$85</definedName>
    <definedName name="O_EstimatedDeliveredEnergy_I">#REF!</definedName>
    <definedName name="O_EstimatedDeliveredEnergy3700_I" localSheetId="0">OPPLYSNINGER!#REF!</definedName>
    <definedName name="O_EstimatedDeliveredEnergy3700_I">#REF!</definedName>
    <definedName name="O_FanAdministration_I" localSheetId="0">OPPLYSNINGER!#REF!</definedName>
    <definedName name="O_FanAdministration_I">#REF!</definedName>
    <definedName name="O_FunctionBuildingCategory_I1" localSheetId="0">OPPLYSNINGER!$F$28</definedName>
    <definedName name="O_FunctionBuildingCategory_I1">#REF!</definedName>
    <definedName name="O_FunctionBuildingCategory_I2" localSheetId="0">OPPLYSNINGER!#REF!</definedName>
    <definedName name="O_FunctionBuildingCategory_I2">#REF!</definedName>
    <definedName name="O_FunctionBuildingCategory_I3" localSheetId="0">OPPLYSNINGER!#REF!</definedName>
    <definedName name="O_FunctionBuildingCategory_I3">#REF!</definedName>
    <definedName name="O_GrossSquareFoot_I" localSheetId="0">OPPLYSNINGER!#REF!</definedName>
    <definedName name="O_GrossSquareFoot_I">#REF!</definedName>
    <definedName name="O_GrossSquareFootBTA_I" localSheetId="0">OPPLYSNINGER!#REF!</definedName>
    <definedName name="O_GrossSquareFootBTA_I">#REF!</definedName>
    <definedName name="O_GrossSquareFootHeated_I" localSheetId="0">OPPLYSNINGER!#REF!</definedName>
    <definedName name="O_GrossSquareFootHeated_I">#REF!</definedName>
    <definedName name="O_HeatedVolume_I" localSheetId="0">OPPLYSNINGER!#REF!</definedName>
    <definedName name="O_HeatedVolume_I">#REF!</definedName>
    <definedName name="O_HeatRating_I" localSheetId="0">OPPLYSNINGER!#REF!</definedName>
    <definedName name="O_HeatRating_I">#REF!</definedName>
    <definedName name="O_HeatRecoveryEfficiency_I" localSheetId="0">OPPLYSNINGER!#REF!</definedName>
    <definedName name="O_HeatRecoveryEfficiency_I">#REF!</definedName>
    <definedName name="O_Lighting_I" localSheetId="0">OPPLYSNINGER!#REF!</definedName>
    <definedName name="O_Lighting_I">#REF!</definedName>
    <definedName name="O_Location_I" localSheetId="0">OPPLYSNINGER!#REF!</definedName>
    <definedName name="O_Location_I">#REF!</definedName>
    <definedName name="O_Manufacturers_I" localSheetId="0">OPPLYSNINGER!$F$81</definedName>
    <definedName name="O_Manufacturers_I">#REF!</definedName>
    <definedName name="O_MapLatitude_I" localSheetId="0">OPPLYSNINGER!#REF!</definedName>
    <definedName name="O_MapLatitude_I">#REF!</definedName>
    <definedName name="O_MapLongitude_I" localSheetId="0">OPPLYSNINGER!#REF!</definedName>
    <definedName name="O_MapLongitude_I">#REF!</definedName>
    <definedName name="O_MeasuredAirTightness_I" localSheetId="0">OPPLYSNINGER!#REF!</definedName>
    <definedName name="O_MeasuredAirTightness_I">#REF!</definedName>
    <definedName name="O_MerkostnadEnergiM2Enova_I" localSheetId="0">OPPLYSNINGER!#REF!</definedName>
    <definedName name="O_MerkostnadEnergiM2Enova_I">#REF!</definedName>
    <definedName name="O_MerkostnadM2_I" localSheetId="0">OPPLYSNINGER!#REF!</definedName>
    <definedName name="O_MerkostnadM2_I">#REF!</definedName>
    <definedName name="O_MerkostnadUniversellUtformingM2_I" localSheetId="0">OPPLYSNINGER!#REF!</definedName>
    <definedName name="O_MerkostnadUniversellUtformingM2_I">#REF!</definedName>
    <definedName name="O_Municipalities_I1" localSheetId="0">OPPLYSNINGER!$F$23</definedName>
    <definedName name="O_Municipalities_I1">#REF!</definedName>
    <definedName name="O_Name_I" localSheetId="0">OPPLYSNINGER!$F$21</definedName>
    <definedName name="O_Name_I">#REF!</definedName>
    <definedName name="O_NetEnergy_I" localSheetId="0">OPPLYSNINGER!$F$84</definedName>
    <definedName name="O_NetEnergy_I">#REF!</definedName>
    <definedName name="O_NetEnergy3700_I" localSheetId="0">OPPLYSNINGER!#REF!</definedName>
    <definedName name="O_NetEnergy3700_I">#REF!</definedName>
    <definedName name="O_NumberOfResidents_Barnehageplasser_I" localSheetId="0">OPPLYSNINGER!#REF!</definedName>
    <definedName name="O_NumberOfResidents_Barnehageplasser_I">#REF!</definedName>
    <definedName name="O_NumberOfResidents_Beboere_I" localSheetId="0">OPPLYSNINGER!#REF!</definedName>
    <definedName name="O_NumberOfResidents_Beboere_I">#REF!</definedName>
    <definedName name="O_NumberOfResidents_Brukere_I" localSheetId="0">OPPLYSNINGER!#REF!</definedName>
    <definedName name="O_NumberOfResidents_Brukere_I">#REF!</definedName>
    <definedName name="O_NumberOfResidents_Elever_I" localSheetId="0">OPPLYSNINGER!#REF!</definedName>
    <definedName name="O_NumberOfResidents_Elever_I">#REF!</definedName>
    <definedName name="O_NumberOfResidents_Hotellrom_I" localSheetId="0">OPPLYSNINGER!#REF!</definedName>
    <definedName name="O_NumberOfResidents_Hotellrom_I">#REF!</definedName>
    <definedName name="O_NumberOfResidents_Hotellsenger_I" localSheetId="0">OPPLYSNINGER!#REF!</definedName>
    <definedName name="O_NumberOfResidents_Hotellsenger_I">#REF!</definedName>
    <definedName name="O_NumberOfResidents_I" localSheetId="0">OPPLYSNINGER!#REF!</definedName>
    <definedName name="O_NumberOfResidents_I">#REF!</definedName>
    <definedName name="O_NumberOfResidents_Pasienter_I" localSheetId="0">OPPLYSNINGER!#REF!</definedName>
    <definedName name="O_NumberOfResidents_Pasienter_I">#REF!</definedName>
    <definedName name="O_NumberOfResidents_Studenter_I" localSheetId="0">OPPLYSNINGER!#REF!</definedName>
    <definedName name="O_NumberOfResidents_Studenter_I">#REF!</definedName>
    <definedName name="O_NumberOfResidents_Årsverk_I" localSheetId="0">OPPLYSNINGER!#REF!</definedName>
    <definedName name="O_NumberOfResidents_Årsverk_I">#REF!</definedName>
    <definedName name="O_OriginalArchitect_I1" localSheetId="0">OPPLYSNINGER!$F$56</definedName>
    <definedName name="O_OriginalArchitect_I1">#REF!</definedName>
    <definedName name="O_OriginalArchitect_I2" localSheetId="0">OPPLYSNINGER!#REF!</definedName>
    <definedName name="O_OriginalArchitect_I2">#REF!</definedName>
    <definedName name="O_OtherAdvisors_I" localSheetId="0">OPPLYSNINGER!$F$68</definedName>
    <definedName name="O_OtherAdvisors_I">#REF!</definedName>
    <definedName name="O_OtherEnergyPosts_I" localSheetId="0">OPPLYSNINGER!#REF!</definedName>
    <definedName name="O_OtherEnergyPosts_I">#REF!</definedName>
    <definedName name="O_ParkingArea_I" localSheetId="0">OPPLYSNINGER!#REF!</definedName>
    <definedName name="O_ParkingArea_I">#REF!</definedName>
    <definedName name="O_ParkingSpotsPerUnit_I" localSheetId="0">OPPLYSNINGER!#REF!</definedName>
    <definedName name="O_ParkingSpotsPerUnit_I">#REF!</definedName>
    <definedName name="O_ProjectAddress_I" localSheetId="0">OPPLYSNINGER!$F$22</definedName>
    <definedName name="O_ProjectAddress_I">#REF!</definedName>
    <definedName name="O_ProjectAwards_I1" localSheetId="0">OPPLYSNINGER!#REF!</definedName>
    <definedName name="O_ProjectAwards_I1">#REF!</definedName>
    <definedName name="O_ProjectAwards_I2" localSheetId="0">OPPLYSNINGER!#REF!</definedName>
    <definedName name="O_ProjectAwards_I2">#REF!</definedName>
    <definedName name="O_ProjectAwards_I3" localSheetId="0">OPPLYSNINGER!#REF!</definedName>
    <definedName name="O_ProjectAwards_I3">#REF!</definedName>
    <definedName name="O_ProjectAwards_I4" localSheetId="0">OPPLYSNINGER!#REF!</definedName>
    <definedName name="O_ProjectAwards_I4">#REF!</definedName>
    <definedName name="O_ProjectCompetitionForm_I1" localSheetId="0">OPPLYSNINGER!$F$31</definedName>
    <definedName name="O_ProjectCompetitionForm_I1">#REF!</definedName>
    <definedName name="O_ProjectCompetitionForm_I2" localSheetId="0">OPPLYSNINGER!#REF!</definedName>
    <definedName name="O_ProjectCompetitionForm_I2">#REF!</definedName>
    <definedName name="O_ProjectCompetitionForm_I3" localSheetId="0">OPPLYSNINGER!#REF!</definedName>
    <definedName name="O_ProjectCompetitionForm_I3">#REF!</definedName>
    <definedName name="O_ProjectContractingForm_I1" localSheetId="0">OPPLYSNINGER!$F$32</definedName>
    <definedName name="O_ProjectContractingForm_I1">#REF!</definedName>
    <definedName name="O_ProjectContractingForm_I2" localSheetId="0">OPPLYSNINGER!#REF!</definedName>
    <definedName name="O_ProjectContractingForm_I2">#REF!</definedName>
    <definedName name="O_ProjectContractingForm_I3" localSheetId="0">OPPLYSNINGER!#REF!</definedName>
    <definedName name="O_ProjectContractingForm_I3">#REF!</definedName>
    <definedName name="O_ProjectEnvironmentalStandard_I1" localSheetId="0">OPPLYSNINGER!#REF!</definedName>
    <definedName name="O_ProjectEnvironmentalStandard_I1">#REF!</definedName>
    <definedName name="O_ProjectEnvironmentalStandard_I2" localSheetId="0">OPPLYSNINGER!$F$42</definedName>
    <definedName name="O_ProjectEnvironmentalStandard_I2">#REF!</definedName>
    <definedName name="O_ProjectEnvironmentalStandard_I3" localSheetId="0">OPPLYSNINGER!$F$43</definedName>
    <definedName name="O_ProjectEnvironmentalStandard_I3">#REF!</definedName>
    <definedName name="O_ProjectEnvironmentalStandard_I4" localSheetId="0">OPPLYSNINGER!#REF!</definedName>
    <definedName name="O_ProjectEnvironmentalStandard_I4">#REF!</definedName>
    <definedName name="O_ProjectEnvironmentalStandard_I5" localSheetId="0">OPPLYSNINGER!#REF!</definedName>
    <definedName name="O_ProjectEnvironmentalStandard_I5">#REF!</definedName>
    <definedName name="O_ProjectManagagers_I1" localSheetId="0">OPPLYSNINGER!$F$52</definedName>
    <definedName name="O_ProjectManagagers_I1">#REF!</definedName>
    <definedName name="O_ProjectManagagers_I2" localSheetId="0">OPPLYSNINGER!#REF!</definedName>
    <definedName name="O_ProjectManagagers_I2">#REF!</definedName>
    <definedName name="O_ProjectPhase_I1" localSheetId="0">OPPLYSNINGER!$F$26</definedName>
    <definedName name="O_ProjectPhase_I1">#REF!</definedName>
    <definedName name="O_ProjectPhase_I2" localSheetId="0">OPPLYSNINGER!#REF!</definedName>
    <definedName name="O_ProjectPhase_I2">#REF!</definedName>
    <definedName name="O_ProjectPhase_I3" localSheetId="0">OPPLYSNINGER!#REF!</definedName>
    <definedName name="O_ProjectPhase_I3">#REF!</definedName>
    <definedName name="O_ProjectResearch_I1" localSheetId="0">OPPLYSNINGER!$F$44</definedName>
    <definedName name="O_ProjectResearch_I1">#REF!</definedName>
    <definedName name="O_ProjectResearch_I2" localSheetId="0">OPPLYSNINGER!$F$45</definedName>
    <definedName name="O_ProjectResearch_I2">#REF!</definedName>
    <definedName name="O_ProjectResearch_I3" localSheetId="0">OPPLYSNINGER!#REF!</definedName>
    <definedName name="O_ProjectResearch_I3">#REF!</definedName>
    <definedName name="O_ProjectResearch_I4" localSheetId="0">OPPLYSNINGER!#REF!</definedName>
    <definedName name="O_ProjectResearch_I4">#REF!</definedName>
    <definedName name="O_ProjectRoleModel_I1" localSheetId="0">OPPLYSNINGER!#REF!</definedName>
    <definedName name="O_ProjectRoleModel_I1">#REF!</definedName>
    <definedName name="O_ProjectRoleModel_I2" localSheetId="0">OPPLYSNINGER!#REF!</definedName>
    <definedName name="O_ProjectRoleModel_I2">#REF!</definedName>
    <definedName name="O_ProjectRoleModel_I3" localSheetId="0">OPPLYSNINGER!#REF!</definedName>
    <definedName name="O_ProjectRoleModel_I3">#REF!</definedName>
    <definedName name="O_ProjectRoleModel_I4" localSheetId="0">OPPLYSNINGER!#REF!</definedName>
    <definedName name="O_ProjectRoleModel_I4">#REF!</definedName>
    <definedName name="O_ProjectSupportEnova_I" localSheetId="0">OPPLYSNINGER!$F$104</definedName>
    <definedName name="O_ProjectSupportEnova_I">#REF!</definedName>
    <definedName name="O_ProjectSupportHusbanken_I" localSheetId="0">OPPLYSNINGER!$F$105</definedName>
    <definedName name="O_ProjectSupportHusbanken_I">#REF!</definedName>
    <definedName name="O_ProjectTypes_I1" localSheetId="0">OPPLYSNINGER!$F$27</definedName>
    <definedName name="O_ProjectTypes_I1">#REF!</definedName>
    <definedName name="O_ProjectTypes_I2" localSheetId="0">OPPLYSNINGER!#REF!</definedName>
    <definedName name="O_ProjectTypes_I2">#REF!</definedName>
    <definedName name="O_ProjectTypes_I3" localSheetId="0">OPPLYSNINGER!#REF!</definedName>
    <definedName name="O_ProjectTypes_I3">#REF!</definedName>
    <definedName name="O_PublishedIn_I1" localSheetId="0">OPPLYSNINGER!#REF!</definedName>
    <definedName name="O_PublishedIn_I1">#REF!</definedName>
    <definedName name="O_PublishedIn_I2" localSheetId="0">OPPLYSNINGER!#REF!</definedName>
    <definedName name="O_PublishedIn_I2">#REF!</definedName>
    <definedName name="O_PublishedIn_I3" localSheetId="0">OPPLYSNINGER!#REF!</definedName>
    <definedName name="O_PublishedIn_I3">#REF!</definedName>
    <definedName name="O_PublishedIn_I4" localSheetId="0">OPPLYSNINGER!#REF!</definedName>
    <definedName name="O_PublishedIn_I4">#REF!</definedName>
    <definedName name="O_PublishedIn_I5" localSheetId="0">OPPLYSNINGER!#REF!</definedName>
    <definedName name="O_PublishedIn_I5">#REF!</definedName>
    <definedName name="O_PublishedIn_I6" localSheetId="0">OPPLYSNINGER!#REF!</definedName>
    <definedName name="O_PublishedIn_I6">#REF!</definedName>
    <definedName name="O_PublishedIn_I7" localSheetId="0">OPPLYSNINGER!#REF!</definedName>
    <definedName name="O_PublishedIn_I7">#REF!</definedName>
    <definedName name="O_PublishedIn_I8" localSheetId="0">OPPLYSNINGER!#REF!</definedName>
    <definedName name="O_PublishedIn_I8">#REF!</definedName>
    <definedName name="O_PublishedIn_I9" localSheetId="0">OPPLYSNINGER!#REF!</definedName>
    <definedName name="O_PublishedIn_I9">#REF!</definedName>
    <definedName name="O_PumpAdministration_I" localSheetId="0">OPPLYSNINGER!#REF!</definedName>
    <definedName name="O_PumpAdministration_I">#REF!</definedName>
    <definedName name="O_QuickLinks_ExternalUrl_I1" localSheetId="0">OPPLYSNINGER!#REF!</definedName>
    <definedName name="O_QuickLinks_ExternalUrl_I1">#REF!</definedName>
    <definedName name="O_QuickLinks_ExternalUrl_I10" localSheetId="0">OPPLYSNINGER!#REF!</definedName>
    <definedName name="O_QuickLinks_ExternalUrl_I10">#REF!</definedName>
    <definedName name="O_QuickLinks_ExternalUrl_I11" localSheetId="0">OPPLYSNINGER!#REF!</definedName>
    <definedName name="O_QuickLinks_ExternalUrl_I11">#REF!</definedName>
    <definedName name="O_QuickLinks_ExternalUrl_I12" localSheetId="0">OPPLYSNINGER!#REF!</definedName>
    <definedName name="O_QuickLinks_ExternalUrl_I12">#REF!</definedName>
    <definedName name="O_QuickLinks_ExternalUrl_I13" localSheetId="0">OPPLYSNINGER!#REF!</definedName>
    <definedName name="O_QuickLinks_ExternalUrl_I13">#REF!</definedName>
    <definedName name="O_QuickLinks_ExternalUrl_I14" localSheetId="0">OPPLYSNINGER!#REF!</definedName>
    <definedName name="O_QuickLinks_ExternalUrl_I14">#REF!</definedName>
    <definedName name="O_QuickLinks_ExternalUrl_I2" localSheetId="0">OPPLYSNINGER!#REF!</definedName>
    <definedName name="O_QuickLinks_ExternalUrl_I2">#REF!</definedName>
    <definedName name="O_QuickLinks_ExternalUrl_I3" localSheetId="0">OPPLYSNINGER!#REF!</definedName>
    <definedName name="O_QuickLinks_ExternalUrl_I3">#REF!</definedName>
    <definedName name="O_QuickLinks_ExternalUrl_I4" localSheetId="0">OPPLYSNINGER!#REF!</definedName>
    <definedName name="O_QuickLinks_ExternalUrl_I4">#REF!</definedName>
    <definedName name="O_QuickLinks_ExternalUrl_I5" localSheetId="0">OPPLYSNINGER!#REF!</definedName>
    <definedName name="O_QuickLinks_ExternalUrl_I5">#REF!</definedName>
    <definedName name="O_QuickLinks_ExternalUrl_I6" localSheetId="0">OPPLYSNINGER!#REF!</definedName>
    <definedName name="O_QuickLinks_ExternalUrl_I6">#REF!</definedName>
    <definedName name="O_QuickLinks_ExternalUrl_I7" localSheetId="0">OPPLYSNINGER!#REF!</definedName>
    <definedName name="O_QuickLinks_ExternalUrl_I7">#REF!</definedName>
    <definedName name="O_QuickLinks_ExternalUrl_I8" localSheetId="0">OPPLYSNINGER!#REF!</definedName>
    <definedName name="O_QuickLinks_ExternalUrl_I8">#REF!</definedName>
    <definedName name="O_QuickLinks_ExternalUrl_I9" localSheetId="0">OPPLYSNINGER!#REF!</definedName>
    <definedName name="O_QuickLinks_ExternalUrl_I9">#REF!</definedName>
    <definedName name="O_QuickLinks_InternalNodeId_I1" localSheetId="0">OPPLYSNINGER!#REF!</definedName>
    <definedName name="O_QuickLinks_InternalNodeId_I1">#REF!</definedName>
    <definedName name="O_QuickLinks_InternalNodeId_I10" localSheetId="0">OPPLYSNINGER!#REF!</definedName>
    <definedName name="O_QuickLinks_InternalNodeId_I10">#REF!</definedName>
    <definedName name="O_QuickLinks_InternalNodeId_I11" localSheetId="0">OPPLYSNINGER!#REF!</definedName>
    <definedName name="O_QuickLinks_InternalNodeId_I11">#REF!</definedName>
    <definedName name="O_QuickLinks_InternalNodeId_I12" localSheetId="0">OPPLYSNINGER!#REF!</definedName>
    <definedName name="O_QuickLinks_InternalNodeId_I12">#REF!</definedName>
    <definedName name="O_QuickLinks_InternalNodeId_I13" localSheetId="0">OPPLYSNINGER!#REF!</definedName>
    <definedName name="O_QuickLinks_InternalNodeId_I13">#REF!</definedName>
    <definedName name="O_QuickLinks_InternalNodeId_I14" localSheetId="0">OPPLYSNINGER!#REF!</definedName>
    <definedName name="O_QuickLinks_InternalNodeId_I14">#REF!</definedName>
    <definedName name="O_QuickLinks_InternalNodeId_I2" localSheetId="0">OPPLYSNINGER!#REF!</definedName>
    <definedName name="O_QuickLinks_InternalNodeId_I2">#REF!</definedName>
    <definedName name="O_QuickLinks_InternalNodeId_I3" localSheetId="0">OPPLYSNINGER!#REF!</definedName>
    <definedName name="O_QuickLinks_InternalNodeId_I3">#REF!</definedName>
    <definedName name="O_QuickLinks_InternalNodeId_I4" localSheetId="0">OPPLYSNINGER!#REF!</definedName>
    <definedName name="O_QuickLinks_InternalNodeId_I4">#REF!</definedName>
    <definedName name="O_QuickLinks_InternalNodeId_I5" localSheetId="0">OPPLYSNINGER!#REF!</definedName>
    <definedName name="O_QuickLinks_InternalNodeId_I5">#REF!</definedName>
    <definedName name="O_QuickLinks_InternalNodeId_I6" localSheetId="0">OPPLYSNINGER!#REF!</definedName>
    <definedName name="O_QuickLinks_InternalNodeId_I6">#REF!</definedName>
    <definedName name="O_QuickLinks_InternalNodeId_I7" localSheetId="0">OPPLYSNINGER!#REF!</definedName>
    <definedName name="O_QuickLinks_InternalNodeId_I7">#REF!</definedName>
    <definedName name="O_QuickLinks_InternalNodeId_I8" localSheetId="0">OPPLYSNINGER!#REF!</definedName>
    <definedName name="O_QuickLinks_InternalNodeId_I8">#REF!</definedName>
    <definedName name="O_QuickLinks_InternalNodeId_I9" localSheetId="0">OPPLYSNINGER!#REF!</definedName>
    <definedName name="O_QuickLinks_InternalNodeId_I9">#REF!</definedName>
    <definedName name="O_QuickLinks_Name_I1" localSheetId="0">OPPLYSNINGER!#REF!</definedName>
    <definedName name="O_QuickLinks_Name_I1">#REF!</definedName>
    <definedName name="O_QuickLinks_Name_I10" localSheetId="0">OPPLYSNINGER!#REF!</definedName>
    <definedName name="O_QuickLinks_Name_I10">#REF!</definedName>
    <definedName name="O_QuickLinks_Name_I11" localSheetId="0">OPPLYSNINGER!#REF!</definedName>
    <definedName name="O_QuickLinks_Name_I11">#REF!</definedName>
    <definedName name="O_QuickLinks_Name_I12" localSheetId="0">OPPLYSNINGER!#REF!</definedName>
    <definedName name="O_QuickLinks_Name_I12">#REF!</definedName>
    <definedName name="O_QuickLinks_Name_I13" localSheetId="0">OPPLYSNINGER!#REF!</definedName>
    <definedName name="O_QuickLinks_Name_I13">#REF!</definedName>
    <definedName name="O_QuickLinks_Name_I14" localSheetId="0">OPPLYSNINGER!#REF!</definedName>
    <definedName name="O_QuickLinks_Name_I14">#REF!</definedName>
    <definedName name="O_QuickLinks_Name_I2" localSheetId="0">OPPLYSNINGER!#REF!</definedName>
    <definedName name="O_QuickLinks_Name_I2">#REF!</definedName>
    <definedName name="O_QuickLinks_Name_I3" localSheetId="0">OPPLYSNINGER!#REF!</definedName>
    <definedName name="O_QuickLinks_Name_I3">#REF!</definedName>
    <definedName name="O_QuickLinks_Name_I4" localSheetId="0">OPPLYSNINGER!#REF!</definedName>
    <definedName name="O_QuickLinks_Name_I4">#REF!</definedName>
    <definedName name="O_QuickLinks_Name_I5" localSheetId="0">OPPLYSNINGER!#REF!</definedName>
    <definedName name="O_QuickLinks_Name_I5">#REF!</definedName>
    <definedName name="O_QuickLinks_Name_I6" localSheetId="0">OPPLYSNINGER!#REF!</definedName>
    <definedName name="O_QuickLinks_Name_I6">#REF!</definedName>
    <definedName name="O_QuickLinks_Name_I7" localSheetId="0">OPPLYSNINGER!#REF!</definedName>
    <definedName name="O_QuickLinks_Name_I7">#REF!</definedName>
    <definedName name="O_QuickLinks_Name_I8" localSheetId="0">OPPLYSNINGER!#REF!</definedName>
    <definedName name="O_QuickLinks_Name_I8">#REF!</definedName>
    <definedName name="O_QuickLinks_Name_I9" localSheetId="0">OPPLYSNINGER!#REF!</definedName>
    <definedName name="O_QuickLinks_Name_I9">#REF!</definedName>
    <definedName name="O_QuickLinks_OpenInNewWindow_I1" localSheetId="0">OPPLYSNINGER!#REF!</definedName>
    <definedName name="O_QuickLinks_OpenInNewWindow_I1">#REF!</definedName>
    <definedName name="O_QuickLinks_OpenInNewWindow_I10" localSheetId="0">OPPLYSNINGER!#REF!</definedName>
    <definedName name="O_QuickLinks_OpenInNewWindow_I10">#REF!</definedName>
    <definedName name="O_QuickLinks_OpenInNewWindow_I11" localSheetId="0">OPPLYSNINGER!#REF!</definedName>
    <definedName name="O_QuickLinks_OpenInNewWindow_I11">#REF!</definedName>
    <definedName name="O_QuickLinks_OpenInNewWindow_I12" localSheetId="0">OPPLYSNINGER!#REF!</definedName>
    <definedName name="O_QuickLinks_OpenInNewWindow_I12">#REF!</definedName>
    <definedName name="O_QuickLinks_OpenInNewWindow_I13" localSheetId="0">OPPLYSNINGER!#REF!</definedName>
    <definedName name="O_QuickLinks_OpenInNewWindow_I13">#REF!</definedName>
    <definedName name="O_QuickLinks_OpenInNewWindow_I14" localSheetId="0">OPPLYSNINGER!#REF!</definedName>
    <definedName name="O_QuickLinks_OpenInNewWindow_I14">#REF!</definedName>
    <definedName name="O_QuickLinks_OpenInNewWindow_I2" localSheetId="0">OPPLYSNINGER!#REF!</definedName>
    <definedName name="O_QuickLinks_OpenInNewWindow_I2">#REF!</definedName>
    <definedName name="O_QuickLinks_OpenInNewWindow_I3" localSheetId="0">OPPLYSNINGER!#REF!</definedName>
    <definedName name="O_QuickLinks_OpenInNewWindow_I3">#REF!</definedName>
    <definedName name="O_QuickLinks_OpenInNewWindow_I4" localSheetId="0">OPPLYSNINGER!#REF!</definedName>
    <definedName name="O_QuickLinks_OpenInNewWindow_I4">#REF!</definedName>
    <definedName name="O_QuickLinks_OpenInNewWindow_I5" localSheetId="0">OPPLYSNINGER!#REF!</definedName>
    <definedName name="O_QuickLinks_OpenInNewWindow_I5">#REF!</definedName>
    <definedName name="O_QuickLinks_OpenInNewWindow_I6" localSheetId="0">OPPLYSNINGER!#REF!</definedName>
    <definedName name="O_QuickLinks_OpenInNewWindow_I6">#REF!</definedName>
    <definedName name="O_QuickLinks_OpenInNewWindow_I7" localSheetId="0">OPPLYSNINGER!#REF!</definedName>
    <definedName name="O_QuickLinks_OpenInNewWindow_I7">#REF!</definedName>
    <definedName name="O_QuickLinks_OpenInNewWindow_I8" localSheetId="0">OPPLYSNINGER!#REF!</definedName>
    <definedName name="O_QuickLinks_OpenInNewWindow_I8">#REF!</definedName>
    <definedName name="O_QuickLinks_OpenInNewWindow_I9" localSheetId="0">OPPLYSNINGER!#REF!</definedName>
    <definedName name="O_QuickLinks_OpenInNewWindow_I9">#REF!</definedName>
    <definedName name="O_References_I1" localSheetId="0">OPPLYSNINGER!#REF!</definedName>
    <definedName name="O_References_I1">#REF!</definedName>
    <definedName name="O_References_I2" localSheetId="0">OPPLYSNINGER!#REF!</definedName>
    <definedName name="O_References_I2">#REF!</definedName>
    <definedName name="O_References_I3" localSheetId="0">OPPLYSNINGER!#REF!</definedName>
    <definedName name="O_References_I3">#REF!</definedName>
    <definedName name="O_References_I4" localSheetId="0">OPPLYSNINGER!#REF!</definedName>
    <definedName name="O_References_I4">#REF!</definedName>
    <definedName name="O_RoomCooling_I" localSheetId="0">OPPLYSNINGER!#REF!</definedName>
    <definedName name="O_RoomCooling_I">#REF!</definedName>
    <definedName name="O_RoomHeating_I" localSheetId="0">OPPLYSNINGER!#REF!</definedName>
    <definedName name="O_RoomHeating_I">#REF!</definedName>
    <definedName name="O_SpecificFanPower_I" localSheetId="0">OPPLYSNINGER!#REF!</definedName>
    <definedName name="O_SpecificFanPower_I">#REF!</definedName>
    <definedName name="O_SquareFootGlass_I" localSheetId="0">OPPLYSNINGER!#REF!</definedName>
    <definedName name="O_SquareFootGlass_I">#REF!</definedName>
    <definedName name="O_Subcontractors_I" localSheetId="0">OPPLYSNINGER!$F$74</definedName>
    <definedName name="O_Subcontractors_I">#REF!</definedName>
    <definedName name="O_SurfaceArea_I" localSheetId="0">OPPLYSNINGER!#REF!</definedName>
    <definedName name="O_SurfaceArea_I">#REF!</definedName>
    <definedName name="O_TechnicalEquipment_I" localSheetId="0">OPPLYSNINGER!#REF!</definedName>
    <definedName name="O_TechnicalEquipment_I">#REF!</definedName>
    <definedName name="O_UniversalDesignConsultants_I1" localSheetId="0">OPPLYSNINGER!#REF!</definedName>
    <definedName name="O_UniversalDesignConsultants_I1">#REF!</definedName>
    <definedName name="O_UniversalDesignConsultants_I2" localSheetId="0">OPPLYSNINGER!#REF!</definedName>
    <definedName name="O_UniversalDesignConsultants_I2">#REF!</definedName>
    <definedName name="O_UValueFloor_I" localSheetId="0">OPPLYSNINGER!#REF!</definedName>
    <definedName name="O_UValueFloor_I">#REF!</definedName>
    <definedName name="O_UValueRoof_I" localSheetId="0">OPPLYSNINGER!#REF!</definedName>
    <definedName name="O_UValueRoof_I">#REF!</definedName>
    <definedName name="O_UValueWall_I" localSheetId="0">OPPLYSNINGER!#REF!</definedName>
    <definedName name="O_UValueWall_I">#REF!</definedName>
    <definedName name="O_UValueWindow_I" localSheetId="0">OPPLYSNINGER!#REF!</definedName>
    <definedName name="O_UValueWindow_I">#REF!</definedName>
    <definedName name="O_VentilationCooling_I" localSheetId="0">OPPLYSNINGER!#REF!</definedName>
    <definedName name="O_VentilationCooling_I">#REF!</definedName>
    <definedName name="O_VentilationHeating_I" localSheetId="0">OPPLYSNINGER!#REF!</definedName>
    <definedName name="O_VentilationHeating_I">#REF!</definedName>
    <definedName name="OriginalArchitect">ProjectExport!$G$210</definedName>
    <definedName name="OtherAdvisors">ProjectExport!$G$225</definedName>
    <definedName name="OtherCollaboration">ProjectExport!$G$148</definedName>
    <definedName name="OtherEnergyPosts">ProjectExport!$G$314</definedName>
    <definedName name="OthersInvolved">ProjectExport!$G$79</definedName>
    <definedName name="P_CompactnessFactor_I">ProjectExport!$C$253</definedName>
    <definedName name="P_NumberOfResidents_I">ProjectExport!$C$248</definedName>
    <definedName name="Paragraphs">ProjectExport!$G$49</definedName>
    <definedName name="ParkingArea">ProjectExport!$G$259</definedName>
    <definedName name="ParkingSpotsPerUnit">ProjectExport!$G$260</definedName>
    <definedName name="Partners">ProjectExport!$G$78</definedName>
    <definedName name="PrivateCollaboration">ProjectExport!$G$147</definedName>
    <definedName name="ProgressDescription">ProjectExport!$G$149</definedName>
    <definedName name="ProgressStatus">ProjectExport!$G$150</definedName>
    <definedName name="ProjectAddress">ProjectExport!$G$65</definedName>
    <definedName name="ProjectArchitectureGuide">ProjectExport!$G$201</definedName>
    <definedName name="ProjectAward">ProjectExport!$G$189</definedName>
    <definedName name="ProjectCompetitionForm">ProjectExport!$G$177</definedName>
    <definedName name="ProjectContractingForm">ProjectExport!$G$180</definedName>
    <definedName name="ProjectEnvironmentalStandard">ProjectExport!$G$185</definedName>
    <definedName name="ProjectManagagers">ProjectExport!$G$212</definedName>
    <definedName name="ProjectOwner">ProjectExport!$G$6</definedName>
    <definedName name="ProjectPeriod">ProjectExport!$G$71</definedName>
    <definedName name="ProjectPhase">ProjectExport!$G$168</definedName>
    <definedName name="ProjectResearch">ProjectExport!$G$197</definedName>
    <definedName name="ProjectResponsibleFB">ProjectExport!$G$63</definedName>
    <definedName name="ProjectRoleModel">ProjectExport!$G$193</definedName>
    <definedName name="ProjectSupportEnova">ProjectExport!$G$320</definedName>
    <definedName name="ProjectSupportHusbanken">ProjectExport!$G$321</definedName>
    <definedName name="ProjectTypes">ProjectExport!$G$171</definedName>
    <definedName name="PublishAccess">ProjectExport!$G$351</definedName>
    <definedName name="PublishedIn">ProjectExport!$G$330</definedName>
    <definedName name="PublishToByrapport">ProjectExport!$G$13</definedName>
    <definedName name="PublishToEnova">ProjectExport!$G$16</definedName>
    <definedName name="PublishToFramtidensByer">ProjectExport!$G$17</definedName>
    <definedName name="PublishToHusbanken">ProjectExport!$G$15</definedName>
    <definedName name="PublishToTretekniskInstitutt">ProjectExport!$G$18</definedName>
    <definedName name="PumpAdministration">ProjectExport!$G$309</definedName>
    <definedName name="QuickLinks">ProjectExport!$G$345</definedName>
    <definedName name="References">ProjectExport!$G$349</definedName>
    <definedName name="ResponsibleDepartment">ProjectExport!$G$64</definedName>
    <definedName name="RoomCooling">ProjectExport!$G$312</definedName>
    <definedName name="RoomHeating">ProjectExport!$G$305</definedName>
    <definedName name="ShortDescription">ProjectExport!$G$8</definedName>
    <definedName name="ShowKeyFigures">ProjectExport!$G$233</definedName>
    <definedName name="SpecificFanPower">ProjectExport!$G$303</definedName>
    <definedName name="SquareFootGlass">ProjectExport!$G$252</definedName>
    <definedName name="Status">Relations!$A$1:$B$50</definedName>
    <definedName name="SubContractors">ProjectExport!$G$231</definedName>
    <definedName name="Subtitle">ProjectExport!$G$4</definedName>
    <definedName name="T_Avsnitt_Text_I1">#REF!</definedName>
    <definedName name="T_Avsnitt_Text_I2">#REF!</definedName>
    <definedName name="T_Avsnitt_Text_I3">#REF!</definedName>
    <definedName name="T_Avsnitt_Text_I4">#REF!</definedName>
    <definedName name="T_Avsnitt_Text_I5">#REF!</definedName>
    <definedName name="T_Avsnitt_Title_I1">#REF!</definedName>
    <definedName name="T_Avsnitt_Title_I2">#REF!</definedName>
    <definedName name="T_Avsnitt_Title_I3">#REF!</definedName>
    <definedName name="T_Avsnitt_Title_I4">#REF!</definedName>
    <definedName name="T_Avsnitt_Title_I5">#REF!</definedName>
    <definedName name="T_ClosingParagraph_I">#REF!</definedName>
    <definedName name="T_ClosingParagraphHeader_I">#REF!</definedName>
    <definedName name="T_EcoMeasure_Description_I1">#REF!</definedName>
    <definedName name="T_EcoMeasure_Description_I2">#REF!</definedName>
    <definedName name="T_EcoMeasure_Description_I3">#REF!</definedName>
    <definedName name="T_EcoMeasure_Description_I4">#REF!</definedName>
    <definedName name="T_EcoMeasure_Description_I5">#REF!</definedName>
    <definedName name="T_EcoMeasure_Description_I6">#REF!</definedName>
    <definedName name="T_EcoMeasure_Description_I7">#REF!</definedName>
    <definedName name="T_EcoMeasure_Description_I8">#REF!</definedName>
    <definedName name="T_EcoMeasure_Enova_I1">#REF!</definedName>
    <definedName name="T_EcoMeasure_Enova_I2">#REF!</definedName>
    <definedName name="T_EcoMeasure_Enova_I3">#REF!</definedName>
    <definedName name="T_EcoMeasure_Enova_I4">#REF!</definedName>
    <definedName name="T_EcoMeasure_Enova_I5">#REF!</definedName>
    <definedName name="T_EcoMeasure_Enova_I6">#REF!</definedName>
    <definedName name="T_EcoMeasure_Enova_I7">#REF!</definedName>
    <definedName name="T_EcoMeasure_Enova_I8">#REF!</definedName>
    <definedName name="T_EcoMeasure_Id_I1">#REF!</definedName>
    <definedName name="T_EcoMeasure_Id_I2">#REF!</definedName>
    <definedName name="T_EcoMeasure_Id_I3">#REF!</definedName>
    <definedName name="T_EcoMeasure_Id_I4">#REF!</definedName>
    <definedName name="T_EcoMeasure_Id_I5">#REF!</definedName>
    <definedName name="T_EcoMeasure_Id_I6">#REF!</definedName>
    <definedName name="T_EcoMeasure_Id_I7">#REF!</definedName>
    <definedName name="T_EcoMeasure_Id_I8">#REF!</definedName>
    <definedName name="T_EcoMeasure_Measure_I1_1">#REF!</definedName>
    <definedName name="T_EcoMeasure_Measure_I1_2">#REF!</definedName>
    <definedName name="T_EcoMeasure_Measure_I1_3">#REF!</definedName>
    <definedName name="T_EcoMeasure_Measure_I1_4">#REF!</definedName>
    <definedName name="T_EcoMeasure_Measure_I1_5">#REF!</definedName>
    <definedName name="T_EcoMeasure_Measure_I1_6">#REF!</definedName>
    <definedName name="T_EcoMeasure_Measure_I1_7">#REF!</definedName>
    <definedName name="T_EcoMeasure_Measure_I1_8">#REF!</definedName>
    <definedName name="T_EcoMeasure_Measure_I2_1">#REF!</definedName>
    <definedName name="T_EcoMeasure_Measure_I2_2">#REF!</definedName>
    <definedName name="T_EcoMeasure_Measure_I2_3">#REF!</definedName>
    <definedName name="T_EcoMeasure_Measure_I2_4">#REF!</definedName>
    <definedName name="T_EcoMeasure_Measure_I2_5">#REF!</definedName>
    <definedName name="T_EcoMeasure_Measure_I2_6">#REF!</definedName>
    <definedName name="T_EcoMeasure_Measure_I2_7">#REF!</definedName>
    <definedName name="T_EcoMeasure_Measure_I2_8">#REF!</definedName>
    <definedName name="T_EcoMeasure_Measure_I3_1">#REF!</definedName>
    <definedName name="T_EcoMeasure_Measure_I3_2">#REF!</definedName>
    <definedName name="T_EcoMeasure_Measure_I3_3">#REF!</definedName>
    <definedName name="T_EcoMeasure_Measure_I3_4">#REF!</definedName>
    <definedName name="T_EcoMeasure_Measure_I3_5">#REF!</definedName>
    <definedName name="T_EcoMeasure_Measure_I3_6">#REF!</definedName>
    <definedName name="T_EcoMeasure_Measure_I3_7">#REF!</definedName>
    <definedName name="T_EcoMeasure_Measure_I3_8">#REF!</definedName>
    <definedName name="T_EcoMeasure_Measure_I4_1">#REF!</definedName>
    <definedName name="T_EcoMeasure_Measure_I4_2">#REF!</definedName>
    <definedName name="T_EcoMeasure_Measure_I4_3">#REF!</definedName>
    <definedName name="T_EcoMeasure_Measure_I4_4">#REF!</definedName>
    <definedName name="T_EcoMeasure_Measure_I4_5">#REF!</definedName>
    <definedName name="T_EcoMeasure_Measure_I4_6">#REF!</definedName>
    <definedName name="T_EcoMeasure_Measure_I4_7">#REF!</definedName>
    <definedName name="T_EcoMeasure_Measure_I4_8">#REF!</definedName>
    <definedName name="T_EcoMeasure_Measure_I5_1">#REF!</definedName>
    <definedName name="T_EcoMeasure_Measure_I5_2">#REF!</definedName>
    <definedName name="T_EcoMeasure_Measure_I5_3">#REF!</definedName>
    <definedName name="T_EcoMeasure_Measure_I5_4">#REF!</definedName>
    <definedName name="T_EcoMeasure_Measure_I5_5">#REF!</definedName>
    <definedName name="T_EcoMeasure_Measure_I5_6">#REF!</definedName>
    <definedName name="T_EcoMeasure_Measure_I5_7">#REF!</definedName>
    <definedName name="T_EcoMeasure_Measure_I5_8">#REF!</definedName>
    <definedName name="T_EcoMeasure_Measure_I6_1">#REF!</definedName>
    <definedName name="T_EcoMeasure_Measure_I6_2">#REF!</definedName>
    <definedName name="T_EcoMeasure_Measure_I6_3">#REF!</definedName>
    <definedName name="T_EcoMeasure_Measure_I6_4">#REF!</definedName>
    <definedName name="T_EcoMeasure_Measure_I6_5">#REF!</definedName>
    <definedName name="T_EcoMeasure_Measure_I6_6">#REF!</definedName>
    <definedName name="T_EcoMeasure_Measure_I6_7">#REF!</definedName>
    <definedName name="T_EcoMeasure_Measure_I6_8">#REF!</definedName>
    <definedName name="T_EcoMeasure_Measure_I7_1">#REF!</definedName>
    <definedName name="T_EcoMeasure_Measure_I7_2">#REF!</definedName>
    <definedName name="T_EcoMeasure_Measure_I7_3">#REF!</definedName>
    <definedName name="T_EcoMeasure_Measure_I7_4">#REF!</definedName>
    <definedName name="T_EcoMeasure_Measure_I7_5">#REF!</definedName>
    <definedName name="T_EcoMeasure_Measure_I7_6">#REF!</definedName>
    <definedName name="T_EcoMeasure_Measure_I7_7">#REF!</definedName>
    <definedName name="T_EcoMeasure_Measure_I7_8">#REF!</definedName>
    <definedName name="T_EcoMeasure_Measure_I8_1">#REF!</definedName>
    <definedName name="T_EcoMeasure_Measure_I8_2">#REF!</definedName>
    <definedName name="T_EcoMeasure_Measure_I8_3">#REF!</definedName>
    <definedName name="T_EcoMeasure_Measure_I8_4">#REF!</definedName>
    <definedName name="T_EcoMeasure_Measure_I8_5">#REF!</definedName>
    <definedName name="T_EcoMeasure_Measure_I8_6">#REF!</definedName>
    <definedName name="T_EcoMeasure_Measure_I8_7">#REF!</definedName>
    <definedName name="T_EcoMeasure_Measure_I8_8">#REF!</definedName>
    <definedName name="T_EcoMeasure_Name_I1">#REF!</definedName>
    <definedName name="T_EcoMeasure_Name_I2">#REF!</definedName>
    <definedName name="T_EcoMeasure_Name_I3">#REF!</definedName>
    <definedName name="T_EcoMeasure_Name_I4">#REF!</definedName>
    <definedName name="T_EcoMeasure_Name_I5">#REF!</definedName>
    <definedName name="T_EcoMeasure_Name_I6">#REF!</definedName>
    <definedName name="T_EcoMeasure_Name_I7">#REF!</definedName>
    <definedName name="T_EcoMeasure_Name_I8">#REF!</definedName>
    <definedName name="T_EcoMeasureTopic_I111">#REF!</definedName>
    <definedName name="T_EcoMeasureTopic_I121">#REF!</definedName>
    <definedName name="T_EcoMeasureTopic_I131">#REF!</definedName>
    <definedName name="T_EcoMeasureTopic_I141">#REF!</definedName>
    <definedName name="T_EcoMeasureTopic_I151">#REF!</definedName>
    <definedName name="T_EcoMeasureTopic_I161">#REF!</definedName>
    <definedName name="T_EcoMeasureTopic_I171">#REF!</definedName>
    <definedName name="T_EcoMeasureTopic_I181">#REF!</definedName>
    <definedName name="T_EcoMeasureTopic_I211">#REF!</definedName>
    <definedName name="T_EcoMeasureTopic_I221">#REF!</definedName>
    <definedName name="T_EcoMeasureTopic_I231">#REF!</definedName>
    <definedName name="T_EcoMeasureTopic_I241">#REF!</definedName>
    <definedName name="T_EcoMeasureTopic_I251">#REF!</definedName>
    <definedName name="T_EcoMeasureTopic_I261">#REF!</definedName>
    <definedName name="T_EcoMeasureTopic_I271">#REF!</definedName>
    <definedName name="T_EcoMeasureTopic_I281">#REF!</definedName>
    <definedName name="T_EcoMeasureTopic_I311">#REF!</definedName>
    <definedName name="T_EcoMeasureTopic_I321">#REF!</definedName>
    <definedName name="T_EcoMeasureTopic_I331">#REF!</definedName>
    <definedName name="T_EcoMeasureTopic_I341">#REF!</definedName>
    <definedName name="T_EcoMeasureTopic_I351">#REF!</definedName>
    <definedName name="T_EcoMeasureTopic_I361">#REF!</definedName>
    <definedName name="T_EcoMeasureTopic_I371">#REF!</definedName>
    <definedName name="T_EcoMeasureTopic_I381">#REF!</definedName>
    <definedName name="T_EcoMeasureTopic_I411">#REF!</definedName>
    <definedName name="T_EcoMeasureTopic_I421">#REF!</definedName>
    <definedName name="T_EcoMeasureTopic_I431">#REF!</definedName>
    <definedName name="T_EcoMeasureTopic_I441">#REF!</definedName>
    <definedName name="T_EcoMeasureTopic_I451">#REF!</definedName>
    <definedName name="T_EcoMeasureTopic_I461">#REF!</definedName>
    <definedName name="T_EcoMeasureTopic_I471">#REF!</definedName>
    <definedName name="T_EcoMeasureTopic_I481">#REF!</definedName>
    <definedName name="T_EcoMeasureTopic_I511">#REF!</definedName>
    <definedName name="T_EcoMeasureTopic_I521">#REF!</definedName>
    <definedName name="T_EcoMeasureTopic_I531">#REF!</definedName>
    <definedName name="T_EcoMeasureTopic_I541">#REF!</definedName>
    <definedName name="T_EcoMeasureTopic_I551">#REF!</definedName>
    <definedName name="T_EcoMeasureTopic_I561">#REF!</definedName>
    <definedName name="T_EcoMeasureTopic_I571">#REF!</definedName>
    <definedName name="T_EcoMeasureTopic_I581">#REF!</definedName>
    <definedName name="T_EcoMeasureTopic_I611">#REF!</definedName>
    <definedName name="T_EcoMeasureTopic_I621">#REF!</definedName>
    <definedName name="T_EcoMeasureTopic_I631">#REF!</definedName>
    <definedName name="T_EcoMeasureTopic_I641">#REF!</definedName>
    <definedName name="T_EcoMeasureTopic_I651">#REF!</definedName>
    <definedName name="T_EcoMeasureTopic_I661">#REF!</definedName>
    <definedName name="T_EcoMeasureTopic_I671">#REF!</definedName>
    <definedName name="T_EcoMeasureTopic_I681">#REF!</definedName>
    <definedName name="T_EcoMeasureTopic_I711">#REF!</definedName>
    <definedName name="T_EcoMeasureTopic_I721">#REF!</definedName>
    <definedName name="T_EcoMeasureTopic_I731">#REF!</definedName>
    <definedName name="T_EcoMeasureTopic_I741">#REF!</definedName>
    <definedName name="T_EcoMeasureTopic_I751">#REF!</definedName>
    <definedName name="T_EcoMeasureTopic_I761">#REF!</definedName>
    <definedName name="T_EcoMeasureTopic_I771">#REF!</definedName>
    <definedName name="T_EcoMeasureTopic_I781">#REF!</definedName>
    <definedName name="T_EcoMeasureTopic_I811">#REF!</definedName>
    <definedName name="T_EcoMeasureTopic_I821">#REF!</definedName>
    <definedName name="T_EcoMeasureTopic_I831">#REF!</definedName>
    <definedName name="T_EcoMeasureTopic_I841">#REF!</definedName>
    <definedName name="T_EcoMeasureTopic_I851">#REF!</definedName>
    <definedName name="T_EcoMeasureTopic_I861">#REF!</definedName>
    <definedName name="T_EcoMeasureTopic_I871">#REF!</definedName>
    <definedName name="T_EcoMeasureTopic_I881">#REF!</definedName>
    <definedName name="T_Economy_I">#REF!</definedName>
    <definedName name="T_EconomyHeader_I">#REF!</definedName>
    <definedName name="T_ShortDescription_I">#REF!</definedName>
    <definedName name="T_SubTitle_I">#REF!</definedName>
    <definedName name="TechnicalEquipment">ProjectExport!$G$311</definedName>
    <definedName name="tekstteksttekst">"TekstSylinder 2"</definedName>
    <definedName name="UniversalDesignConsultants">ProjectExport!$G$218</definedName>
    <definedName name="Uselists">INDEX(ValData,1,MATCH(#REF!,MiljoTiltak!$1:$1,0)):INDEX(ValData,Counter,MATCH(#REF!,MiljoTiltak!$1:$1,0))</definedName>
    <definedName name="UseListsFK" localSheetId="0">INDEX([0]!ValDataFK,1,MATCH(OPPLYSNINGER!A1048576,FylkeKommune!$1:$1,0)):INDEX([0]!ValDataFK,OPPLYSNINGER!CounterFK,MATCH(OPPLYSNINGER!A1048576,FylkeKommune!$1:$1,0))</definedName>
    <definedName name="UseListsFK">INDEX(ValDataFK,1,MATCH(#REF!,FylkeKommune!$1:$1,0)):INDEX(ValDataFK,CounterFK,MATCH(#REF!,FylkeKommune!$1:$1,0))</definedName>
    <definedName name="UValueFloor">ProjectExport!$G$299</definedName>
    <definedName name="UValueRoof">ProjectExport!$G$298</definedName>
    <definedName name="UValueWall">ProjectExport!$G$300</definedName>
    <definedName name="UValueWindow">ProjectExport!$G$301</definedName>
    <definedName name="ValData">MiljoTiltak!$A$2:INDEX(MiljoTiltak!$1:$100,100,COUNTA(MiljoTiltak!$1:$1))</definedName>
    <definedName name="ValDataFK">FylkeKommune!$A$2:INDEX(FylkeKommune!$1:$100,100,COUNTA(FylkeKommune!$1:$1))</definedName>
    <definedName name="VentilationCooling">ProjectExport!$G$313</definedName>
    <definedName name="VentilationHeating">ProjectExport!$G$306</definedName>
    <definedName name="WalkwaysLength">ProjectExport!$G$256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0" i="28" l="1"/>
  <c r="C110" i="28" s="1"/>
  <c r="D110" i="28" s="1"/>
  <c r="E110" i="28" s="1"/>
  <c r="G110" i="28" s="1"/>
  <c r="B95" i="28"/>
  <c r="C95" i="28" s="1"/>
  <c r="D95" i="28" s="1"/>
  <c r="E95" i="28" s="1"/>
  <c r="G95" i="28" s="1"/>
  <c r="D8" i="26" s="1"/>
  <c r="B80" i="28"/>
  <c r="C80" i="28" s="1"/>
  <c r="D80" i="28" s="1"/>
  <c r="E80" i="28" s="1"/>
  <c r="G80" i="28" s="1"/>
  <c r="B65" i="28"/>
  <c r="C65" i="28" s="1"/>
  <c r="D65" i="28" s="1"/>
  <c r="E65" i="28" s="1"/>
  <c r="G65" i="28" s="1"/>
  <c r="D6" i="26" s="1"/>
  <c r="B50" i="28"/>
  <c r="C50" i="28" s="1"/>
  <c r="D50" i="28" s="1"/>
  <c r="E50" i="28" s="1"/>
  <c r="G50" i="28" s="1"/>
  <c r="B35" i="28"/>
  <c r="C35" i="28" s="1"/>
  <c r="D35" i="28" s="1"/>
  <c r="E35" i="28" s="1"/>
  <c r="G35" i="28" s="1"/>
  <c r="D4" i="26" s="1"/>
  <c r="B20" i="28"/>
  <c r="C20" i="28" s="1"/>
  <c r="D20" i="28" s="1"/>
  <c r="E20" i="28" s="1"/>
  <c r="G20" i="28" s="1"/>
  <c r="B5" i="28"/>
  <c r="C5" i="28" s="1"/>
  <c r="D5" i="28" s="1"/>
  <c r="E5" i="28" s="1"/>
  <c r="G5" i="28" s="1"/>
  <c r="D2" i="26" s="1"/>
  <c r="B62" i="20"/>
  <c r="C62" i="20" s="1"/>
  <c r="D62" i="20" s="1"/>
  <c r="E62" i="20" s="1"/>
  <c r="G62" i="20" s="1"/>
  <c r="AB2" i="19" s="1"/>
  <c r="B59" i="20"/>
  <c r="C59" i="20" s="1"/>
  <c r="D59" i="20" s="1"/>
  <c r="E59" i="20" s="1"/>
  <c r="G59" i="20" s="1"/>
  <c r="Z2" i="19" s="1"/>
  <c r="B45" i="20"/>
  <c r="C45" i="20" s="1"/>
  <c r="D45" i="20" s="1"/>
  <c r="E45" i="20" s="1"/>
  <c r="B49" i="20"/>
  <c r="C49" i="20" s="1"/>
  <c r="C48" i="20" s="1"/>
  <c r="B47" i="20"/>
  <c r="C46" i="20" s="1"/>
  <c r="B43" i="20"/>
  <c r="C43" i="20" s="1"/>
  <c r="D43" i="20" s="1"/>
  <c r="E43" i="20" s="1"/>
  <c r="B41" i="20"/>
  <c r="C41" i="20"/>
  <c r="D41" i="20" s="1"/>
  <c r="E41" i="20" s="1"/>
  <c r="B25" i="20"/>
  <c r="C25" i="20" s="1"/>
  <c r="D316" i="20"/>
  <c r="B316" i="20"/>
  <c r="C316" i="20" s="1"/>
  <c r="B9" i="28"/>
  <c r="D82" i="20" s="1"/>
  <c r="E82" i="20" s="1"/>
  <c r="B304" i="20"/>
  <c r="C304" i="20" s="1"/>
  <c r="G304" i="20" s="1"/>
  <c r="B250" i="20"/>
  <c r="G250" i="20" s="1"/>
  <c r="CJ2" i="19" s="1"/>
  <c r="B251" i="20"/>
  <c r="G251" i="20" s="1"/>
  <c r="CK2" i="19" s="1"/>
  <c r="B249" i="20"/>
  <c r="G249" i="20" s="1"/>
  <c r="CI2" i="19" s="1"/>
  <c r="B241" i="20"/>
  <c r="C241" i="20" s="1"/>
  <c r="D241" i="20" s="1"/>
  <c r="B235" i="20"/>
  <c r="B236" i="20"/>
  <c r="C236" i="20" s="1"/>
  <c r="D236" i="20" s="1"/>
  <c r="B237" i="20"/>
  <c r="C237" i="20" s="1"/>
  <c r="D237" i="20" s="1"/>
  <c r="B238" i="20"/>
  <c r="C238" i="20" s="1"/>
  <c r="D238" i="20" s="1"/>
  <c r="B239" i="20"/>
  <c r="C239" i="20" s="1"/>
  <c r="D239" i="20" s="1"/>
  <c r="B240" i="20"/>
  <c r="C240" i="20" s="1"/>
  <c r="D240" i="20" s="1"/>
  <c r="B242" i="20"/>
  <c r="C242" i="20" s="1"/>
  <c r="D242" i="20" s="1"/>
  <c r="B243" i="20"/>
  <c r="C243" i="20" s="1"/>
  <c r="D243" i="20" s="1"/>
  <c r="B245" i="20"/>
  <c r="B289" i="20"/>
  <c r="G289" i="20" s="1"/>
  <c r="DP2" i="19" s="1"/>
  <c r="B290" i="20"/>
  <c r="G290" i="20" s="1"/>
  <c r="DQ2" i="19" s="1"/>
  <c r="B288" i="20"/>
  <c r="G288" i="20" s="1"/>
  <c r="DO2" i="19" s="1"/>
  <c r="B291" i="20"/>
  <c r="B283" i="20"/>
  <c r="D283" i="20" s="1"/>
  <c r="B286" i="20"/>
  <c r="D286" i="20" s="1"/>
  <c r="B284" i="20"/>
  <c r="D284" i="20" s="1"/>
  <c r="B285" i="20"/>
  <c r="D285" i="20" s="1"/>
  <c r="B287" i="20"/>
  <c r="C287" i="20" s="1"/>
  <c r="B281" i="20"/>
  <c r="B295" i="20"/>
  <c r="B279" i="20" s="1"/>
  <c r="D279" i="20" s="1"/>
  <c r="C283" i="20"/>
  <c r="C284" i="20"/>
  <c r="C286" i="20"/>
  <c r="C285" i="20"/>
  <c r="B40" i="20"/>
  <c r="C40" i="20"/>
  <c r="B42" i="20"/>
  <c r="C42" i="20"/>
  <c r="B44" i="20"/>
  <c r="C44" i="20"/>
  <c r="B48" i="28"/>
  <c r="D61" i="28" s="1"/>
  <c r="G61" i="28" s="1"/>
  <c r="G5" i="26" s="1"/>
  <c r="B60" i="28"/>
  <c r="I9" i="5"/>
  <c r="I10" i="5"/>
  <c r="I11" i="5"/>
  <c r="I12" i="5"/>
  <c r="J10" i="5"/>
  <c r="J11" i="5"/>
  <c r="J12" i="5"/>
  <c r="I13" i="5"/>
  <c r="J13" i="5"/>
  <c r="I14" i="5"/>
  <c r="J14" i="5"/>
  <c r="I15" i="5"/>
  <c r="J15" i="5"/>
  <c r="I16" i="5"/>
  <c r="J16" i="5"/>
  <c r="I17" i="5"/>
  <c r="J17" i="5"/>
  <c r="I18" i="5"/>
  <c r="J18" i="5"/>
  <c r="I19" i="5"/>
  <c r="J19" i="5"/>
  <c r="I20" i="5"/>
  <c r="J20" i="5"/>
  <c r="I21" i="5"/>
  <c r="J21" i="5"/>
  <c r="I22" i="5"/>
  <c r="J22" i="5"/>
  <c r="I23" i="5"/>
  <c r="J23" i="5"/>
  <c r="I24" i="5"/>
  <c r="J24" i="5"/>
  <c r="I25" i="5"/>
  <c r="J25" i="5"/>
  <c r="I26" i="5"/>
  <c r="J26" i="5"/>
  <c r="I27" i="5"/>
  <c r="J27" i="5"/>
  <c r="I28" i="5"/>
  <c r="J28" i="5"/>
  <c r="I29" i="5"/>
  <c r="J29" i="5"/>
  <c r="I30" i="5"/>
  <c r="J30" i="5"/>
  <c r="I31" i="5"/>
  <c r="J31" i="5"/>
  <c r="I32" i="5"/>
  <c r="J32" i="5"/>
  <c r="I33" i="5"/>
  <c r="J33" i="5"/>
  <c r="I34" i="5"/>
  <c r="J34" i="5"/>
  <c r="I35" i="5"/>
  <c r="J35" i="5"/>
  <c r="I36" i="5"/>
  <c r="J36" i="5"/>
  <c r="I37" i="5"/>
  <c r="J37" i="5"/>
  <c r="I38" i="5"/>
  <c r="J38" i="5"/>
  <c r="B61" i="28"/>
  <c r="C61" i="28" s="1"/>
  <c r="B52" i="28"/>
  <c r="C52" i="28" s="1"/>
  <c r="B53" i="28"/>
  <c r="C53" i="28" s="1"/>
  <c r="D53" i="28" s="1"/>
  <c r="B54" i="28"/>
  <c r="C54" i="28" s="1"/>
  <c r="B55" i="28"/>
  <c r="C55" i="28" s="1"/>
  <c r="D55" i="28" s="1"/>
  <c r="B56" i="28"/>
  <c r="C56" i="28" s="1"/>
  <c r="B57" i="28"/>
  <c r="C57" i="28" s="1"/>
  <c r="D57" i="28" s="1"/>
  <c r="B58" i="28"/>
  <c r="C58" i="28" s="1"/>
  <c r="B59" i="28"/>
  <c r="C59" i="28" s="1"/>
  <c r="D59" i="28" s="1"/>
  <c r="B51" i="28"/>
  <c r="C51" i="28" s="1"/>
  <c r="D51" i="28" s="1"/>
  <c r="G51" i="28" s="1"/>
  <c r="E5" i="26" s="1"/>
  <c r="D5" i="26"/>
  <c r="B49" i="28"/>
  <c r="D49" i="28"/>
  <c r="G49" i="28" s="1"/>
  <c r="C5" i="26" s="1"/>
  <c r="G48" i="28"/>
  <c r="B5" i="26" s="1"/>
  <c r="B47" i="28"/>
  <c r="G47" i="28" s="1"/>
  <c r="A5" i="26" s="1"/>
  <c r="B7" i="28"/>
  <c r="D80" i="20" s="1"/>
  <c r="E80" i="20" s="1"/>
  <c r="B8" i="28"/>
  <c r="D81" i="20" s="1"/>
  <c r="E81" i="20" s="1"/>
  <c r="B10" i="28"/>
  <c r="D83" i="20" s="1"/>
  <c r="E83" i="20" s="1"/>
  <c r="B11" i="28"/>
  <c r="D84" i="20" s="1"/>
  <c r="E84" i="20" s="1"/>
  <c r="B12" i="28"/>
  <c r="D85" i="20" s="1"/>
  <c r="E85" i="20" s="1"/>
  <c r="B13" i="28"/>
  <c r="D86" i="20" s="1"/>
  <c r="E86" i="20" s="1"/>
  <c r="B14" i="28"/>
  <c r="D87" i="20" s="1"/>
  <c r="E87" i="20" s="1"/>
  <c r="B22" i="28"/>
  <c r="D88" i="20" s="1"/>
  <c r="E88" i="20" s="1"/>
  <c r="B23" i="28"/>
  <c r="D89" i="20" s="1"/>
  <c r="E89" i="20" s="1"/>
  <c r="B24" i="28"/>
  <c r="D90" i="20" s="1"/>
  <c r="E90" i="20" s="1"/>
  <c r="B25" i="28"/>
  <c r="D91" i="20" s="1"/>
  <c r="E91" i="20" s="1"/>
  <c r="B26" i="28"/>
  <c r="D92" i="20" s="1"/>
  <c r="E92" i="20" s="1"/>
  <c r="B27" i="28"/>
  <c r="D93" i="20" s="1"/>
  <c r="E93" i="20" s="1"/>
  <c r="B28" i="28"/>
  <c r="D94" i="20" s="1"/>
  <c r="E94" i="20" s="1"/>
  <c r="B29" i="28"/>
  <c r="D95" i="20" s="1"/>
  <c r="E95" i="20" s="1"/>
  <c r="B37" i="28"/>
  <c r="D96" i="20" s="1"/>
  <c r="E96" i="20" s="1"/>
  <c r="B38" i="28"/>
  <c r="D97" i="20" s="1"/>
  <c r="E97" i="20" s="1"/>
  <c r="B39" i="28"/>
  <c r="D98" i="20" s="1"/>
  <c r="E98" i="20" s="1"/>
  <c r="B40" i="28"/>
  <c r="D99" i="20" s="1"/>
  <c r="E99" i="20" s="1"/>
  <c r="B41" i="28"/>
  <c r="D100" i="20" s="1"/>
  <c r="E100" i="20" s="1"/>
  <c r="B42" i="28"/>
  <c r="D101" i="20" s="1"/>
  <c r="E101" i="20" s="1"/>
  <c r="B43" i="28"/>
  <c r="D102" i="20" s="1"/>
  <c r="E102" i="20" s="1"/>
  <c r="B44" i="28"/>
  <c r="D103" i="20" s="1"/>
  <c r="E103" i="20" s="1"/>
  <c r="D104" i="20"/>
  <c r="E104" i="20" s="1"/>
  <c r="D106" i="20"/>
  <c r="E106" i="20" s="1"/>
  <c r="D110" i="20"/>
  <c r="E110" i="20" s="1"/>
  <c r="B67" i="28"/>
  <c r="D112" i="20" s="1"/>
  <c r="E112" i="20" s="1"/>
  <c r="B68" i="28"/>
  <c r="D113" i="20" s="1"/>
  <c r="E113" i="20" s="1"/>
  <c r="B69" i="28"/>
  <c r="D114" i="20" s="1"/>
  <c r="E114" i="20" s="1"/>
  <c r="B70" i="28"/>
  <c r="D115" i="20" s="1"/>
  <c r="E115" i="20" s="1"/>
  <c r="B71" i="28"/>
  <c r="D116" i="20" s="1"/>
  <c r="E116" i="20" s="1"/>
  <c r="B72" i="28"/>
  <c r="D117" i="20" s="1"/>
  <c r="E117" i="20" s="1"/>
  <c r="B73" i="28"/>
  <c r="D118" i="20" s="1"/>
  <c r="E118" i="20" s="1"/>
  <c r="B74" i="28"/>
  <c r="D119" i="20" s="1"/>
  <c r="E119" i="20" s="1"/>
  <c r="B82" i="28"/>
  <c r="D120" i="20" s="1"/>
  <c r="E120" i="20" s="1"/>
  <c r="B83" i="28"/>
  <c r="D121" i="20" s="1"/>
  <c r="E121" i="20" s="1"/>
  <c r="B84" i="28"/>
  <c r="D122" i="20" s="1"/>
  <c r="E122" i="20" s="1"/>
  <c r="B85" i="28"/>
  <c r="D123" i="20" s="1"/>
  <c r="E123" i="20" s="1"/>
  <c r="B86" i="28"/>
  <c r="D124" i="20" s="1"/>
  <c r="E124" i="20" s="1"/>
  <c r="B87" i="28"/>
  <c r="D125" i="20" s="1"/>
  <c r="E125" i="20" s="1"/>
  <c r="B88" i="28"/>
  <c r="D126" i="20" s="1"/>
  <c r="E126" i="20" s="1"/>
  <c r="B89" i="28"/>
  <c r="D127" i="20" s="1"/>
  <c r="E127" i="20" s="1"/>
  <c r="B97" i="28"/>
  <c r="D128" i="20" s="1"/>
  <c r="E128" i="20" s="1"/>
  <c r="B98" i="28"/>
  <c r="D129" i="20" s="1"/>
  <c r="E129" i="20" s="1"/>
  <c r="B99" i="28"/>
  <c r="D130" i="20" s="1"/>
  <c r="E130" i="20" s="1"/>
  <c r="B100" i="28"/>
  <c r="D131" i="20" s="1"/>
  <c r="E131" i="20" s="1"/>
  <c r="B101" i="28"/>
  <c r="D132" i="20" s="1"/>
  <c r="E132" i="20" s="1"/>
  <c r="B102" i="28"/>
  <c r="D133" i="20" s="1"/>
  <c r="E133" i="20" s="1"/>
  <c r="B103" i="28"/>
  <c r="D134" i="20" s="1"/>
  <c r="E134" i="20" s="1"/>
  <c r="B104" i="28"/>
  <c r="D135" i="20" s="1"/>
  <c r="E135" i="20" s="1"/>
  <c r="B112" i="28"/>
  <c r="D136" i="20" s="1"/>
  <c r="E136" i="20" s="1"/>
  <c r="B113" i="28"/>
  <c r="D137" i="20" s="1"/>
  <c r="E137" i="20" s="1"/>
  <c r="B114" i="28"/>
  <c r="D138" i="20" s="1"/>
  <c r="E138" i="20" s="1"/>
  <c r="B115" i="28"/>
  <c r="D139" i="20" s="1"/>
  <c r="E139" i="20" s="1"/>
  <c r="B116" i="28"/>
  <c r="D140" i="20" s="1"/>
  <c r="E140" i="20" s="1"/>
  <c r="B117" i="28"/>
  <c r="D141" i="20" s="1"/>
  <c r="E141" i="20" s="1"/>
  <c r="B118" i="28"/>
  <c r="D142" i="20" s="1"/>
  <c r="E142" i="20" s="1"/>
  <c r="B119" i="28"/>
  <c r="D143" i="20" s="1"/>
  <c r="E143" i="20" s="1"/>
  <c r="B48" i="20"/>
  <c r="B46" i="20"/>
  <c r="B50" i="20"/>
  <c r="B51" i="20"/>
  <c r="D345" i="20"/>
  <c r="F345" i="20" s="1"/>
  <c r="D344" i="20"/>
  <c r="F344" i="20" s="1"/>
  <c r="D343" i="20"/>
  <c r="F343" i="20" s="1"/>
  <c r="D342" i="20"/>
  <c r="F342" i="20" s="1"/>
  <c r="D341" i="20"/>
  <c r="F341" i="20" s="1"/>
  <c r="D340" i="20"/>
  <c r="F340" i="20" s="1"/>
  <c r="D339" i="20"/>
  <c r="D338" i="20"/>
  <c r="F338" i="20" s="1"/>
  <c r="D337" i="20"/>
  <c r="F337" i="20" s="1"/>
  <c r="D336" i="20"/>
  <c r="F336" i="20" s="1"/>
  <c r="D335" i="20"/>
  <c r="F335" i="20" s="1"/>
  <c r="D334" i="20"/>
  <c r="F334" i="20" s="1"/>
  <c r="D332" i="20"/>
  <c r="F332" i="20" s="1"/>
  <c r="D333" i="20"/>
  <c r="F333" i="20" s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3" i="5"/>
  <c r="B263" i="20"/>
  <c r="B21" i="20"/>
  <c r="C21" i="20" s="1"/>
  <c r="D21" i="20" s="1"/>
  <c r="G21" i="20" s="1"/>
  <c r="FC2" i="19" s="1"/>
  <c r="C338" i="20"/>
  <c r="B168" i="20"/>
  <c r="C168" i="20" s="1"/>
  <c r="D168" i="20" s="1"/>
  <c r="B167" i="20"/>
  <c r="B166" i="20"/>
  <c r="C166" i="20" s="1"/>
  <c r="D166" i="20" s="1"/>
  <c r="B165" i="20"/>
  <c r="C165" i="20" s="1"/>
  <c r="D165" i="20" s="1"/>
  <c r="K1206" i="5"/>
  <c r="M1206" i="5" s="1"/>
  <c r="L1206" i="5"/>
  <c r="K1207" i="5"/>
  <c r="M1207" i="5" s="1"/>
  <c r="L1207" i="5"/>
  <c r="K1208" i="5"/>
  <c r="M1208" i="5" s="1"/>
  <c r="L1208" i="5"/>
  <c r="K1209" i="5"/>
  <c r="M1209" i="5" s="1"/>
  <c r="L1209" i="5"/>
  <c r="K1210" i="5"/>
  <c r="L1210" i="5"/>
  <c r="M1210" i="5"/>
  <c r="K1211" i="5"/>
  <c r="M1211" i="5" s="1"/>
  <c r="L1211" i="5"/>
  <c r="K1212" i="5"/>
  <c r="M1212" i="5" s="1"/>
  <c r="L1212" i="5"/>
  <c r="K1213" i="5"/>
  <c r="M1213" i="5" s="1"/>
  <c r="L1213" i="5"/>
  <c r="K1214" i="5"/>
  <c r="M1214" i="5" s="1"/>
  <c r="L1214" i="5"/>
  <c r="K1215" i="5"/>
  <c r="L1215" i="5"/>
  <c r="M1215" i="5"/>
  <c r="K1216" i="5"/>
  <c r="M1216" i="5" s="1"/>
  <c r="L1216" i="5"/>
  <c r="K1217" i="5"/>
  <c r="M1217" i="5" s="1"/>
  <c r="L1217" i="5"/>
  <c r="K1218" i="5"/>
  <c r="L1218" i="5"/>
  <c r="M1218" i="5"/>
  <c r="K1219" i="5"/>
  <c r="M1219" i="5" s="1"/>
  <c r="L1219" i="5"/>
  <c r="K1220" i="5"/>
  <c r="M1220" i="5" s="1"/>
  <c r="L1220" i="5"/>
  <c r="K1221" i="5"/>
  <c r="L1221" i="5"/>
  <c r="M1221" i="5"/>
  <c r="K1222" i="5"/>
  <c r="M1222" i="5" s="1"/>
  <c r="L1222" i="5"/>
  <c r="K1223" i="5"/>
  <c r="M1223" i="5" s="1"/>
  <c r="L1223" i="5"/>
  <c r="K1224" i="5"/>
  <c r="M1224" i="5" s="1"/>
  <c r="L1224" i="5"/>
  <c r="K1225" i="5"/>
  <c r="M1225" i="5" s="1"/>
  <c r="L1225" i="5"/>
  <c r="K1226" i="5"/>
  <c r="L1226" i="5"/>
  <c r="M1226" i="5"/>
  <c r="K1227" i="5"/>
  <c r="M1227" i="5" s="1"/>
  <c r="L1227" i="5"/>
  <c r="K1228" i="5"/>
  <c r="M1228" i="5" s="1"/>
  <c r="L1228" i="5"/>
  <c r="K1229" i="5"/>
  <c r="M1229" i="5" s="1"/>
  <c r="L1229" i="5"/>
  <c r="K1230" i="5"/>
  <c r="M1230" i="5" s="1"/>
  <c r="L1230" i="5"/>
  <c r="K1231" i="5"/>
  <c r="L1231" i="5"/>
  <c r="M1231" i="5"/>
  <c r="K1232" i="5"/>
  <c r="M1232" i="5" s="1"/>
  <c r="L1232" i="5"/>
  <c r="K1233" i="5"/>
  <c r="M1233" i="5" s="1"/>
  <c r="L1233" i="5"/>
  <c r="K1234" i="5"/>
  <c r="L1234" i="5"/>
  <c r="M1234" i="5"/>
  <c r="K1235" i="5"/>
  <c r="M1235" i="5" s="1"/>
  <c r="L1235" i="5"/>
  <c r="K1236" i="5"/>
  <c r="M1236" i="5" s="1"/>
  <c r="L1236" i="5"/>
  <c r="K1237" i="5"/>
  <c r="L1237" i="5"/>
  <c r="M1237" i="5"/>
  <c r="K1238" i="5"/>
  <c r="M1238" i="5" s="1"/>
  <c r="L1238" i="5"/>
  <c r="K1239" i="5"/>
  <c r="M1239" i="5" s="1"/>
  <c r="L1239" i="5"/>
  <c r="K1240" i="5"/>
  <c r="M1240" i="5" s="1"/>
  <c r="L1240" i="5"/>
  <c r="K1241" i="5"/>
  <c r="M1241" i="5" s="1"/>
  <c r="L1241" i="5"/>
  <c r="K1242" i="5"/>
  <c r="L1242" i="5"/>
  <c r="M1242" i="5"/>
  <c r="K1243" i="5"/>
  <c r="M1243" i="5" s="1"/>
  <c r="L1243" i="5"/>
  <c r="K1244" i="5"/>
  <c r="M1244" i="5" s="1"/>
  <c r="L1244" i="5"/>
  <c r="K1245" i="5"/>
  <c r="M1245" i="5" s="1"/>
  <c r="L1245" i="5"/>
  <c r="K1246" i="5"/>
  <c r="M1246" i="5" s="1"/>
  <c r="L1246" i="5"/>
  <c r="K1247" i="5"/>
  <c r="L1247" i="5"/>
  <c r="M1247" i="5"/>
  <c r="K1248" i="5"/>
  <c r="M1248" i="5" s="1"/>
  <c r="L1248" i="5"/>
  <c r="K1249" i="5"/>
  <c r="M1249" i="5" s="1"/>
  <c r="L1249" i="5"/>
  <c r="K1250" i="5"/>
  <c r="L1250" i="5"/>
  <c r="M1250" i="5"/>
  <c r="K1251" i="5"/>
  <c r="M1251" i="5" s="1"/>
  <c r="L1251" i="5"/>
  <c r="K1252" i="5"/>
  <c r="M1252" i="5" s="1"/>
  <c r="L1252" i="5"/>
  <c r="K1253" i="5"/>
  <c r="L1253" i="5"/>
  <c r="M1253" i="5"/>
  <c r="K1254" i="5"/>
  <c r="M1254" i="5" s="1"/>
  <c r="L1254" i="5"/>
  <c r="K1255" i="5"/>
  <c r="M1255" i="5" s="1"/>
  <c r="L1255" i="5"/>
  <c r="K1256" i="5"/>
  <c r="M1256" i="5" s="1"/>
  <c r="L1256" i="5"/>
  <c r="K1257" i="5"/>
  <c r="M1257" i="5" s="1"/>
  <c r="L1257" i="5"/>
  <c r="K1258" i="5"/>
  <c r="L1258" i="5"/>
  <c r="M1258" i="5"/>
  <c r="K1259" i="5"/>
  <c r="M1259" i="5" s="1"/>
  <c r="L1259" i="5"/>
  <c r="K1260" i="5"/>
  <c r="M1260" i="5" s="1"/>
  <c r="L1260" i="5"/>
  <c r="K1261" i="5"/>
  <c r="M1261" i="5" s="1"/>
  <c r="L1261" i="5"/>
  <c r="K1262" i="5"/>
  <c r="M1262" i="5" s="1"/>
  <c r="L1262" i="5"/>
  <c r="K1263" i="5"/>
  <c r="L1263" i="5"/>
  <c r="M1263" i="5"/>
  <c r="K1264" i="5"/>
  <c r="M1264" i="5" s="1"/>
  <c r="L1264" i="5"/>
  <c r="K1265" i="5"/>
  <c r="M1265" i="5" s="1"/>
  <c r="L1265" i="5"/>
  <c r="K1266" i="5"/>
  <c r="L1266" i="5"/>
  <c r="M1266" i="5"/>
  <c r="K1267" i="5"/>
  <c r="M1267" i="5" s="1"/>
  <c r="L1267" i="5"/>
  <c r="K1268" i="5"/>
  <c r="M1268" i="5" s="1"/>
  <c r="L1268" i="5"/>
  <c r="K1269" i="5"/>
  <c r="L1269" i="5"/>
  <c r="M1269" i="5"/>
  <c r="K1270" i="5"/>
  <c r="M1270" i="5" s="1"/>
  <c r="L1270" i="5"/>
  <c r="K1271" i="5"/>
  <c r="M1271" i="5" s="1"/>
  <c r="L1271" i="5"/>
  <c r="K1272" i="5"/>
  <c r="M1272" i="5" s="1"/>
  <c r="L1272" i="5"/>
  <c r="K1273" i="5"/>
  <c r="M1273" i="5" s="1"/>
  <c r="L1273" i="5"/>
  <c r="K1274" i="5"/>
  <c r="L1274" i="5"/>
  <c r="M1274" i="5"/>
  <c r="K1275" i="5"/>
  <c r="M1275" i="5" s="1"/>
  <c r="L1275" i="5"/>
  <c r="K1276" i="5"/>
  <c r="M1276" i="5" s="1"/>
  <c r="L1276" i="5"/>
  <c r="K1277" i="5"/>
  <c r="M1277" i="5" s="1"/>
  <c r="L1277" i="5"/>
  <c r="K1278" i="5"/>
  <c r="M1278" i="5" s="1"/>
  <c r="L1278" i="5"/>
  <c r="K1279" i="5"/>
  <c r="L1279" i="5"/>
  <c r="M1279" i="5"/>
  <c r="K1280" i="5"/>
  <c r="M1280" i="5" s="1"/>
  <c r="L1280" i="5"/>
  <c r="K1281" i="5"/>
  <c r="M1281" i="5" s="1"/>
  <c r="L1281" i="5"/>
  <c r="K1282" i="5"/>
  <c r="L1282" i="5"/>
  <c r="M1282" i="5"/>
  <c r="K1283" i="5"/>
  <c r="M1283" i="5" s="1"/>
  <c r="L1283" i="5"/>
  <c r="K1284" i="5"/>
  <c r="M1284" i="5" s="1"/>
  <c r="L1284" i="5"/>
  <c r="K1285" i="5"/>
  <c r="L1285" i="5"/>
  <c r="M1285" i="5"/>
  <c r="K1286" i="5"/>
  <c r="M1286" i="5" s="1"/>
  <c r="L1286" i="5"/>
  <c r="K1287" i="5"/>
  <c r="M1287" i="5" s="1"/>
  <c r="L1287" i="5"/>
  <c r="K1288" i="5"/>
  <c r="M1288" i="5" s="1"/>
  <c r="L1288" i="5"/>
  <c r="K1289" i="5"/>
  <c r="M1289" i="5" s="1"/>
  <c r="L1289" i="5"/>
  <c r="K1290" i="5"/>
  <c r="L1290" i="5"/>
  <c r="M1290" i="5"/>
  <c r="K1291" i="5"/>
  <c r="M1291" i="5" s="1"/>
  <c r="L1291" i="5"/>
  <c r="K1292" i="5"/>
  <c r="M1292" i="5" s="1"/>
  <c r="L1292" i="5"/>
  <c r="K1293" i="5"/>
  <c r="M1293" i="5" s="1"/>
  <c r="L1293" i="5"/>
  <c r="K1294" i="5"/>
  <c r="M1294" i="5" s="1"/>
  <c r="L1294" i="5"/>
  <c r="K1295" i="5"/>
  <c r="L1295" i="5"/>
  <c r="M1295" i="5"/>
  <c r="K1296" i="5"/>
  <c r="M1296" i="5" s="1"/>
  <c r="L1296" i="5"/>
  <c r="K1297" i="5"/>
  <c r="M1297" i="5" s="1"/>
  <c r="L1297" i="5"/>
  <c r="K1298" i="5"/>
  <c r="L1298" i="5"/>
  <c r="M1298" i="5"/>
  <c r="K1299" i="5"/>
  <c r="M1299" i="5" s="1"/>
  <c r="L1299" i="5"/>
  <c r="K1300" i="5"/>
  <c r="M1300" i="5" s="1"/>
  <c r="L1300" i="5"/>
  <c r="K1301" i="5"/>
  <c r="L1301" i="5"/>
  <c r="M1301" i="5"/>
  <c r="K1302" i="5"/>
  <c r="M1302" i="5" s="1"/>
  <c r="L1302" i="5"/>
  <c r="K1303" i="5"/>
  <c r="M1303" i="5" s="1"/>
  <c r="L1303" i="5"/>
  <c r="K1304" i="5"/>
  <c r="M1304" i="5" s="1"/>
  <c r="L1304" i="5"/>
  <c r="K1305" i="5"/>
  <c r="M1305" i="5" s="1"/>
  <c r="L1305" i="5"/>
  <c r="K1306" i="5"/>
  <c r="M1306" i="5" s="1"/>
  <c r="L1306" i="5"/>
  <c r="K1307" i="5"/>
  <c r="M1307" i="5" s="1"/>
  <c r="L1307" i="5"/>
  <c r="K1308" i="5"/>
  <c r="L1308" i="5"/>
  <c r="M1308" i="5"/>
  <c r="K1309" i="5"/>
  <c r="M1309" i="5" s="1"/>
  <c r="L1309" i="5"/>
  <c r="K1310" i="5"/>
  <c r="M1310" i="5" s="1"/>
  <c r="L1310" i="5"/>
  <c r="K1311" i="5"/>
  <c r="L1311" i="5"/>
  <c r="M1311" i="5"/>
  <c r="K1312" i="5"/>
  <c r="M1312" i="5" s="1"/>
  <c r="L1312" i="5"/>
  <c r="K1313" i="5"/>
  <c r="M1313" i="5" s="1"/>
  <c r="L1313" i="5"/>
  <c r="K1314" i="5"/>
  <c r="M1314" i="5" s="1"/>
  <c r="L1314" i="5"/>
  <c r="K1315" i="5"/>
  <c r="M1315" i="5" s="1"/>
  <c r="L1315" i="5"/>
  <c r="K1316" i="5"/>
  <c r="L1316" i="5"/>
  <c r="M1316" i="5"/>
  <c r="K1317" i="5"/>
  <c r="M1317" i="5" s="1"/>
  <c r="L1317" i="5"/>
  <c r="K1318" i="5"/>
  <c r="M1318" i="5" s="1"/>
  <c r="L1318" i="5"/>
  <c r="K1319" i="5"/>
  <c r="L1319" i="5"/>
  <c r="M1319" i="5"/>
  <c r="K1320" i="5"/>
  <c r="M1320" i="5" s="1"/>
  <c r="L1320" i="5"/>
  <c r="K1321" i="5"/>
  <c r="M1321" i="5" s="1"/>
  <c r="L1321" i="5"/>
  <c r="K1322" i="5"/>
  <c r="M1322" i="5" s="1"/>
  <c r="L1322" i="5"/>
  <c r="K1323" i="5"/>
  <c r="M1323" i="5" s="1"/>
  <c r="L1323" i="5"/>
  <c r="K1324" i="5"/>
  <c r="L1324" i="5"/>
  <c r="M1324" i="5"/>
  <c r="K1325" i="5"/>
  <c r="M1325" i="5" s="1"/>
  <c r="L1325" i="5"/>
  <c r="K1326" i="5"/>
  <c r="M1326" i="5" s="1"/>
  <c r="L1326" i="5"/>
  <c r="K1327" i="5"/>
  <c r="L1327" i="5"/>
  <c r="M1327" i="5"/>
  <c r="K1328" i="5"/>
  <c r="M1328" i="5" s="1"/>
  <c r="L1328" i="5"/>
  <c r="K1329" i="5"/>
  <c r="M1329" i="5" s="1"/>
  <c r="L1329" i="5"/>
  <c r="K1330" i="5"/>
  <c r="M1330" i="5" s="1"/>
  <c r="L1330" i="5"/>
  <c r="K1331" i="5"/>
  <c r="M1331" i="5" s="1"/>
  <c r="L1331" i="5"/>
  <c r="K1332" i="5"/>
  <c r="L1332" i="5"/>
  <c r="M1332" i="5"/>
  <c r="K1333" i="5"/>
  <c r="M1333" i="5" s="1"/>
  <c r="L1333" i="5"/>
  <c r="K1334" i="5"/>
  <c r="M1334" i="5" s="1"/>
  <c r="L1334" i="5"/>
  <c r="K1335" i="5"/>
  <c r="L1335" i="5"/>
  <c r="M1335" i="5"/>
  <c r="K1336" i="5"/>
  <c r="M1336" i="5" s="1"/>
  <c r="L1336" i="5"/>
  <c r="K1337" i="5"/>
  <c r="M1337" i="5" s="1"/>
  <c r="L1337" i="5"/>
  <c r="K1338" i="5"/>
  <c r="M1338" i="5" s="1"/>
  <c r="L1338" i="5"/>
  <c r="K1339" i="5"/>
  <c r="M1339" i="5" s="1"/>
  <c r="L1339" i="5"/>
  <c r="K1340" i="5"/>
  <c r="L1340" i="5"/>
  <c r="M1340" i="5"/>
  <c r="K1341" i="5"/>
  <c r="M1341" i="5" s="1"/>
  <c r="L1341" i="5"/>
  <c r="K1342" i="5"/>
  <c r="M1342" i="5" s="1"/>
  <c r="L1342" i="5"/>
  <c r="K1343" i="5"/>
  <c r="L1343" i="5"/>
  <c r="M1343" i="5"/>
  <c r="K1344" i="5"/>
  <c r="M1344" i="5" s="1"/>
  <c r="L1344" i="5"/>
  <c r="K1345" i="5"/>
  <c r="M1345" i="5" s="1"/>
  <c r="L1345" i="5"/>
  <c r="K1346" i="5"/>
  <c r="M1346" i="5" s="1"/>
  <c r="L1346" i="5"/>
  <c r="K1347" i="5"/>
  <c r="M1347" i="5" s="1"/>
  <c r="L1347" i="5"/>
  <c r="K1348" i="5"/>
  <c r="L1348" i="5"/>
  <c r="M1348" i="5"/>
  <c r="K1349" i="5"/>
  <c r="M1349" i="5" s="1"/>
  <c r="L1349" i="5"/>
  <c r="K1350" i="5"/>
  <c r="M1350" i="5" s="1"/>
  <c r="L1350" i="5"/>
  <c r="K1351" i="5"/>
  <c r="L1351" i="5"/>
  <c r="M1351" i="5"/>
  <c r="K1352" i="5"/>
  <c r="M1352" i="5" s="1"/>
  <c r="L1352" i="5"/>
  <c r="K1353" i="5"/>
  <c r="M1353" i="5" s="1"/>
  <c r="L1353" i="5"/>
  <c r="K1354" i="5"/>
  <c r="M1354" i="5" s="1"/>
  <c r="L1354" i="5"/>
  <c r="K1355" i="5"/>
  <c r="M1355" i="5" s="1"/>
  <c r="L1355" i="5"/>
  <c r="K1356" i="5"/>
  <c r="L1356" i="5"/>
  <c r="M1356" i="5"/>
  <c r="K1357" i="5"/>
  <c r="M1357" i="5" s="1"/>
  <c r="L1357" i="5"/>
  <c r="K1358" i="5"/>
  <c r="M1358" i="5" s="1"/>
  <c r="L1358" i="5"/>
  <c r="K1359" i="5"/>
  <c r="L1359" i="5"/>
  <c r="M1359" i="5"/>
  <c r="K1360" i="5"/>
  <c r="M1360" i="5" s="1"/>
  <c r="L1360" i="5"/>
  <c r="K1361" i="5"/>
  <c r="M1361" i="5" s="1"/>
  <c r="L1361" i="5"/>
  <c r="K1362" i="5"/>
  <c r="M1362" i="5" s="1"/>
  <c r="L1362" i="5"/>
  <c r="K1363" i="5"/>
  <c r="M1363" i="5" s="1"/>
  <c r="L1363" i="5"/>
  <c r="K1364" i="5"/>
  <c r="L1364" i="5"/>
  <c r="M1364" i="5"/>
  <c r="K1365" i="5"/>
  <c r="M1365" i="5" s="1"/>
  <c r="L1365" i="5"/>
  <c r="K1366" i="5"/>
  <c r="M1366" i="5" s="1"/>
  <c r="L1366" i="5"/>
  <c r="K1367" i="5"/>
  <c r="L1367" i="5"/>
  <c r="M1367" i="5"/>
  <c r="K1368" i="5"/>
  <c r="M1368" i="5" s="1"/>
  <c r="L1368" i="5"/>
  <c r="K1369" i="5"/>
  <c r="M1369" i="5" s="1"/>
  <c r="L1369" i="5"/>
  <c r="K1370" i="5"/>
  <c r="M1370" i="5" s="1"/>
  <c r="L1370" i="5"/>
  <c r="K1371" i="5"/>
  <c r="M1371" i="5" s="1"/>
  <c r="L1371" i="5"/>
  <c r="K1372" i="5"/>
  <c r="L1372" i="5"/>
  <c r="M1372" i="5"/>
  <c r="K1373" i="5"/>
  <c r="M1373" i="5" s="1"/>
  <c r="L1373" i="5"/>
  <c r="K1374" i="5"/>
  <c r="M1374" i="5" s="1"/>
  <c r="L1374" i="5"/>
  <c r="K1375" i="5"/>
  <c r="L1375" i="5"/>
  <c r="M1375" i="5"/>
  <c r="K1376" i="5"/>
  <c r="M1376" i="5" s="1"/>
  <c r="L1376" i="5"/>
  <c r="K1377" i="5"/>
  <c r="M1377" i="5" s="1"/>
  <c r="L1377" i="5"/>
  <c r="K1378" i="5"/>
  <c r="M1378" i="5" s="1"/>
  <c r="L1378" i="5"/>
  <c r="K1379" i="5"/>
  <c r="M1379" i="5" s="1"/>
  <c r="L1379" i="5"/>
  <c r="K1380" i="5"/>
  <c r="L1380" i="5"/>
  <c r="M1380" i="5"/>
  <c r="K1381" i="5"/>
  <c r="M1381" i="5" s="1"/>
  <c r="L1381" i="5"/>
  <c r="K1382" i="5"/>
  <c r="M1382" i="5" s="1"/>
  <c r="L1382" i="5"/>
  <c r="K1383" i="5"/>
  <c r="L1383" i="5"/>
  <c r="M1383" i="5"/>
  <c r="K1384" i="5"/>
  <c r="M1384" i="5" s="1"/>
  <c r="L1384" i="5"/>
  <c r="K1385" i="5"/>
  <c r="M1385" i="5" s="1"/>
  <c r="L1385" i="5"/>
  <c r="K1386" i="5"/>
  <c r="M1386" i="5" s="1"/>
  <c r="L1386" i="5"/>
  <c r="K1387" i="5"/>
  <c r="M1387" i="5" s="1"/>
  <c r="L1387" i="5"/>
  <c r="K1388" i="5"/>
  <c r="L1388" i="5"/>
  <c r="M1388" i="5"/>
  <c r="K1389" i="5"/>
  <c r="M1389" i="5" s="1"/>
  <c r="L1389" i="5"/>
  <c r="K1390" i="5"/>
  <c r="M1390" i="5" s="1"/>
  <c r="L1390" i="5"/>
  <c r="K1391" i="5"/>
  <c r="L1391" i="5"/>
  <c r="M1391" i="5"/>
  <c r="K1392" i="5"/>
  <c r="M1392" i="5" s="1"/>
  <c r="L1392" i="5"/>
  <c r="K1393" i="5"/>
  <c r="M1393" i="5" s="1"/>
  <c r="L1393" i="5"/>
  <c r="K1394" i="5"/>
  <c r="M1394" i="5" s="1"/>
  <c r="L1394" i="5"/>
  <c r="K1395" i="5"/>
  <c r="M1395" i="5" s="1"/>
  <c r="L1395" i="5"/>
  <c r="K1396" i="5"/>
  <c r="L1396" i="5"/>
  <c r="M1396" i="5"/>
  <c r="K1397" i="5"/>
  <c r="M1397" i="5" s="1"/>
  <c r="L1397" i="5"/>
  <c r="K1398" i="5"/>
  <c r="M1398" i="5" s="1"/>
  <c r="L1398" i="5"/>
  <c r="K1399" i="5"/>
  <c r="L1399" i="5"/>
  <c r="M1399" i="5"/>
  <c r="K1400" i="5"/>
  <c r="M1400" i="5" s="1"/>
  <c r="L1400" i="5"/>
  <c r="K1401" i="5"/>
  <c r="M1401" i="5" s="1"/>
  <c r="L1401" i="5"/>
  <c r="K1402" i="5"/>
  <c r="M1402" i="5" s="1"/>
  <c r="L1402" i="5"/>
  <c r="K1403" i="5"/>
  <c r="M1403" i="5" s="1"/>
  <c r="L1403" i="5"/>
  <c r="K1404" i="5"/>
  <c r="L1404" i="5"/>
  <c r="M1404" i="5"/>
  <c r="K1405" i="5"/>
  <c r="M1405" i="5" s="1"/>
  <c r="L1405" i="5"/>
  <c r="K1406" i="5"/>
  <c r="M1406" i="5" s="1"/>
  <c r="L1406" i="5"/>
  <c r="K1407" i="5"/>
  <c r="M1407" i="5" s="1"/>
  <c r="L1407" i="5"/>
  <c r="K1408" i="5"/>
  <c r="M1408" i="5" s="1"/>
  <c r="L1408" i="5"/>
  <c r="K1409" i="5"/>
  <c r="L1409" i="5"/>
  <c r="M1409" i="5"/>
  <c r="K1410" i="5"/>
  <c r="M1410" i="5" s="1"/>
  <c r="L1410" i="5"/>
  <c r="K1411" i="5"/>
  <c r="M1411" i="5" s="1"/>
  <c r="L1411" i="5"/>
  <c r="K1412" i="5"/>
  <c r="L1412" i="5"/>
  <c r="M1412" i="5"/>
  <c r="K1413" i="5"/>
  <c r="M1413" i="5" s="1"/>
  <c r="L1413" i="5"/>
  <c r="K1414" i="5"/>
  <c r="M1414" i="5" s="1"/>
  <c r="L1414" i="5"/>
  <c r="K1415" i="5"/>
  <c r="L1415" i="5"/>
  <c r="M1415" i="5"/>
  <c r="K1416" i="5"/>
  <c r="M1416" i="5" s="1"/>
  <c r="L1416" i="5"/>
  <c r="K1417" i="5"/>
  <c r="M1417" i="5" s="1"/>
  <c r="L1417" i="5"/>
  <c r="K1418" i="5"/>
  <c r="M1418" i="5" s="1"/>
  <c r="L1418" i="5"/>
  <c r="K1419" i="5"/>
  <c r="M1419" i="5" s="1"/>
  <c r="L1419" i="5"/>
  <c r="K1420" i="5"/>
  <c r="L1420" i="5"/>
  <c r="M1420" i="5"/>
  <c r="K1421" i="5"/>
  <c r="M1421" i="5" s="1"/>
  <c r="L1421" i="5"/>
  <c r="K1422" i="5"/>
  <c r="M1422" i="5" s="1"/>
  <c r="L1422" i="5"/>
  <c r="K1423" i="5"/>
  <c r="M1423" i="5" s="1"/>
  <c r="L1423" i="5"/>
  <c r="K1424" i="5"/>
  <c r="M1424" i="5" s="1"/>
  <c r="L1424" i="5"/>
  <c r="K1425" i="5"/>
  <c r="L1425" i="5"/>
  <c r="M1425" i="5"/>
  <c r="K1426" i="5"/>
  <c r="M1426" i="5" s="1"/>
  <c r="L1426" i="5"/>
  <c r="K1427" i="5"/>
  <c r="M1427" i="5" s="1"/>
  <c r="L1427" i="5"/>
  <c r="K1428" i="5"/>
  <c r="L1428" i="5"/>
  <c r="M1428" i="5"/>
  <c r="K1429" i="5"/>
  <c r="M1429" i="5" s="1"/>
  <c r="L1429" i="5"/>
  <c r="K1430" i="5"/>
  <c r="M1430" i="5" s="1"/>
  <c r="L1430" i="5"/>
  <c r="K1431" i="5"/>
  <c r="L1431" i="5"/>
  <c r="M1431" i="5"/>
  <c r="K1432" i="5"/>
  <c r="M1432" i="5" s="1"/>
  <c r="L1432" i="5"/>
  <c r="K1433" i="5"/>
  <c r="M1433" i="5" s="1"/>
  <c r="L1433" i="5"/>
  <c r="K1434" i="5"/>
  <c r="M1434" i="5" s="1"/>
  <c r="L1434" i="5"/>
  <c r="K1435" i="5"/>
  <c r="M1435" i="5" s="1"/>
  <c r="L1435" i="5"/>
  <c r="K1436" i="5"/>
  <c r="L1436" i="5"/>
  <c r="M1436" i="5"/>
  <c r="K1437" i="5"/>
  <c r="M1437" i="5" s="1"/>
  <c r="L1437" i="5"/>
  <c r="K1438" i="5"/>
  <c r="M1438" i="5" s="1"/>
  <c r="L1438" i="5"/>
  <c r="K1439" i="5"/>
  <c r="M1439" i="5" s="1"/>
  <c r="L1439" i="5"/>
  <c r="K1440" i="5"/>
  <c r="M1440" i="5" s="1"/>
  <c r="L1440" i="5"/>
  <c r="K1441" i="5"/>
  <c r="L1441" i="5"/>
  <c r="M1441" i="5"/>
  <c r="K1442" i="5"/>
  <c r="M1442" i="5" s="1"/>
  <c r="L1442" i="5"/>
  <c r="K1443" i="5"/>
  <c r="M1443" i="5" s="1"/>
  <c r="L1443" i="5"/>
  <c r="K1444" i="5"/>
  <c r="L1444" i="5"/>
  <c r="M1444" i="5"/>
  <c r="K1445" i="5"/>
  <c r="M1445" i="5" s="1"/>
  <c r="L1445" i="5"/>
  <c r="K1446" i="5"/>
  <c r="M1446" i="5" s="1"/>
  <c r="L1446" i="5"/>
  <c r="K1447" i="5"/>
  <c r="L1447" i="5"/>
  <c r="M1447" i="5"/>
  <c r="K1448" i="5"/>
  <c r="M1448" i="5" s="1"/>
  <c r="L1448" i="5"/>
  <c r="K1449" i="5"/>
  <c r="M1449" i="5" s="1"/>
  <c r="L1449" i="5"/>
  <c r="K1450" i="5"/>
  <c r="M1450" i="5" s="1"/>
  <c r="L1450" i="5"/>
  <c r="K1451" i="5"/>
  <c r="M1451" i="5" s="1"/>
  <c r="L1451" i="5"/>
  <c r="K1452" i="5"/>
  <c r="L1452" i="5"/>
  <c r="M1452" i="5"/>
  <c r="K1453" i="5"/>
  <c r="M1453" i="5" s="1"/>
  <c r="L1453" i="5"/>
  <c r="K1454" i="5"/>
  <c r="M1454" i="5" s="1"/>
  <c r="L1454" i="5"/>
  <c r="K1455" i="5"/>
  <c r="M1455" i="5" s="1"/>
  <c r="L1455" i="5"/>
  <c r="K1456" i="5"/>
  <c r="M1456" i="5" s="1"/>
  <c r="L1456" i="5"/>
  <c r="K1457" i="5"/>
  <c r="L1457" i="5"/>
  <c r="M1457" i="5"/>
  <c r="K1458" i="5"/>
  <c r="M1458" i="5" s="1"/>
  <c r="L1458" i="5"/>
  <c r="K1459" i="5"/>
  <c r="M1459" i="5" s="1"/>
  <c r="L1459" i="5"/>
  <c r="K1460" i="5"/>
  <c r="L1460" i="5"/>
  <c r="M1460" i="5"/>
  <c r="K1461" i="5"/>
  <c r="M1461" i="5" s="1"/>
  <c r="L1461" i="5"/>
  <c r="K1462" i="5"/>
  <c r="M1462" i="5" s="1"/>
  <c r="L1462" i="5"/>
  <c r="K1463" i="5"/>
  <c r="L1463" i="5"/>
  <c r="M1463" i="5"/>
  <c r="K1464" i="5"/>
  <c r="M1464" i="5" s="1"/>
  <c r="L1464" i="5"/>
  <c r="K1465" i="5"/>
  <c r="M1465" i="5" s="1"/>
  <c r="L1465" i="5"/>
  <c r="K1466" i="5"/>
  <c r="M1466" i="5" s="1"/>
  <c r="L1466" i="5"/>
  <c r="K1467" i="5"/>
  <c r="M1467" i="5" s="1"/>
  <c r="L1467" i="5"/>
  <c r="K1468" i="5"/>
  <c r="L1468" i="5"/>
  <c r="M1468" i="5"/>
  <c r="K1469" i="5"/>
  <c r="M1469" i="5" s="1"/>
  <c r="L1469" i="5"/>
  <c r="K1470" i="5"/>
  <c r="M1470" i="5" s="1"/>
  <c r="L1470" i="5"/>
  <c r="K1471" i="5"/>
  <c r="M1471" i="5" s="1"/>
  <c r="L1471" i="5"/>
  <c r="K1472" i="5"/>
  <c r="M1472" i="5" s="1"/>
  <c r="L1472" i="5"/>
  <c r="K1473" i="5"/>
  <c r="L1473" i="5"/>
  <c r="M1473" i="5"/>
  <c r="K1474" i="5"/>
  <c r="M1474" i="5" s="1"/>
  <c r="L1474" i="5"/>
  <c r="K1475" i="5"/>
  <c r="M1475" i="5" s="1"/>
  <c r="L1475" i="5"/>
  <c r="K1476" i="5"/>
  <c r="L1476" i="5"/>
  <c r="M1476" i="5"/>
  <c r="K1477" i="5"/>
  <c r="M1477" i="5" s="1"/>
  <c r="L1477" i="5"/>
  <c r="K1478" i="5"/>
  <c r="M1478" i="5" s="1"/>
  <c r="L1478" i="5"/>
  <c r="K1479" i="5"/>
  <c r="L1479" i="5"/>
  <c r="M1479" i="5"/>
  <c r="K1480" i="5"/>
  <c r="M1480" i="5" s="1"/>
  <c r="L1480" i="5"/>
  <c r="K1481" i="5"/>
  <c r="M1481" i="5" s="1"/>
  <c r="L1481" i="5"/>
  <c r="K1482" i="5"/>
  <c r="M1482" i="5" s="1"/>
  <c r="L1482" i="5"/>
  <c r="K1483" i="5"/>
  <c r="M1483" i="5" s="1"/>
  <c r="L1483" i="5"/>
  <c r="K1484" i="5"/>
  <c r="L1484" i="5"/>
  <c r="M1484" i="5"/>
  <c r="K1485" i="5"/>
  <c r="M1485" i="5" s="1"/>
  <c r="L1485" i="5"/>
  <c r="K1486" i="5"/>
  <c r="M1486" i="5" s="1"/>
  <c r="L1486" i="5"/>
  <c r="K1487" i="5"/>
  <c r="M1487" i="5" s="1"/>
  <c r="L1487" i="5"/>
  <c r="K1488" i="5"/>
  <c r="M1488" i="5" s="1"/>
  <c r="L1488" i="5"/>
  <c r="K1489" i="5"/>
  <c r="L1489" i="5"/>
  <c r="M1489" i="5"/>
  <c r="K1490" i="5"/>
  <c r="M1490" i="5" s="1"/>
  <c r="L1490" i="5"/>
  <c r="K1491" i="5"/>
  <c r="M1491" i="5" s="1"/>
  <c r="L1491" i="5"/>
  <c r="K1492" i="5"/>
  <c r="M1492" i="5" s="1"/>
  <c r="L1492" i="5"/>
  <c r="K1493" i="5"/>
  <c r="M1493" i="5" s="1"/>
  <c r="L1493" i="5"/>
  <c r="K1494" i="5"/>
  <c r="M1494" i="5" s="1"/>
  <c r="L1494" i="5"/>
  <c r="K1495" i="5"/>
  <c r="L1495" i="5"/>
  <c r="M1495" i="5"/>
  <c r="K1496" i="5"/>
  <c r="M1496" i="5" s="1"/>
  <c r="L1496" i="5"/>
  <c r="K1497" i="5"/>
  <c r="M1497" i="5" s="1"/>
  <c r="L1497" i="5"/>
  <c r="K1498" i="5"/>
  <c r="M1498" i="5" s="1"/>
  <c r="L1498" i="5"/>
  <c r="K1499" i="5"/>
  <c r="M1499" i="5" s="1"/>
  <c r="L1499" i="5"/>
  <c r="K1500" i="5"/>
  <c r="L1500" i="5"/>
  <c r="M1500" i="5"/>
  <c r="K1501" i="5"/>
  <c r="M1501" i="5" s="1"/>
  <c r="L1501" i="5"/>
  <c r="K1502" i="5"/>
  <c r="M1502" i="5" s="1"/>
  <c r="L1502" i="5"/>
  <c r="K1503" i="5"/>
  <c r="M1503" i="5" s="1"/>
  <c r="L1503" i="5"/>
  <c r="K1504" i="5"/>
  <c r="M1504" i="5" s="1"/>
  <c r="L1504" i="5"/>
  <c r="K1505" i="5"/>
  <c r="L1505" i="5"/>
  <c r="M1505" i="5"/>
  <c r="K1506" i="5"/>
  <c r="M1506" i="5" s="1"/>
  <c r="L1506" i="5"/>
  <c r="K1507" i="5"/>
  <c r="M1507" i="5" s="1"/>
  <c r="L1507" i="5"/>
  <c r="K1508" i="5"/>
  <c r="L1508" i="5"/>
  <c r="M1508" i="5"/>
  <c r="K1509" i="5"/>
  <c r="M1509" i="5" s="1"/>
  <c r="L1509" i="5"/>
  <c r="K1510" i="5"/>
  <c r="M1510" i="5" s="1"/>
  <c r="L1510" i="5"/>
  <c r="K1511" i="5"/>
  <c r="M1511" i="5" s="1"/>
  <c r="L1511" i="5"/>
  <c r="K1512" i="5"/>
  <c r="M1512" i="5" s="1"/>
  <c r="L1512" i="5"/>
  <c r="K1513" i="5"/>
  <c r="M1513" i="5" s="1"/>
  <c r="L1513" i="5"/>
  <c r="K1514" i="5"/>
  <c r="M1514" i="5" s="1"/>
  <c r="L1514" i="5"/>
  <c r="K1515" i="5"/>
  <c r="L1515" i="5"/>
  <c r="M1515" i="5"/>
  <c r="K1516" i="5"/>
  <c r="L1516" i="5"/>
  <c r="M1516" i="5"/>
  <c r="K1517" i="5"/>
  <c r="M1517" i="5" s="1"/>
  <c r="L1517" i="5"/>
  <c r="K1518" i="5"/>
  <c r="M1518" i="5" s="1"/>
  <c r="L1518" i="5"/>
  <c r="K1519" i="5"/>
  <c r="M1519" i="5" s="1"/>
  <c r="L1519" i="5"/>
  <c r="K1520" i="5"/>
  <c r="L1520" i="5"/>
  <c r="M1520" i="5"/>
  <c r="K1521" i="5"/>
  <c r="L1521" i="5"/>
  <c r="M1521" i="5"/>
  <c r="K1522" i="5"/>
  <c r="M1522" i="5" s="1"/>
  <c r="L1522" i="5"/>
  <c r="K1523" i="5"/>
  <c r="M1523" i="5" s="1"/>
  <c r="L1523" i="5"/>
  <c r="K1524" i="5"/>
  <c r="M1524" i="5" s="1"/>
  <c r="L1524" i="5"/>
  <c r="K1525" i="5"/>
  <c r="M1525" i="5" s="1"/>
  <c r="L1525" i="5"/>
  <c r="K1526" i="5"/>
  <c r="M1526" i="5" s="1"/>
  <c r="L1526" i="5"/>
  <c r="K1527" i="5"/>
  <c r="L1527" i="5"/>
  <c r="M1527" i="5"/>
  <c r="K1528" i="5"/>
  <c r="M1528" i="5" s="1"/>
  <c r="L1528" i="5"/>
  <c r="K1529" i="5"/>
  <c r="M1529" i="5" s="1"/>
  <c r="L1529" i="5"/>
  <c r="K1530" i="5"/>
  <c r="M1530" i="5" s="1"/>
  <c r="L1530" i="5"/>
  <c r="K1531" i="5"/>
  <c r="M1531" i="5" s="1"/>
  <c r="L1531" i="5"/>
  <c r="K1532" i="5"/>
  <c r="L1532" i="5"/>
  <c r="M1532" i="5"/>
  <c r="K1533" i="5"/>
  <c r="M1533" i="5" s="1"/>
  <c r="L1533" i="5"/>
  <c r="K1534" i="5"/>
  <c r="M1534" i="5" s="1"/>
  <c r="L1534" i="5"/>
  <c r="K1535" i="5"/>
  <c r="M1535" i="5" s="1"/>
  <c r="L1535" i="5"/>
  <c r="K1536" i="5"/>
  <c r="M1536" i="5" s="1"/>
  <c r="L1536" i="5"/>
  <c r="K1537" i="5"/>
  <c r="L1537" i="5"/>
  <c r="M1537" i="5"/>
  <c r="K1538" i="5"/>
  <c r="M1538" i="5" s="1"/>
  <c r="L1538" i="5"/>
  <c r="K1539" i="5"/>
  <c r="M1539" i="5" s="1"/>
  <c r="L1539" i="5"/>
  <c r="K1540" i="5"/>
  <c r="L1540" i="5"/>
  <c r="M1540" i="5"/>
  <c r="K1541" i="5"/>
  <c r="M1541" i="5" s="1"/>
  <c r="L1541" i="5"/>
  <c r="K1542" i="5"/>
  <c r="M1542" i="5" s="1"/>
  <c r="L1542" i="5"/>
  <c r="K1543" i="5"/>
  <c r="M1543" i="5" s="1"/>
  <c r="L1543" i="5"/>
  <c r="K1544" i="5"/>
  <c r="M1544" i="5" s="1"/>
  <c r="L1544" i="5"/>
  <c r="K1545" i="5"/>
  <c r="M1545" i="5" s="1"/>
  <c r="L1545" i="5"/>
  <c r="K1546" i="5"/>
  <c r="M1546" i="5" s="1"/>
  <c r="L1546" i="5"/>
  <c r="K1547" i="5"/>
  <c r="L1547" i="5"/>
  <c r="M1547" i="5"/>
  <c r="K1548" i="5"/>
  <c r="L1548" i="5"/>
  <c r="M1548" i="5"/>
  <c r="K1549" i="5"/>
  <c r="M1549" i="5" s="1"/>
  <c r="L1549" i="5"/>
  <c r="K1550" i="5"/>
  <c r="M1550" i="5" s="1"/>
  <c r="L1550" i="5"/>
  <c r="K1551" i="5"/>
  <c r="M1551" i="5" s="1"/>
  <c r="L1551" i="5"/>
  <c r="K1552" i="5"/>
  <c r="L1552" i="5"/>
  <c r="M1552" i="5"/>
  <c r="K1553" i="5"/>
  <c r="L1553" i="5"/>
  <c r="M1553" i="5"/>
  <c r="K1554" i="5"/>
  <c r="M1554" i="5" s="1"/>
  <c r="L1554" i="5"/>
  <c r="K1555" i="5"/>
  <c r="M1555" i="5" s="1"/>
  <c r="L1555" i="5"/>
  <c r="K1556" i="5"/>
  <c r="M1556" i="5" s="1"/>
  <c r="L1556" i="5"/>
  <c r="K1557" i="5"/>
  <c r="M1557" i="5" s="1"/>
  <c r="L1557" i="5"/>
  <c r="K1558" i="5"/>
  <c r="M1558" i="5" s="1"/>
  <c r="L1558" i="5"/>
  <c r="K1559" i="5"/>
  <c r="L1559" i="5"/>
  <c r="M1559" i="5"/>
  <c r="K1560" i="5"/>
  <c r="M1560" i="5" s="1"/>
  <c r="L1560" i="5"/>
  <c r="K1561" i="5"/>
  <c r="M1561" i="5" s="1"/>
  <c r="L1561" i="5"/>
  <c r="K1562" i="5"/>
  <c r="M1562" i="5" s="1"/>
  <c r="L1562" i="5"/>
  <c r="K1563" i="5"/>
  <c r="M1563" i="5" s="1"/>
  <c r="L1563" i="5"/>
  <c r="K1564" i="5"/>
  <c r="L1564" i="5"/>
  <c r="M1564" i="5"/>
  <c r="K1565" i="5"/>
  <c r="M1565" i="5" s="1"/>
  <c r="L1565" i="5"/>
  <c r="K1566" i="5"/>
  <c r="M1566" i="5" s="1"/>
  <c r="L1566" i="5"/>
  <c r="K1567" i="5"/>
  <c r="L1567" i="5"/>
  <c r="M1567" i="5"/>
  <c r="K1568" i="5"/>
  <c r="M1568" i="5" s="1"/>
  <c r="L1568" i="5"/>
  <c r="K1569" i="5"/>
  <c r="M1569" i="5" s="1"/>
  <c r="L1569" i="5"/>
  <c r="K1570" i="5"/>
  <c r="M1570" i="5" s="1"/>
  <c r="L1570" i="5"/>
  <c r="K1571" i="5"/>
  <c r="L1571" i="5"/>
  <c r="M1571" i="5"/>
  <c r="K1572" i="5"/>
  <c r="L1572" i="5"/>
  <c r="M1572" i="5"/>
  <c r="K1573" i="5"/>
  <c r="M1573" i="5" s="1"/>
  <c r="L1573" i="5"/>
  <c r="K1574" i="5"/>
  <c r="M1574" i="5" s="1"/>
  <c r="L1574" i="5"/>
  <c r="K1575" i="5"/>
  <c r="M1575" i="5" s="1"/>
  <c r="L1575" i="5"/>
  <c r="K1576" i="5"/>
  <c r="M1576" i="5" s="1"/>
  <c r="L1576" i="5"/>
  <c r="K1577" i="5"/>
  <c r="M1577" i="5" s="1"/>
  <c r="L1577" i="5"/>
  <c r="K1578" i="5"/>
  <c r="M1578" i="5" s="1"/>
  <c r="L1578" i="5"/>
  <c r="K1579" i="5"/>
  <c r="L1579" i="5"/>
  <c r="M1579" i="5"/>
  <c r="K1580" i="5"/>
  <c r="L1580" i="5"/>
  <c r="M1580" i="5"/>
  <c r="K1581" i="5"/>
  <c r="M1581" i="5" s="1"/>
  <c r="L1581" i="5"/>
  <c r="K1582" i="5"/>
  <c r="M1582" i="5" s="1"/>
  <c r="L1582" i="5"/>
  <c r="K1583" i="5"/>
  <c r="M1583" i="5" s="1"/>
  <c r="L1583" i="5"/>
  <c r="K1584" i="5"/>
  <c r="M1584" i="5" s="1"/>
  <c r="L1584" i="5"/>
  <c r="K1585" i="5"/>
  <c r="M1585" i="5" s="1"/>
  <c r="L1585" i="5"/>
  <c r="K1586" i="5"/>
  <c r="M1586" i="5" s="1"/>
  <c r="L1586" i="5"/>
  <c r="K1587" i="5"/>
  <c r="M1587" i="5" s="1"/>
  <c r="L1587" i="5"/>
  <c r="K1588" i="5"/>
  <c r="L1588" i="5"/>
  <c r="M1588" i="5"/>
  <c r="K1589" i="5"/>
  <c r="M1589" i="5" s="1"/>
  <c r="L1589" i="5"/>
  <c r="K1590" i="5"/>
  <c r="M1590" i="5" s="1"/>
  <c r="L1590" i="5"/>
  <c r="K1591" i="5"/>
  <c r="L1591" i="5"/>
  <c r="M1591" i="5"/>
  <c r="K1592" i="5"/>
  <c r="M1592" i="5" s="1"/>
  <c r="L1592" i="5"/>
  <c r="K1593" i="5"/>
  <c r="M1593" i="5" s="1"/>
  <c r="L1593" i="5"/>
  <c r="K1594" i="5"/>
  <c r="M1594" i="5" s="1"/>
  <c r="L1594" i="5"/>
  <c r="K1595" i="5"/>
  <c r="M1595" i="5" s="1"/>
  <c r="L1595" i="5"/>
  <c r="K1596" i="5"/>
  <c r="L1596" i="5"/>
  <c r="M1596" i="5"/>
  <c r="K1597" i="5"/>
  <c r="M1597" i="5" s="1"/>
  <c r="L1597" i="5"/>
  <c r="K1598" i="5"/>
  <c r="M1598" i="5" s="1"/>
  <c r="L1598" i="5"/>
  <c r="K1599" i="5"/>
  <c r="L1599" i="5"/>
  <c r="M1599" i="5"/>
  <c r="K1600" i="5"/>
  <c r="M1600" i="5" s="1"/>
  <c r="L1600" i="5"/>
  <c r="K1601" i="5"/>
  <c r="M1601" i="5" s="1"/>
  <c r="L1601" i="5"/>
  <c r="K1602" i="5"/>
  <c r="M1602" i="5" s="1"/>
  <c r="L1602" i="5"/>
  <c r="K1603" i="5"/>
  <c r="M1603" i="5" s="1"/>
  <c r="L1603" i="5"/>
  <c r="K1604" i="5"/>
  <c r="M1604" i="5" s="1"/>
  <c r="L1604" i="5"/>
  <c r="K1605" i="5"/>
  <c r="M1605" i="5" s="1"/>
  <c r="L1605" i="5"/>
  <c r="K1606" i="5"/>
  <c r="M1606" i="5" s="1"/>
  <c r="L1606" i="5"/>
  <c r="K1607" i="5"/>
  <c r="M1607" i="5" s="1"/>
  <c r="L1607" i="5"/>
  <c r="K1608" i="5"/>
  <c r="L1608" i="5"/>
  <c r="M1608" i="5"/>
  <c r="K1609" i="5"/>
  <c r="L1609" i="5"/>
  <c r="M1609" i="5"/>
  <c r="K1610" i="5"/>
  <c r="M1610" i="5" s="1"/>
  <c r="L1610" i="5"/>
  <c r="K1611" i="5"/>
  <c r="L1611" i="5"/>
  <c r="M1611" i="5"/>
  <c r="K1612" i="5"/>
  <c r="L1612" i="5"/>
  <c r="M1612" i="5"/>
  <c r="K1613" i="5"/>
  <c r="M1613" i="5" s="1"/>
  <c r="L1613" i="5"/>
  <c r="K1614" i="5"/>
  <c r="M1614" i="5" s="1"/>
  <c r="L1614" i="5"/>
  <c r="K1615" i="5"/>
  <c r="M1615" i="5" s="1"/>
  <c r="L1615" i="5"/>
  <c r="K1616" i="5"/>
  <c r="M1616" i="5" s="1"/>
  <c r="L1616" i="5"/>
  <c r="K1617" i="5"/>
  <c r="M1617" i="5" s="1"/>
  <c r="L1617" i="5"/>
  <c r="K1618" i="5"/>
  <c r="M1618" i="5" s="1"/>
  <c r="L1618" i="5"/>
  <c r="K1619" i="5"/>
  <c r="M1619" i="5" s="1"/>
  <c r="L1619" i="5"/>
  <c r="K1620" i="5"/>
  <c r="L1620" i="5"/>
  <c r="M1620" i="5"/>
  <c r="K1621" i="5"/>
  <c r="M1621" i="5" s="1"/>
  <c r="L1621" i="5"/>
  <c r="K1622" i="5"/>
  <c r="M1622" i="5" s="1"/>
  <c r="L1622" i="5"/>
  <c r="K1623" i="5"/>
  <c r="M1623" i="5" s="1"/>
  <c r="L1623" i="5"/>
  <c r="K1624" i="5"/>
  <c r="M1624" i="5" s="1"/>
  <c r="L1624" i="5"/>
  <c r="K1625" i="5"/>
  <c r="L1625" i="5"/>
  <c r="M1625" i="5"/>
  <c r="K1626" i="5"/>
  <c r="M1626" i="5" s="1"/>
  <c r="L1626" i="5"/>
  <c r="K1627" i="5"/>
  <c r="M1627" i="5" s="1"/>
  <c r="L1627" i="5"/>
  <c r="K1628" i="5"/>
  <c r="L1628" i="5"/>
  <c r="M1628" i="5"/>
  <c r="K1629" i="5"/>
  <c r="M1629" i="5" s="1"/>
  <c r="L1629" i="5"/>
  <c r="K1630" i="5"/>
  <c r="M1630" i="5" s="1"/>
  <c r="L1630" i="5"/>
  <c r="K1631" i="5"/>
  <c r="L1631" i="5"/>
  <c r="M1631" i="5"/>
  <c r="K1632" i="5"/>
  <c r="M1632" i="5" s="1"/>
  <c r="L1632" i="5"/>
  <c r="K1633" i="5"/>
  <c r="M1633" i="5" s="1"/>
  <c r="L1633" i="5"/>
  <c r="K1634" i="5"/>
  <c r="M1634" i="5" s="1"/>
  <c r="L1634" i="5"/>
  <c r="K1635" i="5"/>
  <c r="M1635" i="5" s="1"/>
  <c r="L1635" i="5"/>
  <c r="K1636" i="5"/>
  <c r="M1636" i="5" s="1"/>
  <c r="L1636" i="5"/>
  <c r="K1637" i="5"/>
  <c r="M1637" i="5" s="1"/>
  <c r="L1637" i="5"/>
  <c r="K1638" i="5"/>
  <c r="M1638" i="5" s="1"/>
  <c r="L1638" i="5"/>
  <c r="K1639" i="5"/>
  <c r="M1639" i="5" s="1"/>
  <c r="L1639" i="5"/>
  <c r="K1640" i="5"/>
  <c r="L1640" i="5"/>
  <c r="M1640" i="5"/>
  <c r="K1641" i="5"/>
  <c r="L1641" i="5"/>
  <c r="M1641" i="5"/>
  <c r="K1642" i="5"/>
  <c r="M1642" i="5" s="1"/>
  <c r="L1642" i="5"/>
  <c r="K1643" i="5"/>
  <c r="L1643" i="5"/>
  <c r="M1643" i="5"/>
  <c r="K1644" i="5"/>
  <c r="L1644" i="5"/>
  <c r="M1644" i="5"/>
  <c r="K1645" i="5"/>
  <c r="M1645" i="5" s="1"/>
  <c r="L1645" i="5"/>
  <c r="K1646" i="5"/>
  <c r="M1646" i="5" s="1"/>
  <c r="L1646" i="5"/>
  <c r="K1647" i="5"/>
  <c r="M1647" i="5" s="1"/>
  <c r="L1647" i="5"/>
  <c r="K1648" i="5"/>
  <c r="M1648" i="5" s="1"/>
  <c r="L1648" i="5"/>
  <c r="K1649" i="5"/>
  <c r="M1649" i="5" s="1"/>
  <c r="L1649" i="5"/>
  <c r="K1650" i="5"/>
  <c r="M1650" i="5" s="1"/>
  <c r="L1650" i="5"/>
  <c r="K1651" i="5"/>
  <c r="M1651" i="5" s="1"/>
  <c r="L1651" i="5"/>
  <c r="K1652" i="5"/>
  <c r="L1652" i="5"/>
  <c r="M1652" i="5"/>
  <c r="K1653" i="5"/>
  <c r="M1653" i="5" s="1"/>
  <c r="L1653" i="5"/>
  <c r="K1654" i="5"/>
  <c r="M1654" i="5" s="1"/>
  <c r="L1654" i="5"/>
  <c r="K1655" i="5"/>
  <c r="M1655" i="5" s="1"/>
  <c r="L1655" i="5"/>
  <c r="K1656" i="5"/>
  <c r="M1656" i="5" s="1"/>
  <c r="L1656" i="5"/>
  <c r="K1657" i="5"/>
  <c r="L1657" i="5"/>
  <c r="M1657" i="5"/>
  <c r="K1658" i="5"/>
  <c r="M1658" i="5" s="1"/>
  <c r="L1658" i="5"/>
  <c r="K1659" i="5"/>
  <c r="M1659" i="5" s="1"/>
  <c r="L1659" i="5"/>
  <c r="K1660" i="5"/>
  <c r="L1660" i="5"/>
  <c r="M1660" i="5"/>
  <c r="K1661" i="5"/>
  <c r="M1661" i="5" s="1"/>
  <c r="L1661" i="5"/>
  <c r="K1662" i="5"/>
  <c r="M1662" i="5" s="1"/>
  <c r="L1662" i="5"/>
  <c r="K1663" i="5"/>
  <c r="L1663" i="5"/>
  <c r="M1663" i="5"/>
  <c r="K1664" i="5"/>
  <c r="M1664" i="5" s="1"/>
  <c r="L1664" i="5"/>
  <c r="K1665" i="5"/>
  <c r="M1665" i="5" s="1"/>
  <c r="L1665" i="5"/>
  <c r="K1666" i="5"/>
  <c r="M1666" i="5" s="1"/>
  <c r="L1666" i="5"/>
  <c r="K1667" i="5"/>
  <c r="M1667" i="5" s="1"/>
  <c r="L1667" i="5"/>
  <c r="K1668" i="5"/>
  <c r="M1668" i="5" s="1"/>
  <c r="L1668" i="5"/>
  <c r="K1669" i="5"/>
  <c r="M1669" i="5" s="1"/>
  <c r="L1669" i="5"/>
  <c r="K1670" i="5"/>
  <c r="M1670" i="5" s="1"/>
  <c r="L1670" i="5"/>
  <c r="K1671" i="5"/>
  <c r="M1671" i="5" s="1"/>
  <c r="L1671" i="5"/>
  <c r="K1672" i="5"/>
  <c r="L1672" i="5"/>
  <c r="M1672" i="5"/>
  <c r="K1673" i="5"/>
  <c r="L1673" i="5"/>
  <c r="M1673" i="5"/>
  <c r="K1674" i="5"/>
  <c r="M1674" i="5" s="1"/>
  <c r="L1674" i="5"/>
  <c r="K1675" i="5"/>
  <c r="L1675" i="5"/>
  <c r="M1675" i="5"/>
  <c r="K1676" i="5"/>
  <c r="L1676" i="5"/>
  <c r="M1676" i="5"/>
  <c r="K1677" i="5"/>
  <c r="M1677" i="5" s="1"/>
  <c r="L1677" i="5"/>
  <c r="K1678" i="5"/>
  <c r="M1678" i="5" s="1"/>
  <c r="L1678" i="5"/>
  <c r="K1679" i="5"/>
  <c r="M1679" i="5" s="1"/>
  <c r="L1679" i="5"/>
  <c r="K1680" i="5"/>
  <c r="M1680" i="5" s="1"/>
  <c r="L1680" i="5"/>
  <c r="K1681" i="5"/>
  <c r="M1681" i="5" s="1"/>
  <c r="L1681" i="5"/>
  <c r="K1682" i="5"/>
  <c r="M1682" i="5" s="1"/>
  <c r="L1682" i="5"/>
  <c r="K1683" i="5"/>
  <c r="M1683" i="5" s="1"/>
  <c r="L1683" i="5"/>
  <c r="K1684" i="5"/>
  <c r="L1684" i="5"/>
  <c r="M1684" i="5"/>
  <c r="K1685" i="5"/>
  <c r="M1685" i="5" s="1"/>
  <c r="L1685" i="5"/>
  <c r="K1686" i="5"/>
  <c r="M1686" i="5" s="1"/>
  <c r="L1686" i="5"/>
  <c r="K1687" i="5"/>
  <c r="M1687" i="5" s="1"/>
  <c r="L1687" i="5"/>
  <c r="K1688" i="5"/>
  <c r="M1688" i="5" s="1"/>
  <c r="L1688" i="5"/>
  <c r="K1689" i="5"/>
  <c r="L1689" i="5"/>
  <c r="M1689" i="5"/>
  <c r="K1690" i="5"/>
  <c r="M1690" i="5" s="1"/>
  <c r="L1690" i="5"/>
  <c r="K1691" i="5"/>
  <c r="M1691" i="5" s="1"/>
  <c r="L1691" i="5"/>
  <c r="K1692" i="5"/>
  <c r="L1692" i="5"/>
  <c r="M1692" i="5"/>
  <c r="K1693" i="5"/>
  <c r="M1693" i="5" s="1"/>
  <c r="L1693" i="5"/>
  <c r="K1694" i="5"/>
  <c r="M1694" i="5" s="1"/>
  <c r="L1694" i="5"/>
  <c r="K1695" i="5"/>
  <c r="L1695" i="5"/>
  <c r="M1695" i="5"/>
  <c r="K1696" i="5"/>
  <c r="M1696" i="5" s="1"/>
  <c r="L1696" i="5"/>
  <c r="K1697" i="5"/>
  <c r="M1697" i="5" s="1"/>
  <c r="L1697" i="5"/>
  <c r="K1698" i="5"/>
  <c r="M1698" i="5" s="1"/>
  <c r="L1698" i="5"/>
  <c r="K1699" i="5"/>
  <c r="M1699" i="5" s="1"/>
  <c r="L1699" i="5"/>
  <c r="K1700" i="5"/>
  <c r="M1700" i="5" s="1"/>
  <c r="L1700" i="5"/>
  <c r="K1701" i="5"/>
  <c r="M1701" i="5" s="1"/>
  <c r="L1701" i="5"/>
  <c r="K1702" i="5"/>
  <c r="M1702" i="5" s="1"/>
  <c r="L1702" i="5"/>
  <c r="K1703" i="5"/>
  <c r="M1703" i="5" s="1"/>
  <c r="L1703" i="5"/>
  <c r="K1704" i="5"/>
  <c r="L1704" i="5"/>
  <c r="M1704" i="5"/>
  <c r="K1705" i="5"/>
  <c r="L1705" i="5"/>
  <c r="M1705" i="5"/>
  <c r="K1706" i="5"/>
  <c r="M1706" i="5" s="1"/>
  <c r="L1706" i="5"/>
  <c r="K1707" i="5"/>
  <c r="L1707" i="5"/>
  <c r="M1707" i="5"/>
  <c r="K1708" i="5"/>
  <c r="L1708" i="5"/>
  <c r="M1708" i="5"/>
  <c r="K1709" i="5"/>
  <c r="M1709" i="5" s="1"/>
  <c r="L1709" i="5"/>
  <c r="K1710" i="5"/>
  <c r="M1710" i="5" s="1"/>
  <c r="L1710" i="5"/>
  <c r="K1711" i="5"/>
  <c r="M1711" i="5" s="1"/>
  <c r="L1711" i="5"/>
  <c r="K1712" i="5"/>
  <c r="M1712" i="5" s="1"/>
  <c r="L1712" i="5"/>
  <c r="K1713" i="5"/>
  <c r="M1713" i="5" s="1"/>
  <c r="L1713" i="5"/>
  <c r="K1714" i="5"/>
  <c r="M1714" i="5" s="1"/>
  <c r="L1714" i="5"/>
  <c r="K1715" i="5"/>
  <c r="M1715" i="5" s="1"/>
  <c r="L1715" i="5"/>
  <c r="K1716" i="5"/>
  <c r="L1716" i="5"/>
  <c r="M1716" i="5"/>
  <c r="K1717" i="5"/>
  <c r="M1717" i="5" s="1"/>
  <c r="L1717" i="5"/>
  <c r="K1718" i="5"/>
  <c r="M1718" i="5" s="1"/>
  <c r="L1718" i="5"/>
  <c r="K1719" i="5"/>
  <c r="M1719" i="5" s="1"/>
  <c r="L1719" i="5"/>
  <c r="K1720" i="5"/>
  <c r="M1720" i="5" s="1"/>
  <c r="L1720" i="5"/>
  <c r="K1721" i="5"/>
  <c r="L1721" i="5"/>
  <c r="M1721" i="5"/>
  <c r="K1722" i="5"/>
  <c r="M1722" i="5" s="1"/>
  <c r="L1722" i="5"/>
  <c r="K1723" i="5"/>
  <c r="M1723" i="5" s="1"/>
  <c r="L1723" i="5"/>
  <c r="K1724" i="5"/>
  <c r="L1724" i="5"/>
  <c r="M1724" i="5"/>
  <c r="K1725" i="5"/>
  <c r="M1725" i="5" s="1"/>
  <c r="L1725" i="5"/>
  <c r="K1726" i="5"/>
  <c r="M1726" i="5" s="1"/>
  <c r="L1726" i="5"/>
  <c r="K1727" i="5"/>
  <c r="L1727" i="5"/>
  <c r="M1727" i="5"/>
  <c r="K1728" i="5"/>
  <c r="M1728" i="5" s="1"/>
  <c r="L1728" i="5"/>
  <c r="K1729" i="5"/>
  <c r="M1729" i="5" s="1"/>
  <c r="L1729" i="5"/>
  <c r="K1730" i="5"/>
  <c r="M1730" i="5" s="1"/>
  <c r="L1730" i="5"/>
  <c r="K1731" i="5"/>
  <c r="M1731" i="5" s="1"/>
  <c r="L1731" i="5"/>
  <c r="K1732" i="5"/>
  <c r="M1732" i="5" s="1"/>
  <c r="L1732" i="5"/>
  <c r="K1733" i="5"/>
  <c r="M1733" i="5" s="1"/>
  <c r="L1733" i="5"/>
  <c r="K1734" i="5"/>
  <c r="M1734" i="5" s="1"/>
  <c r="L1734" i="5"/>
  <c r="K1735" i="5"/>
  <c r="M1735" i="5" s="1"/>
  <c r="L1735" i="5"/>
  <c r="K1736" i="5"/>
  <c r="L1736" i="5"/>
  <c r="M1736" i="5"/>
  <c r="K1737" i="5"/>
  <c r="L1737" i="5"/>
  <c r="M1737" i="5"/>
  <c r="K1738" i="5"/>
  <c r="M1738" i="5" s="1"/>
  <c r="L1738" i="5"/>
  <c r="K1739" i="5"/>
  <c r="L1739" i="5"/>
  <c r="M1739" i="5"/>
  <c r="K1740" i="5"/>
  <c r="L1740" i="5"/>
  <c r="M1740" i="5"/>
  <c r="K1741" i="5"/>
  <c r="M1741" i="5" s="1"/>
  <c r="L1741" i="5"/>
  <c r="K1742" i="5"/>
  <c r="M1742" i="5" s="1"/>
  <c r="L1742" i="5"/>
  <c r="K1743" i="5"/>
  <c r="M1743" i="5" s="1"/>
  <c r="L1743" i="5"/>
  <c r="K1744" i="5"/>
  <c r="M1744" i="5" s="1"/>
  <c r="L1744" i="5"/>
  <c r="K1745" i="5"/>
  <c r="M1745" i="5" s="1"/>
  <c r="L1745" i="5"/>
  <c r="K1746" i="5"/>
  <c r="M1746" i="5" s="1"/>
  <c r="L1746" i="5"/>
  <c r="K1747" i="5"/>
  <c r="M1747" i="5" s="1"/>
  <c r="L1747" i="5"/>
  <c r="K1748" i="5"/>
  <c r="L1748" i="5"/>
  <c r="M1748" i="5"/>
  <c r="K1749" i="5"/>
  <c r="M1749" i="5" s="1"/>
  <c r="L1749" i="5"/>
  <c r="K1750" i="5"/>
  <c r="M1750" i="5" s="1"/>
  <c r="L1750" i="5"/>
  <c r="K1751" i="5"/>
  <c r="M1751" i="5" s="1"/>
  <c r="L1751" i="5"/>
  <c r="K1752" i="5"/>
  <c r="M1752" i="5" s="1"/>
  <c r="L1752" i="5"/>
  <c r="K1753" i="5"/>
  <c r="L1753" i="5"/>
  <c r="M1753" i="5"/>
  <c r="K1754" i="5"/>
  <c r="M1754" i="5" s="1"/>
  <c r="L1754" i="5"/>
  <c r="K1755" i="5"/>
  <c r="M1755" i="5" s="1"/>
  <c r="L1755" i="5"/>
  <c r="K1756" i="5"/>
  <c r="L1756" i="5"/>
  <c r="M1756" i="5"/>
  <c r="K1757" i="5"/>
  <c r="M1757" i="5" s="1"/>
  <c r="L1757" i="5"/>
  <c r="K1758" i="5"/>
  <c r="M1758" i="5" s="1"/>
  <c r="L1758" i="5"/>
  <c r="K1759" i="5"/>
  <c r="L1759" i="5"/>
  <c r="M1759" i="5"/>
  <c r="K1760" i="5"/>
  <c r="M1760" i="5" s="1"/>
  <c r="L1760" i="5"/>
  <c r="K1761" i="5"/>
  <c r="M1761" i="5" s="1"/>
  <c r="L1761" i="5"/>
  <c r="K1762" i="5"/>
  <c r="M1762" i="5" s="1"/>
  <c r="L1762" i="5"/>
  <c r="K1763" i="5"/>
  <c r="M1763" i="5" s="1"/>
  <c r="L1763" i="5"/>
  <c r="K1764" i="5"/>
  <c r="M1764" i="5" s="1"/>
  <c r="L1764" i="5"/>
  <c r="K1765" i="5"/>
  <c r="M1765" i="5" s="1"/>
  <c r="L1765" i="5"/>
  <c r="K1766" i="5"/>
  <c r="M1766" i="5" s="1"/>
  <c r="L1766" i="5"/>
  <c r="K1767" i="5"/>
  <c r="M1767" i="5" s="1"/>
  <c r="L1767" i="5"/>
  <c r="K1768" i="5"/>
  <c r="L1768" i="5"/>
  <c r="M1768" i="5"/>
  <c r="K1769" i="5"/>
  <c r="L1769" i="5"/>
  <c r="M1769" i="5"/>
  <c r="K1770" i="5"/>
  <c r="M1770" i="5" s="1"/>
  <c r="L1770" i="5"/>
  <c r="K1771" i="5"/>
  <c r="L1771" i="5"/>
  <c r="M1771" i="5"/>
  <c r="K1772" i="5"/>
  <c r="L1772" i="5"/>
  <c r="M1772" i="5"/>
  <c r="K1773" i="5"/>
  <c r="M1773" i="5" s="1"/>
  <c r="L1773" i="5"/>
  <c r="K1774" i="5"/>
  <c r="M1774" i="5" s="1"/>
  <c r="L1774" i="5"/>
  <c r="K1775" i="5"/>
  <c r="M1775" i="5" s="1"/>
  <c r="L1775" i="5"/>
  <c r="K1776" i="5"/>
  <c r="M1776" i="5" s="1"/>
  <c r="L1776" i="5"/>
  <c r="K1777" i="5"/>
  <c r="M1777" i="5" s="1"/>
  <c r="L1777" i="5"/>
  <c r="K1778" i="5"/>
  <c r="M1778" i="5" s="1"/>
  <c r="L1778" i="5"/>
  <c r="K1779" i="5"/>
  <c r="M1779" i="5" s="1"/>
  <c r="L1779" i="5"/>
  <c r="K1780" i="5"/>
  <c r="L1780" i="5"/>
  <c r="M1780" i="5"/>
  <c r="K1781" i="5"/>
  <c r="M1781" i="5" s="1"/>
  <c r="L1781" i="5"/>
  <c r="K1782" i="5"/>
  <c r="M1782" i="5" s="1"/>
  <c r="L1782" i="5"/>
  <c r="K1783" i="5"/>
  <c r="M1783" i="5" s="1"/>
  <c r="L1783" i="5"/>
  <c r="K1784" i="5"/>
  <c r="M1784" i="5" s="1"/>
  <c r="L1784" i="5"/>
  <c r="K1785" i="5"/>
  <c r="L1785" i="5"/>
  <c r="M1785" i="5"/>
  <c r="K1786" i="5"/>
  <c r="M1786" i="5" s="1"/>
  <c r="L1786" i="5"/>
  <c r="K1787" i="5"/>
  <c r="M1787" i="5" s="1"/>
  <c r="L1787" i="5"/>
  <c r="K1788" i="5"/>
  <c r="L1788" i="5"/>
  <c r="M1788" i="5"/>
  <c r="K1789" i="5"/>
  <c r="M1789" i="5" s="1"/>
  <c r="L1789" i="5"/>
  <c r="K1790" i="5"/>
  <c r="M1790" i="5" s="1"/>
  <c r="L1790" i="5"/>
  <c r="K1791" i="5"/>
  <c r="L1791" i="5"/>
  <c r="M1791" i="5"/>
  <c r="K1792" i="5"/>
  <c r="M1792" i="5" s="1"/>
  <c r="L1792" i="5"/>
  <c r="K1793" i="5"/>
  <c r="M1793" i="5" s="1"/>
  <c r="L1793" i="5"/>
  <c r="K1794" i="5"/>
  <c r="M1794" i="5" s="1"/>
  <c r="L1794" i="5"/>
  <c r="K1795" i="5"/>
  <c r="M1795" i="5" s="1"/>
  <c r="L1795" i="5"/>
  <c r="K1796" i="5"/>
  <c r="M1796" i="5" s="1"/>
  <c r="L1796" i="5"/>
  <c r="K1797" i="5"/>
  <c r="M1797" i="5" s="1"/>
  <c r="L1797" i="5"/>
  <c r="K1798" i="5"/>
  <c r="M1798" i="5" s="1"/>
  <c r="L1798" i="5"/>
  <c r="K1799" i="5"/>
  <c r="M1799" i="5" s="1"/>
  <c r="L1799" i="5"/>
  <c r="K1800" i="5"/>
  <c r="L1800" i="5"/>
  <c r="M1800" i="5"/>
  <c r="K1801" i="5"/>
  <c r="L1801" i="5"/>
  <c r="M1801" i="5"/>
  <c r="K1802" i="5"/>
  <c r="M1802" i="5" s="1"/>
  <c r="L1802" i="5"/>
  <c r="K1803" i="5"/>
  <c r="L1803" i="5"/>
  <c r="M1803" i="5"/>
  <c r="K1804" i="5"/>
  <c r="L1804" i="5"/>
  <c r="M1804" i="5"/>
  <c r="K1805" i="5"/>
  <c r="M1805" i="5" s="1"/>
  <c r="L1805" i="5"/>
  <c r="K1806" i="5"/>
  <c r="M1806" i="5" s="1"/>
  <c r="L1806" i="5"/>
  <c r="K1807" i="5"/>
  <c r="M1807" i="5" s="1"/>
  <c r="L1807" i="5"/>
  <c r="K1808" i="5"/>
  <c r="M1808" i="5" s="1"/>
  <c r="L1808" i="5"/>
  <c r="K1809" i="5"/>
  <c r="M1809" i="5" s="1"/>
  <c r="L1809" i="5"/>
  <c r="K1810" i="5"/>
  <c r="M1810" i="5" s="1"/>
  <c r="L1810" i="5"/>
  <c r="K1811" i="5"/>
  <c r="M1811" i="5" s="1"/>
  <c r="L1811" i="5"/>
  <c r="K1812" i="5"/>
  <c r="L1812" i="5"/>
  <c r="M1812" i="5"/>
  <c r="K1813" i="5"/>
  <c r="M1813" i="5" s="1"/>
  <c r="L1813" i="5"/>
  <c r="K1814" i="5"/>
  <c r="M1814" i="5" s="1"/>
  <c r="L1814" i="5"/>
  <c r="K1815" i="5"/>
  <c r="M1815" i="5" s="1"/>
  <c r="L1815" i="5"/>
  <c r="K1816" i="5"/>
  <c r="M1816" i="5" s="1"/>
  <c r="L1816" i="5"/>
  <c r="K1817" i="5"/>
  <c r="L1817" i="5"/>
  <c r="M1817" i="5"/>
  <c r="K1818" i="5"/>
  <c r="M1818" i="5" s="1"/>
  <c r="L1818" i="5"/>
  <c r="K1819" i="5"/>
  <c r="M1819" i="5" s="1"/>
  <c r="L1819" i="5"/>
  <c r="K1820" i="5"/>
  <c r="L1820" i="5"/>
  <c r="M1820" i="5"/>
  <c r="K1821" i="5"/>
  <c r="M1821" i="5" s="1"/>
  <c r="L1821" i="5"/>
  <c r="K1822" i="5"/>
  <c r="M1822" i="5" s="1"/>
  <c r="L1822" i="5"/>
  <c r="K1823" i="5"/>
  <c r="L1823" i="5"/>
  <c r="M1823" i="5"/>
  <c r="K1824" i="5"/>
  <c r="M1824" i="5" s="1"/>
  <c r="L1824" i="5"/>
  <c r="K1825" i="5"/>
  <c r="M1825" i="5" s="1"/>
  <c r="L1825" i="5"/>
  <c r="K1826" i="5"/>
  <c r="M1826" i="5" s="1"/>
  <c r="L1826" i="5"/>
  <c r="K1827" i="5"/>
  <c r="L1827" i="5"/>
  <c r="M1827" i="5"/>
  <c r="K1828" i="5"/>
  <c r="L1828" i="5"/>
  <c r="M1828" i="5"/>
  <c r="K1829" i="5"/>
  <c r="M1829" i="5" s="1"/>
  <c r="L1829" i="5"/>
  <c r="K1830" i="5"/>
  <c r="M1830" i="5" s="1"/>
  <c r="L1830" i="5"/>
  <c r="K1831" i="5"/>
  <c r="M1831" i="5" s="1"/>
  <c r="L1831" i="5"/>
  <c r="K1832" i="5"/>
  <c r="M1832" i="5" s="1"/>
  <c r="L1832" i="5"/>
  <c r="K1833" i="5"/>
  <c r="M1833" i="5" s="1"/>
  <c r="L1833" i="5"/>
  <c r="K1834" i="5"/>
  <c r="M1834" i="5" s="1"/>
  <c r="L1834" i="5"/>
  <c r="K1835" i="5"/>
  <c r="L1835" i="5"/>
  <c r="M1835" i="5"/>
  <c r="K1836" i="5"/>
  <c r="L1836" i="5"/>
  <c r="M1836" i="5"/>
  <c r="K1837" i="5"/>
  <c r="M1837" i="5" s="1"/>
  <c r="L1837" i="5"/>
  <c r="K1838" i="5"/>
  <c r="M1838" i="5" s="1"/>
  <c r="L1838" i="5"/>
  <c r="K1839" i="5"/>
  <c r="M1839" i="5" s="1"/>
  <c r="L1839" i="5"/>
  <c r="K1840" i="5"/>
  <c r="M1840" i="5" s="1"/>
  <c r="L1840" i="5"/>
  <c r="K1841" i="5"/>
  <c r="M1841" i="5" s="1"/>
  <c r="L1841" i="5"/>
  <c r="K1842" i="5"/>
  <c r="M1842" i="5" s="1"/>
  <c r="L1842" i="5"/>
  <c r="K1843" i="5"/>
  <c r="M1843" i="5" s="1"/>
  <c r="L1843" i="5"/>
  <c r="K1844" i="5"/>
  <c r="L1844" i="5"/>
  <c r="M1844" i="5"/>
  <c r="K1845" i="5"/>
  <c r="M1845" i="5" s="1"/>
  <c r="L1845" i="5"/>
  <c r="K1846" i="5"/>
  <c r="M1846" i="5" s="1"/>
  <c r="L1846" i="5"/>
  <c r="K1847" i="5"/>
  <c r="L1847" i="5"/>
  <c r="M1847" i="5"/>
  <c r="K1848" i="5"/>
  <c r="M1848" i="5" s="1"/>
  <c r="L1848" i="5"/>
  <c r="K1849" i="5"/>
  <c r="M1849" i="5" s="1"/>
  <c r="L1849" i="5"/>
  <c r="K1850" i="5"/>
  <c r="M1850" i="5" s="1"/>
  <c r="L1850" i="5"/>
  <c r="K1851" i="5"/>
  <c r="M1851" i="5" s="1"/>
  <c r="L1851" i="5"/>
  <c r="K1852" i="5"/>
  <c r="L1852" i="5"/>
  <c r="M1852" i="5"/>
  <c r="K1853" i="5"/>
  <c r="M1853" i="5" s="1"/>
  <c r="L1853" i="5"/>
  <c r="K1854" i="5"/>
  <c r="M1854" i="5" s="1"/>
  <c r="L1854" i="5"/>
  <c r="K1855" i="5"/>
  <c r="L1855" i="5"/>
  <c r="M1855" i="5"/>
  <c r="K1856" i="5"/>
  <c r="M1856" i="5" s="1"/>
  <c r="L1856" i="5"/>
  <c r="K1857" i="5"/>
  <c r="M1857" i="5" s="1"/>
  <c r="L1857" i="5"/>
  <c r="K1858" i="5"/>
  <c r="M1858" i="5" s="1"/>
  <c r="L1858" i="5"/>
  <c r="K1859" i="5"/>
  <c r="M1859" i="5" s="1"/>
  <c r="L1859" i="5"/>
  <c r="K1860" i="5"/>
  <c r="L1860" i="5"/>
  <c r="M1860" i="5"/>
  <c r="K1861" i="5"/>
  <c r="M1861" i="5" s="1"/>
  <c r="L1861" i="5"/>
  <c r="K1862" i="5"/>
  <c r="M1862" i="5" s="1"/>
  <c r="L1862" i="5"/>
  <c r="K1863" i="5"/>
  <c r="L1863" i="5"/>
  <c r="M1863" i="5"/>
  <c r="K1864" i="5"/>
  <c r="M1864" i="5" s="1"/>
  <c r="L1864" i="5"/>
  <c r="K1865" i="5"/>
  <c r="M1865" i="5" s="1"/>
  <c r="L1865" i="5"/>
  <c r="K1866" i="5"/>
  <c r="M1866" i="5" s="1"/>
  <c r="L1866" i="5"/>
  <c r="K1867" i="5"/>
  <c r="M1867" i="5" s="1"/>
  <c r="L1867" i="5"/>
  <c r="K1868" i="5"/>
  <c r="L1868" i="5"/>
  <c r="M1868" i="5"/>
  <c r="K1869" i="5"/>
  <c r="M1869" i="5" s="1"/>
  <c r="L1869" i="5"/>
  <c r="K1870" i="5"/>
  <c r="M1870" i="5" s="1"/>
  <c r="L1870" i="5"/>
  <c r="K1871" i="5"/>
  <c r="L1871" i="5"/>
  <c r="M1871" i="5"/>
  <c r="K1872" i="5"/>
  <c r="M1872" i="5" s="1"/>
  <c r="L1872" i="5"/>
  <c r="K1873" i="5"/>
  <c r="M1873" i="5" s="1"/>
  <c r="L1873" i="5"/>
  <c r="K1874" i="5"/>
  <c r="M1874" i="5" s="1"/>
  <c r="L1874" i="5"/>
  <c r="K1875" i="5"/>
  <c r="M1875" i="5" s="1"/>
  <c r="L1875" i="5"/>
  <c r="K1876" i="5"/>
  <c r="L1876" i="5"/>
  <c r="M1876" i="5"/>
  <c r="K1877" i="5"/>
  <c r="M1877" i="5" s="1"/>
  <c r="L1877" i="5"/>
  <c r="K1878" i="5"/>
  <c r="M1878" i="5" s="1"/>
  <c r="L1878" i="5"/>
  <c r="K1879" i="5"/>
  <c r="L1879" i="5"/>
  <c r="M1879" i="5"/>
  <c r="K1880" i="5"/>
  <c r="M1880" i="5" s="1"/>
  <c r="L1880" i="5"/>
  <c r="K1881" i="5"/>
  <c r="M1881" i="5" s="1"/>
  <c r="L1881" i="5"/>
  <c r="K1882" i="5"/>
  <c r="M1882" i="5" s="1"/>
  <c r="L1882" i="5"/>
  <c r="K1883" i="5"/>
  <c r="M1883" i="5" s="1"/>
  <c r="L1883" i="5"/>
  <c r="K1884" i="5"/>
  <c r="L1884" i="5"/>
  <c r="M1884" i="5"/>
  <c r="K1885" i="5"/>
  <c r="M1885" i="5" s="1"/>
  <c r="L1885" i="5"/>
  <c r="K1886" i="5"/>
  <c r="M1886" i="5" s="1"/>
  <c r="L1886" i="5"/>
  <c r="K1887" i="5"/>
  <c r="L1887" i="5"/>
  <c r="M1887" i="5"/>
  <c r="K1888" i="5"/>
  <c r="M1888" i="5" s="1"/>
  <c r="L1888" i="5"/>
  <c r="K1889" i="5"/>
  <c r="M1889" i="5" s="1"/>
  <c r="L1889" i="5"/>
  <c r="K1890" i="5"/>
  <c r="M1890" i="5" s="1"/>
  <c r="L1890" i="5"/>
  <c r="K1891" i="5"/>
  <c r="M1891" i="5" s="1"/>
  <c r="L1891" i="5"/>
  <c r="K1892" i="5"/>
  <c r="L1892" i="5"/>
  <c r="M1892" i="5"/>
  <c r="K1893" i="5"/>
  <c r="M1893" i="5" s="1"/>
  <c r="L1893" i="5"/>
  <c r="K1894" i="5"/>
  <c r="M1894" i="5" s="1"/>
  <c r="L1894" i="5"/>
  <c r="K1895" i="5"/>
  <c r="L1895" i="5"/>
  <c r="M1895" i="5"/>
  <c r="K1896" i="5"/>
  <c r="M1896" i="5" s="1"/>
  <c r="L1896" i="5"/>
  <c r="K1897" i="5"/>
  <c r="M1897" i="5" s="1"/>
  <c r="L1897" i="5"/>
  <c r="K1898" i="5"/>
  <c r="M1898" i="5" s="1"/>
  <c r="L1898" i="5"/>
  <c r="K1899" i="5"/>
  <c r="M1899" i="5" s="1"/>
  <c r="L1899" i="5"/>
  <c r="K1900" i="5"/>
  <c r="L1900" i="5"/>
  <c r="M1900" i="5"/>
  <c r="K1901" i="5"/>
  <c r="M1901" i="5" s="1"/>
  <c r="L1901" i="5"/>
  <c r="K1902" i="5"/>
  <c r="M1902" i="5" s="1"/>
  <c r="L1902" i="5"/>
  <c r="K1903" i="5"/>
  <c r="L1903" i="5"/>
  <c r="M1903" i="5"/>
  <c r="K1904" i="5"/>
  <c r="M1904" i="5" s="1"/>
  <c r="L1904" i="5"/>
  <c r="K1905" i="5"/>
  <c r="M1905" i="5" s="1"/>
  <c r="L1905" i="5"/>
  <c r="K1906" i="5"/>
  <c r="M1906" i="5" s="1"/>
  <c r="L1906" i="5"/>
  <c r="K1907" i="5"/>
  <c r="M1907" i="5" s="1"/>
  <c r="L1907" i="5"/>
  <c r="K1908" i="5"/>
  <c r="L1908" i="5"/>
  <c r="M1908" i="5"/>
  <c r="K1909" i="5"/>
  <c r="M1909" i="5" s="1"/>
  <c r="L1909" i="5"/>
  <c r="K1910" i="5"/>
  <c r="M1910" i="5" s="1"/>
  <c r="L1910" i="5"/>
  <c r="K1911" i="5"/>
  <c r="L1911" i="5"/>
  <c r="M1911" i="5"/>
  <c r="K1912" i="5"/>
  <c r="M1912" i="5" s="1"/>
  <c r="L1912" i="5"/>
  <c r="K1913" i="5"/>
  <c r="M1913" i="5" s="1"/>
  <c r="L1913" i="5"/>
  <c r="K1914" i="5"/>
  <c r="M1914" i="5" s="1"/>
  <c r="L1914" i="5"/>
  <c r="K1915" i="5"/>
  <c r="M1915" i="5" s="1"/>
  <c r="L1915" i="5"/>
  <c r="K1916" i="5"/>
  <c r="L1916" i="5"/>
  <c r="M1916" i="5"/>
  <c r="K1917" i="5"/>
  <c r="M1917" i="5" s="1"/>
  <c r="L1917" i="5"/>
  <c r="K1918" i="5"/>
  <c r="M1918" i="5" s="1"/>
  <c r="L1918" i="5"/>
  <c r="K1919" i="5"/>
  <c r="L1919" i="5"/>
  <c r="M1919" i="5"/>
  <c r="K1920" i="5"/>
  <c r="M1920" i="5" s="1"/>
  <c r="L1920" i="5"/>
  <c r="K1921" i="5"/>
  <c r="M1921" i="5" s="1"/>
  <c r="L1921" i="5"/>
  <c r="K1922" i="5"/>
  <c r="M1922" i="5" s="1"/>
  <c r="L1922" i="5"/>
  <c r="K1923" i="5"/>
  <c r="M1923" i="5" s="1"/>
  <c r="L1923" i="5"/>
  <c r="K1924" i="5"/>
  <c r="L1924" i="5"/>
  <c r="M1924" i="5"/>
  <c r="K1925" i="5"/>
  <c r="M1925" i="5" s="1"/>
  <c r="L1925" i="5"/>
  <c r="K1926" i="5"/>
  <c r="M1926" i="5" s="1"/>
  <c r="L1926" i="5"/>
  <c r="K1927" i="5"/>
  <c r="L1927" i="5"/>
  <c r="M1927" i="5"/>
  <c r="K1928" i="5"/>
  <c r="M1928" i="5" s="1"/>
  <c r="L1928" i="5"/>
  <c r="K1929" i="5"/>
  <c r="M1929" i="5" s="1"/>
  <c r="L1929" i="5"/>
  <c r="K1930" i="5"/>
  <c r="M1930" i="5" s="1"/>
  <c r="L1930" i="5"/>
  <c r="K1931" i="5"/>
  <c r="M1931" i="5" s="1"/>
  <c r="L1931" i="5"/>
  <c r="K1932" i="5"/>
  <c r="L1932" i="5"/>
  <c r="M1932" i="5"/>
  <c r="K1933" i="5"/>
  <c r="M1933" i="5" s="1"/>
  <c r="L1933" i="5"/>
  <c r="K1934" i="5"/>
  <c r="M1934" i="5" s="1"/>
  <c r="L1934" i="5"/>
  <c r="K1935" i="5"/>
  <c r="L1935" i="5"/>
  <c r="M1935" i="5"/>
  <c r="K1936" i="5"/>
  <c r="M1936" i="5" s="1"/>
  <c r="L1936" i="5"/>
  <c r="K1937" i="5"/>
  <c r="M1937" i="5" s="1"/>
  <c r="L1937" i="5"/>
  <c r="K1938" i="5"/>
  <c r="M1938" i="5" s="1"/>
  <c r="L1938" i="5"/>
  <c r="K1939" i="5"/>
  <c r="M1939" i="5" s="1"/>
  <c r="L1939" i="5"/>
  <c r="K1940" i="5"/>
  <c r="L1940" i="5"/>
  <c r="M1940" i="5"/>
  <c r="K1941" i="5"/>
  <c r="M1941" i="5" s="1"/>
  <c r="L1941" i="5"/>
  <c r="K1942" i="5"/>
  <c r="M1942" i="5" s="1"/>
  <c r="L1942" i="5"/>
  <c r="K1943" i="5"/>
  <c r="L1943" i="5"/>
  <c r="M1943" i="5"/>
  <c r="K1944" i="5"/>
  <c r="M1944" i="5" s="1"/>
  <c r="L1944" i="5"/>
  <c r="K1945" i="5"/>
  <c r="M1945" i="5" s="1"/>
  <c r="L1945" i="5"/>
  <c r="K1946" i="5"/>
  <c r="M1946" i="5" s="1"/>
  <c r="L1946" i="5"/>
  <c r="K1947" i="5"/>
  <c r="M1947" i="5" s="1"/>
  <c r="L1947" i="5"/>
  <c r="K1948" i="5"/>
  <c r="L1948" i="5"/>
  <c r="M1948" i="5"/>
  <c r="K1949" i="5"/>
  <c r="M1949" i="5" s="1"/>
  <c r="L1949" i="5"/>
  <c r="K1950" i="5"/>
  <c r="M1950" i="5" s="1"/>
  <c r="L1950" i="5"/>
  <c r="K1951" i="5"/>
  <c r="L1951" i="5"/>
  <c r="M1951" i="5"/>
  <c r="K1952" i="5"/>
  <c r="M1952" i="5" s="1"/>
  <c r="L1952" i="5"/>
  <c r="K1953" i="5"/>
  <c r="M1953" i="5" s="1"/>
  <c r="L1953" i="5"/>
  <c r="K1954" i="5"/>
  <c r="M1954" i="5" s="1"/>
  <c r="L1954" i="5"/>
  <c r="K1955" i="5"/>
  <c r="M1955" i="5" s="1"/>
  <c r="L1955" i="5"/>
  <c r="K1956" i="5"/>
  <c r="L1956" i="5"/>
  <c r="M1956" i="5"/>
  <c r="K1957" i="5"/>
  <c r="M1957" i="5" s="1"/>
  <c r="L1957" i="5"/>
  <c r="K1958" i="5"/>
  <c r="M1958" i="5" s="1"/>
  <c r="L1958" i="5"/>
  <c r="K1959" i="5"/>
  <c r="L1959" i="5"/>
  <c r="M1959" i="5"/>
  <c r="K1960" i="5"/>
  <c r="M1960" i="5" s="1"/>
  <c r="L1960" i="5"/>
  <c r="K1961" i="5"/>
  <c r="M1961" i="5" s="1"/>
  <c r="L1961" i="5"/>
  <c r="K1962" i="5"/>
  <c r="M1962" i="5" s="1"/>
  <c r="L1962" i="5"/>
  <c r="K1963" i="5"/>
  <c r="M1963" i="5" s="1"/>
  <c r="L1963" i="5"/>
  <c r="K1964" i="5"/>
  <c r="L1964" i="5"/>
  <c r="M1964" i="5"/>
  <c r="K1965" i="5"/>
  <c r="M1965" i="5" s="1"/>
  <c r="L1965" i="5"/>
  <c r="K1966" i="5"/>
  <c r="M1966" i="5" s="1"/>
  <c r="L1966" i="5"/>
  <c r="K1967" i="5"/>
  <c r="L1967" i="5"/>
  <c r="M1967" i="5"/>
  <c r="K1968" i="5"/>
  <c r="M1968" i="5" s="1"/>
  <c r="L1968" i="5"/>
  <c r="K1969" i="5"/>
  <c r="M1969" i="5" s="1"/>
  <c r="L1969" i="5"/>
  <c r="K1970" i="5"/>
  <c r="M1970" i="5" s="1"/>
  <c r="L1970" i="5"/>
  <c r="K1971" i="5"/>
  <c r="M1971" i="5" s="1"/>
  <c r="L1971" i="5"/>
  <c r="K1972" i="5"/>
  <c r="L1972" i="5"/>
  <c r="M1972" i="5"/>
  <c r="K1973" i="5"/>
  <c r="M1973" i="5" s="1"/>
  <c r="L1973" i="5"/>
  <c r="K1974" i="5"/>
  <c r="M1974" i="5" s="1"/>
  <c r="L1974" i="5"/>
  <c r="K1975" i="5"/>
  <c r="L1975" i="5"/>
  <c r="M1975" i="5"/>
  <c r="K1976" i="5"/>
  <c r="M1976" i="5" s="1"/>
  <c r="L1976" i="5"/>
  <c r="K1977" i="5"/>
  <c r="M1977" i="5" s="1"/>
  <c r="L1977" i="5"/>
  <c r="K1978" i="5"/>
  <c r="M1978" i="5" s="1"/>
  <c r="L1978" i="5"/>
  <c r="K1979" i="5"/>
  <c r="M1979" i="5" s="1"/>
  <c r="L1979" i="5"/>
  <c r="K1980" i="5"/>
  <c r="L1980" i="5"/>
  <c r="M1980" i="5"/>
  <c r="K1981" i="5"/>
  <c r="M1981" i="5" s="1"/>
  <c r="L1981" i="5"/>
  <c r="K1982" i="5"/>
  <c r="M1982" i="5" s="1"/>
  <c r="L1982" i="5"/>
  <c r="K1983" i="5"/>
  <c r="L1983" i="5"/>
  <c r="M1983" i="5"/>
  <c r="K1984" i="5"/>
  <c r="M1984" i="5" s="1"/>
  <c r="L1984" i="5"/>
  <c r="K1985" i="5"/>
  <c r="M1985" i="5" s="1"/>
  <c r="L1985" i="5"/>
  <c r="K1986" i="5"/>
  <c r="M1986" i="5" s="1"/>
  <c r="L1986" i="5"/>
  <c r="K1987" i="5"/>
  <c r="M1987" i="5" s="1"/>
  <c r="L1987" i="5"/>
  <c r="K1988" i="5"/>
  <c r="L1988" i="5"/>
  <c r="M1988" i="5"/>
  <c r="K1989" i="5"/>
  <c r="M1989" i="5" s="1"/>
  <c r="L1989" i="5"/>
  <c r="K1990" i="5"/>
  <c r="M1990" i="5" s="1"/>
  <c r="L1990" i="5"/>
  <c r="K1991" i="5"/>
  <c r="L1991" i="5"/>
  <c r="M1991" i="5"/>
  <c r="K1992" i="5"/>
  <c r="M1992" i="5" s="1"/>
  <c r="L1992" i="5"/>
  <c r="K1993" i="5"/>
  <c r="M1993" i="5" s="1"/>
  <c r="L1993" i="5"/>
  <c r="K1994" i="5"/>
  <c r="M1994" i="5" s="1"/>
  <c r="L1994" i="5"/>
  <c r="K1995" i="5"/>
  <c r="M1995" i="5" s="1"/>
  <c r="L1995" i="5"/>
  <c r="K1996" i="5"/>
  <c r="L1996" i="5"/>
  <c r="M1996" i="5"/>
  <c r="K1997" i="5"/>
  <c r="M1997" i="5" s="1"/>
  <c r="L1997" i="5"/>
  <c r="K1998" i="5"/>
  <c r="M1998" i="5" s="1"/>
  <c r="L1998" i="5"/>
  <c r="K1999" i="5"/>
  <c r="L1999" i="5"/>
  <c r="M1999" i="5"/>
  <c r="K2000" i="5"/>
  <c r="M2000" i="5" s="1"/>
  <c r="L2000" i="5"/>
  <c r="N3" i="5"/>
  <c r="P3" i="5" s="1"/>
  <c r="O3" i="5"/>
  <c r="Q3" i="5"/>
  <c r="S3" i="5" s="1"/>
  <c r="R3" i="5"/>
  <c r="N4" i="5"/>
  <c r="P4" i="5" s="1"/>
  <c r="O4" i="5"/>
  <c r="Q4" i="5"/>
  <c r="R4" i="5"/>
  <c r="S4" i="5"/>
  <c r="N5" i="5"/>
  <c r="P5" i="5" s="1"/>
  <c r="O5" i="5"/>
  <c r="Q5" i="5"/>
  <c r="S5" i="5" s="1"/>
  <c r="R5" i="5"/>
  <c r="N6" i="5"/>
  <c r="O6" i="5"/>
  <c r="P6" i="5"/>
  <c r="Q6" i="5"/>
  <c r="S6" i="5" s="1"/>
  <c r="R6" i="5"/>
  <c r="N7" i="5"/>
  <c r="P7" i="5" s="1"/>
  <c r="O7" i="5"/>
  <c r="Q7" i="5"/>
  <c r="S7" i="5" s="1"/>
  <c r="R7" i="5"/>
  <c r="N8" i="5"/>
  <c r="P8" i="5" s="1"/>
  <c r="O8" i="5"/>
  <c r="Q8" i="5"/>
  <c r="R8" i="5"/>
  <c r="S8" i="5"/>
  <c r="N9" i="5"/>
  <c r="P9" i="5" s="1"/>
  <c r="O9" i="5"/>
  <c r="Q9" i="5"/>
  <c r="S9" i="5" s="1"/>
  <c r="R9" i="5"/>
  <c r="N10" i="5"/>
  <c r="O10" i="5"/>
  <c r="P10" i="5"/>
  <c r="Q10" i="5"/>
  <c r="S10" i="5" s="1"/>
  <c r="R10" i="5"/>
  <c r="N11" i="5"/>
  <c r="P11" i="5" s="1"/>
  <c r="O11" i="5"/>
  <c r="Q11" i="5"/>
  <c r="S11" i="5" s="1"/>
  <c r="R11" i="5"/>
  <c r="N12" i="5"/>
  <c r="O12" i="5"/>
  <c r="P12" i="5"/>
  <c r="Q12" i="5"/>
  <c r="R12" i="5"/>
  <c r="S12" i="5"/>
  <c r="N13" i="5"/>
  <c r="P13" i="5" s="1"/>
  <c r="O13" i="5"/>
  <c r="Q13" i="5"/>
  <c r="S13" i="5" s="1"/>
  <c r="R13" i="5"/>
  <c r="N14" i="5"/>
  <c r="P14" i="5" s="1"/>
  <c r="O14" i="5"/>
  <c r="Q14" i="5"/>
  <c r="S14" i="5" s="1"/>
  <c r="R14" i="5"/>
  <c r="N15" i="5"/>
  <c r="P15" i="5" s="1"/>
  <c r="O15" i="5"/>
  <c r="Q15" i="5"/>
  <c r="S15" i="5" s="1"/>
  <c r="R15" i="5"/>
  <c r="N16" i="5"/>
  <c r="O16" i="5"/>
  <c r="P16" i="5"/>
  <c r="Q16" i="5"/>
  <c r="R16" i="5"/>
  <c r="S16" i="5"/>
  <c r="N17" i="5"/>
  <c r="P17" i="5" s="1"/>
  <c r="O17" i="5"/>
  <c r="Q17" i="5"/>
  <c r="S17" i="5" s="1"/>
  <c r="R17" i="5"/>
  <c r="N18" i="5"/>
  <c r="P18" i="5" s="1"/>
  <c r="O18" i="5"/>
  <c r="Q18" i="5"/>
  <c r="S18" i="5" s="1"/>
  <c r="R18" i="5"/>
  <c r="N19" i="5"/>
  <c r="P19" i="5" s="1"/>
  <c r="O19" i="5"/>
  <c r="Q19" i="5"/>
  <c r="S19" i="5" s="1"/>
  <c r="R19" i="5"/>
  <c r="N20" i="5"/>
  <c r="P20" i="5" s="1"/>
  <c r="O20" i="5"/>
  <c r="Q20" i="5"/>
  <c r="R20" i="5"/>
  <c r="S20" i="5"/>
  <c r="N21" i="5"/>
  <c r="P21" i="5" s="1"/>
  <c r="O21" i="5"/>
  <c r="Q21" i="5"/>
  <c r="S21" i="5" s="1"/>
  <c r="R21" i="5"/>
  <c r="N22" i="5"/>
  <c r="O22" i="5"/>
  <c r="P22" i="5"/>
  <c r="Q22" i="5"/>
  <c r="S22" i="5" s="1"/>
  <c r="R22" i="5"/>
  <c r="N23" i="5"/>
  <c r="P23" i="5" s="1"/>
  <c r="O23" i="5"/>
  <c r="Q23" i="5"/>
  <c r="S23" i="5" s="1"/>
  <c r="R23" i="5"/>
  <c r="N24" i="5"/>
  <c r="P24" i="5" s="1"/>
  <c r="O24" i="5"/>
  <c r="Q24" i="5"/>
  <c r="R24" i="5"/>
  <c r="S24" i="5"/>
  <c r="N25" i="5"/>
  <c r="P25" i="5" s="1"/>
  <c r="O25" i="5"/>
  <c r="Q25" i="5"/>
  <c r="S25" i="5" s="1"/>
  <c r="R25" i="5"/>
  <c r="N26" i="5"/>
  <c r="O26" i="5"/>
  <c r="P26" i="5"/>
  <c r="Q26" i="5"/>
  <c r="S26" i="5" s="1"/>
  <c r="R26" i="5"/>
  <c r="N27" i="5"/>
  <c r="P27" i="5" s="1"/>
  <c r="O27" i="5"/>
  <c r="Q27" i="5"/>
  <c r="S27" i="5" s="1"/>
  <c r="R27" i="5"/>
  <c r="N28" i="5"/>
  <c r="O28" i="5"/>
  <c r="P28" i="5"/>
  <c r="Q28" i="5"/>
  <c r="R28" i="5"/>
  <c r="S28" i="5"/>
  <c r="N29" i="5"/>
  <c r="P29" i="5" s="1"/>
  <c r="O29" i="5"/>
  <c r="Q29" i="5"/>
  <c r="S29" i="5" s="1"/>
  <c r="R29" i="5"/>
  <c r="N30" i="5"/>
  <c r="P30" i="5" s="1"/>
  <c r="O30" i="5"/>
  <c r="Q30" i="5"/>
  <c r="S30" i="5" s="1"/>
  <c r="R30" i="5"/>
  <c r="N31" i="5"/>
  <c r="P31" i="5" s="1"/>
  <c r="O31" i="5"/>
  <c r="Q31" i="5"/>
  <c r="S31" i="5" s="1"/>
  <c r="R31" i="5"/>
  <c r="N32" i="5"/>
  <c r="O32" i="5"/>
  <c r="P32" i="5"/>
  <c r="Q32" i="5"/>
  <c r="R32" i="5"/>
  <c r="S32" i="5"/>
  <c r="N33" i="5"/>
  <c r="P33" i="5" s="1"/>
  <c r="O33" i="5"/>
  <c r="Q33" i="5"/>
  <c r="S33" i="5" s="1"/>
  <c r="R33" i="5"/>
  <c r="N34" i="5"/>
  <c r="P34" i="5" s="1"/>
  <c r="O34" i="5"/>
  <c r="Q34" i="5"/>
  <c r="S34" i="5" s="1"/>
  <c r="R34" i="5"/>
  <c r="N35" i="5"/>
  <c r="P35" i="5" s="1"/>
  <c r="O35" i="5"/>
  <c r="Q35" i="5"/>
  <c r="S35" i="5" s="1"/>
  <c r="R35" i="5"/>
  <c r="N36" i="5"/>
  <c r="P36" i="5" s="1"/>
  <c r="O36" i="5"/>
  <c r="Q36" i="5"/>
  <c r="R36" i="5"/>
  <c r="S36" i="5"/>
  <c r="N37" i="5"/>
  <c r="P37" i="5" s="1"/>
  <c r="O37" i="5"/>
  <c r="Q37" i="5"/>
  <c r="S37" i="5" s="1"/>
  <c r="R37" i="5"/>
  <c r="N38" i="5"/>
  <c r="O38" i="5"/>
  <c r="P38" i="5"/>
  <c r="Q38" i="5"/>
  <c r="S38" i="5" s="1"/>
  <c r="R38" i="5"/>
  <c r="N39" i="5"/>
  <c r="P39" i="5" s="1"/>
  <c r="O39" i="5"/>
  <c r="Q39" i="5"/>
  <c r="S39" i="5" s="1"/>
  <c r="R39" i="5"/>
  <c r="N40" i="5"/>
  <c r="P40" i="5" s="1"/>
  <c r="O40" i="5"/>
  <c r="Q40" i="5"/>
  <c r="R40" i="5"/>
  <c r="S40" i="5"/>
  <c r="N41" i="5"/>
  <c r="P41" i="5" s="1"/>
  <c r="O41" i="5"/>
  <c r="Q41" i="5"/>
  <c r="S41" i="5" s="1"/>
  <c r="R41" i="5"/>
  <c r="N42" i="5"/>
  <c r="O42" i="5"/>
  <c r="P42" i="5"/>
  <c r="Q42" i="5"/>
  <c r="S42" i="5" s="1"/>
  <c r="R42" i="5"/>
  <c r="N43" i="5"/>
  <c r="P43" i="5" s="1"/>
  <c r="O43" i="5"/>
  <c r="Q43" i="5"/>
  <c r="S43" i="5" s="1"/>
  <c r="R43" i="5"/>
  <c r="N44" i="5"/>
  <c r="O44" i="5"/>
  <c r="P44" i="5"/>
  <c r="Q44" i="5"/>
  <c r="R44" i="5"/>
  <c r="S44" i="5"/>
  <c r="N45" i="5"/>
  <c r="P45" i="5" s="1"/>
  <c r="O45" i="5"/>
  <c r="Q45" i="5"/>
  <c r="S45" i="5" s="1"/>
  <c r="R45" i="5"/>
  <c r="N46" i="5"/>
  <c r="P46" i="5" s="1"/>
  <c r="O46" i="5"/>
  <c r="Q46" i="5"/>
  <c r="S46" i="5" s="1"/>
  <c r="R46" i="5"/>
  <c r="N47" i="5"/>
  <c r="P47" i="5" s="1"/>
  <c r="O47" i="5"/>
  <c r="Q47" i="5"/>
  <c r="S47" i="5" s="1"/>
  <c r="R47" i="5"/>
  <c r="N48" i="5"/>
  <c r="O48" i="5"/>
  <c r="P48" i="5"/>
  <c r="Q48" i="5"/>
  <c r="R48" i="5"/>
  <c r="S48" i="5"/>
  <c r="N49" i="5"/>
  <c r="P49" i="5" s="1"/>
  <c r="O49" i="5"/>
  <c r="Q49" i="5"/>
  <c r="S49" i="5" s="1"/>
  <c r="R49" i="5"/>
  <c r="N50" i="5"/>
  <c r="P50" i="5" s="1"/>
  <c r="O50" i="5"/>
  <c r="Q50" i="5"/>
  <c r="S50" i="5" s="1"/>
  <c r="R50" i="5"/>
  <c r="N51" i="5"/>
  <c r="P51" i="5" s="1"/>
  <c r="O51" i="5"/>
  <c r="Q51" i="5"/>
  <c r="S51" i="5" s="1"/>
  <c r="R51" i="5"/>
  <c r="N52" i="5"/>
  <c r="P52" i="5" s="1"/>
  <c r="O52" i="5"/>
  <c r="Q52" i="5"/>
  <c r="R52" i="5"/>
  <c r="S52" i="5"/>
  <c r="N53" i="5"/>
  <c r="P53" i="5" s="1"/>
  <c r="O53" i="5"/>
  <c r="Q53" i="5"/>
  <c r="S53" i="5" s="1"/>
  <c r="R53" i="5"/>
  <c r="N54" i="5"/>
  <c r="O54" i="5"/>
  <c r="P54" i="5"/>
  <c r="Q54" i="5"/>
  <c r="S54" i="5" s="1"/>
  <c r="R54" i="5"/>
  <c r="N55" i="5"/>
  <c r="P55" i="5" s="1"/>
  <c r="O55" i="5"/>
  <c r="Q55" i="5"/>
  <c r="S55" i="5" s="1"/>
  <c r="R55" i="5"/>
  <c r="N56" i="5"/>
  <c r="P56" i="5" s="1"/>
  <c r="O56" i="5"/>
  <c r="Q56" i="5"/>
  <c r="R56" i="5"/>
  <c r="S56" i="5"/>
  <c r="N57" i="5"/>
  <c r="P57" i="5" s="1"/>
  <c r="O57" i="5"/>
  <c r="Q57" i="5"/>
  <c r="S57" i="5" s="1"/>
  <c r="R57" i="5"/>
  <c r="N58" i="5"/>
  <c r="O58" i="5"/>
  <c r="P58" i="5"/>
  <c r="Q58" i="5"/>
  <c r="S58" i="5" s="1"/>
  <c r="R58" i="5"/>
  <c r="N59" i="5"/>
  <c r="P59" i="5" s="1"/>
  <c r="O59" i="5"/>
  <c r="Q59" i="5"/>
  <c r="S59" i="5" s="1"/>
  <c r="R59" i="5"/>
  <c r="N60" i="5"/>
  <c r="O60" i="5"/>
  <c r="P60" i="5"/>
  <c r="Q60" i="5"/>
  <c r="R60" i="5"/>
  <c r="S60" i="5"/>
  <c r="N61" i="5"/>
  <c r="P61" i="5" s="1"/>
  <c r="O61" i="5"/>
  <c r="Q61" i="5"/>
  <c r="S61" i="5" s="1"/>
  <c r="R61" i="5"/>
  <c r="N62" i="5"/>
  <c r="P62" i="5" s="1"/>
  <c r="O62" i="5"/>
  <c r="Q62" i="5"/>
  <c r="S62" i="5" s="1"/>
  <c r="R62" i="5"/>
  <c r="N63" i="5"/>
  <c r="P63" i="5" s="1"/>
  <c r="O63" i="5"/>
  <c r="Q63" i="5"/>
  <c r="S63" i="5" s="1"/>
  <c r="R63" i="5"/>
  <c r="N64" i="5"/>
  <c r="O64" i="5"/>
  <c r="P64" i="5"/>
  <c r="Q64" i="5"/>
  <c r="R64" i="5"/>
  <c r="S64" i="5"/>
  <c r="N65" i="5"/>
  <c r="P65" i="5" s="1"/>
  <c r="O65" i="5"/>
  <c r="Q65" i="5"/>
  <c r="S65" i="5" s="1"/>
  <c r="R65" i="5"/>
  <c r="N66" i="5"/>
  <c r="P66" i="5" s="1"/>
  <c r="O66" i="5"/>
  <c r="Q66" i="5"/>
  <c r="S66" i="5" s="1"/>
  <c r="R66" i="5"/>
  <c r="N67" i="5"/>
  <c r="P67" i="5" s="1"/>
  <c r="O67" i="5"/>
  <c r="Q67" i="5"/>
  <c r="S67" i="5" s="1"/>
  <c r="R67" i="5"/>
  <c r="N68" i="5"/>
  <c r="P68" i="5" s="1"/>
  <c r="O68" i="5"/>
  <c r="Q68" i="5"/>
  <c r="R68" i="5"/>
  <c r="S68" i="5"/>
  <c r="N69" i="5"/>
  <c r="P69" i="5" s="1"/>
  <c r="O69" i="5"/>
  <c r="Q69" i="5"/>
  <c r="S69" i="5" s="1"/>
  <c r="R69" i="5"/>
  <c r="N70" i="5"/>
  <c r="O70" i="5"/>
  <c r="P70" i="5"/>
  <c r="Q70" i="5"/>
  <c r="S70" i="5" s="1"/>
  <c r="R70" i="5"/>
  <c r="N71" i="5"/>
  <c r="P71" i="5" s="1"/>
  <c r="O71" i="5"/>
  <c r="Q71" i="5"/>
  <c r="S71" i="5" s="1"/>
  <c r="R71" i="5"/>
  <c r="N72" i="5"/>
  <c r="P72" i="5" s="1"/>
  <c r="O72" i="5"/>
  <c r="Q72" i="5"/>
  <c r="R72" i="5"/>
  <c r="S72" i="5"/>
  <c r="N73" i="5"/>
  <c r="P73" i="5" s="1"/>
  <c r="O73" i="5"/>
  <c r="Q73" i="5"/>
  <c r="S73" i="5" s="1"/>
  <c r="R73" i="5"/>
  <c r="N74" i="5"/>
  <c r="O74" i="5"/>
  <c r="P74" i="5"/>
  <c r="Q74" i="5"/>
  <c r="S74" i="5" s="1"/>
  <c r="R74" i="5"/>
  <c r="N75" i="5"/>
  <c r="P75" i="5" s="1"/>
  <c r="O75" i="5"/>
  <c r="Q75" i="5"/>
  <c r="S75" i="5" s="1"/>
  <c r="R75" i="5"/>
  <c r="N76" i="5"/>
  <c r="O76" i="5"/>
  <c r="P76" i="5"/>
  <c r="Q76" i="5"/>
  <c r="R76" i="5"/>
  <c r="S76" i="5"/>
  <c r="N77" i="5"/>
  <c r="P77" i="5" s="1"/>
  <c r="O77" i="5"/>
  <c r="Q77" i="5"/>
  <c r="S77" i="5" s="1"/>
  <c r="R77" i="5"/>
  <c r="N78" i="5"/>
  <c r="P78" i="5" s="1"/>
  <c r="O78" i="5"/>
  <c r="Q78" i="5"/>
  <c r="S78" i="5" s="1"/>
  <c r="R78" i="5"/>
  <c r="N79" i="5"/>
  <c r="P79" i="5" s="1"/>
  <c r="O79" i="5"/>
  <c r="Q79" i="5"/>
  <c r="S79" i="5" s="1"/>
  <c r="R79" i="5"/>
  <c r="N80" i="5"/>
  <c r="O80" i="5"/>
  <c r="P80" i="5"/>
  <c r="Q80" i="5"/>
  <c r="R80" i="5"/>
  <c r="S80" i="5"/>
  <c r="N81" i="5"/>
  <c r="P81" i="5" s="1"/>
  <c r="O81" i="5"/>
  <c r="Q81" i="5"/>
  <c r="S81" i="5" s="1"/>
  <c r="R81" i="5"/>
  <c r="N82" i="5"/>
  <c r="P82" i="5" s="1"/>
  <c r="O82" i="5"/>
  <c r="Q82" i="5"/>
  <c r="S82" i="5" s="1"/>
  <c r="R82" i="5"/>
  <c r="N83" i="5"/>
  <c r="P83" i="5" s="1"/>
  <c r="O83" i="5"/>
  <c r="Q83" i="5"/>
  <c r="S83" i="5" s="1"/>
  <c r="R83" i="5"/>
  <c r="N84" i="5"/>
  <c r="P84" i="5" s="1"/>
  <c r="O84" i="5"/>
  <c r="Q84" i="5"/>
  <c r="R84" i="5"/>
  <c r="S84" i="5"/>
  <c r="N85" i="5"/>
  <c r="P85" i="5" s="1"/>
  <c r="O85" i="5"/>
  <c r="Q85" i="5"/>
  <c r="S85" i="5" s="1"/>
  <c r="R85" i="5"/>
  <c r="N86" i="5"/>
  <c r="O86" i="5"/>
  <c r="P86" i="5"/>
  <c r="Q86" i="5"/>
  <c r="S86" i="5" s="1"/>
  <c r="R86" i="5"/>
  <c r="N87" i="5"/>
  <c r="P87" i="5" s="1"/>
  <c r="O87" i="5"/>
  <c r="Q87" i="5"/>
  <c r="S87" i="5" s="1"/>
  <c r="R87" i="5"/>
  <c r="N88" i="5"/>
  <c r="P88" i="5" s="1"/>
  <c r="O88" i="5"/>
  <c r="Q88" i="5"/>
  <c r="R88" i="5"/>
  <c r="S88" i="5"/>
  <c r="N89" i="5"/>
  <c r="P89" i="5" s="1"/>
  <c r="O89" i="5"/>
  <c r="Q89" i="5"/>
  <c r="S89" i="5" s="1"/>
  <c r="R89" i="5"/>
  <c r="N90" i="5"/>
  <c r="O90" i="5"/>
  <c r="P90" i="5"/>
  <c r="Q90" i="5"/>
  <c r="S90" i="5" s="1"/>
  <c r="R90" i="5"/>
  <c r="N91" i="5"/>
  <c r="P91" i="5" s="1"/>
  <c r="O91" i="5"/>
  <c r="Q91" i="5"/>
  <c r="S91" i="5" s="1"/>
  <c r="R91" i="5"/>
  <c r="N92" i="5"/>
  <c r="O92" i="5"/>
  <c r="P92" i="5"/>
  <c r="Q92" i="5"/>
  <c r="R92" i="5"/>
  <c r="S92" i="5"/>
  <c r="N93" i="5"/>
  <c r="P93" i="5" s="1"/>
  <c r="O93" i="5"/>
  <c r="Q93" i="5"/>
  <c r="S93" i="5" s="1"/>
  <c r="R93" i="5"/>
  <c r="N94" i="5"/>
  <c r="P94" i="5" s="1"/>
  <c r="O94" i="5"/>
  <c r="Q94" i="5"/>
  <c r="S94" i="5" s="1"/>
  <c r="R94" i="5"/>
  <c r="N95" i="5"/>
  <c r="P95" i="5" s="1"/>
  <c r="O95" i="5"/>
  <c r="Q95" i="5"/>
  <c r="S95" i="5" s="1"/>
  <c r="R95" i="5"/>
  <c r="N96" i="5"/>
  <c r="O96" i="5"/>
  <c r="P96" i="5"/>
  <c r="Q96" i="5"/>
  <c r="R96" i="5"/>
  <c r="S96" i="5"/>
  <c r="N97" i="5"/>
  <c r="P97" i="5" s="1"/>
  <c r="O97" i="5"/>
  <c r="Q97" i="5"/>
  <c r="S97" i="5" s="1"/>
  <c r="R97" i="5"/>
  <c r="N98" i="5"/>
  <c r="P98" i="5" s="1"/>
  <c r="O98" i="5"/>
  <c r="Q98" i="5"/>
  <c r="S98" i="5" s="1"/>
  <c r="R98" i="5"/>
  <c r="N99" i="5"/>
  <c r="P99" i="5" s="1"/>
  <c r="O99" i="5"/>
  <c r="Q99" i="5"/>
  <c r="S99" i="5" s="1"/>
  <c r="R99" i="5"/>
  <c r="N100" i="5"/>
  <c r="P100" i="5" s="1"/>
  <c r="O100" i="5"/>
  <c r="Q100" i="5"/>
  <c r="R100" i="5"/>
  <c r="S100" i="5"/>
  <c r="N101" i="5"/>
  <c r="P101" i="5" s="1"/>
  <c r="O101" i="5"/>
  <c r="Q101" i="5"/>
  <c r="S101" i="5" s="1"/>
  <c r="R101" i="5"/>
  <c r="N102" i="5"/>
  <c r="O102" i="5"/>
  <c r="P102" i="5"/>
  <c r="Q102" i="5"/>
  <c r="S102" i="5" s="1"/>
  <c r="R102" i="5"/>
  <c r="N103" i="5"/>
  <c r="P103" i="5" s="1"/>
  <c r="O103" i="5"/>
  <c r="Q103" i="5"/>
  <c r="S103" i="5" s="1"/>
  <c r="R103" i="5"/>
  <c r="N104" i="5"/>
  <c r="P104" i="5" s="1"/>
  <c r="O104" i="5"/>
  <c r="Q104" i="5"/>
  <c r="R104" i="5"/>
  <c r="S104" i="5"/>
  <c r="N105" i="5"/>
  <c r="P105" i="5" s="1"/>
  <c r="O105" i="5"/>
  <c r="Q105" i="5"/>
  <c r="S105" i="5" s="1"/>
  <c r="R105" i="5"/>
  <c r="N106" i="5"/>
  <c r="O106" i="5"/>
  <c r="P106" i="5"/>
  <c r="Q106" i="5"/>
  <c r="S106" i="5" s="1"/>
  <c r="R106" i="5"/>
  <c r="N107" i="5"/>
  <c r="P107" i="5" s="1"/>
  <c r="O107" i="5"/>
  <c r="Q107" i="5"/>
  <c r="S107" i="5" s="1"/>
  <c r="R107" i="5"/>
  <c r="N108" i="5"/>
  <c r="O108" i="5"/>
  <c r="P108" i="5"/>
  <c r="Q108" i="5"/>
  <c r="R108" i="5"/>
  <c r="S108" i="5"/>
  <c r="N109" i="5"/>
  <c r="P109" i="5" s="1"/>
  <c r="O109" i="5"/>
  <c r="Q109" i="5"/>
  <c r="S109" i="5" s="1"/>
  <c r="R109" i="5"/>
  <c r="N110" i="5"/>
  <c r="P110" i="5" s="1"/>
  <c r="O110" i="5"/>
  <c r="Q110" i="5"/>
  <c r="S110" i="5" s="1"/>
  <c r="R110" i="5"/>
  <c r="N111" i="5"/>
  <c r="P111" i="5" s="1"/>
  <c r="O111" i="5"/>
  <c r="Q111" i="5"/>
  <c r="S111" i="5" s="1"/>
  <c r="R111" i="5"/>
  <c r="N112" i="5"/>
  <c r="O112" i="5"/>
  <c r="P112" i="5"/>
  <c r="Q112" i="5"/>
  <c r="R112" i="5"/>
  <c r="S112" i="5"/>
  <c r="N113" i="5"/>
  <c r="P113" i="5" s="1"/>
  <c r="O113" i="5"/>
  <c r="Q113" i="5"/>
  <c r="S113" i="5" s="1"/>
  <c r="R113" i="5"/>
  <c r="N114" i="5"/>
  <c r="P114" i="5" s="1"/>
  <c r="O114" i="5"/>
  <c r="Q114" i="5"/>
  <c r="S114" i="5" s="1"/>
  <c r="R114" i="5"/>
  <c r="N115" i="5"/>
  <c r="P115" i="5" s="1"/>
  <c r="O115" i="5"/>
  <c r="Q115" i="5"/>
  <c r="S115" i="5" s="1"/>
  <c r="R115" i="5"/>
  <c r="N116" i="5"/>
  <c r="P116" i="5" s="1"/>
  <c r="O116" i="5"/>
  <c r="Q116" i="5"/>
  <c r="R116" i="5"/>
  <c r="S116" i="5"/>
  <c r="N117" i="5"/>
  <c r="P117" i="5" s="1"/>
  <c r="O117" i="5"/>
  <c r="Q117" i="5"/>
  <c r="S117" i="5" s="1"/>
  <c r="R117" i="5"/>
  <c r="N118" i="5"/>
  <c r="O118" i="5"/>
  <c r="P118" i="5"/>
  <c r="Q118" i="5"/>
  <c r="S118" i="5" s="1"/>
  <c r="R118" i="5"/>
  <c r="N119" i="5"/>
  <c r="P119" i="5" s="1"/>
  <c r="O119" i="5"/>
  <c r="Q119" i="5"/>
  <c r="S119" i="5" s="1"/>
  <c r="R119" i="5"/>
  <c r="N120" i="5"/>
  <c r="P120" i="5" s="1"/>
  <c r="O120" i="5"/>
  <c r="Q120" i="5"/>
  <c r="R120" i="5"/>
  <c r="S120" i="5"/>
  <c r="N121" i="5"/>
  <c r="P121" i="5" s="1"/>
  <c r="O121" i="5"/>
  <c r="Q121" i="5"/>
  <c r="S121" i="5" s="1"/>
  <c r="R121" i="5"/>
  <c r="N122" i="5"/>
  <c r="O122" i="5"/>
  <c r="P122" i="5"/>
  <c r="Q122" i="5"/>
  <c r="S122" i="5" s="1"/>
  <c r="R122" i="5"/>
  <c r="N123" i="5"/>
  <c r="P123" i="5" s="1"/>
  <c r="O123" i="5"/>
  <c r="Q123" i="5"/>
  <c r="S123" i="5" s="1"/>
  <c r="R123" i="5"/>
  <c r="N124" i="5"/>
  <c r="O124" i="5"/>
  <c r="P124" i="5"/>
  <c r="Q124" i="5"/>
  <c r="R124" i="5"/>
  <c r="S124" i="5"/>
  <c r="N125" i="5"/>
  <c r="P125" i="5" s="1"/>
  <c r="O125" i="5"/>
  <c r="Q125" i="5"/>
  <c r="S125" i="5" s="1"/>
  <c r="R125" i="5"/>
  <c r="N126" i="5"/>
  <c r="P126" i="5" s="1"/>
  <c r="O126" i="5"/>
  <c r="Q126" i="5"/>
  <c r="S126" i="5" s="1"/>
  <c r="R126" i="5"/>
  <c r="N127" i="5"/>
  <c r="P127" i="5" s="1"/>
  <c r="O127" i="5"/>
  <c r="Q127" i="5"/>
  <c r="S127" i="5" s="1"/>
  <c r="R127" i="5"/>
  <c r="N128" i="5"/>
  <c r="O128" i="5"/>
  <c r="P128" i="5"/>
  <c r="Q128" i="5"/>
  <c r="R128" i="5"/>
  <c r="S128" i="5"/>
  <c r="N129" i="5"/>
  <c r="P129" i="5" s="1"/>
  <c r="O129" i="5"/>
  <c r="Q129" i="5"/>
  <c r="S129" i="5" s="1"/>
  <c r="R129" i="5"/>
  <c r="N130" i="5"/>
  <c r="P130" i="5" s="1"/>
  <c r="O130" i="5"/>
  <c r="Q130" i="5"/>
  <c r="S130" i="5" s="1"/>
  <c r="R130" i="5"/>
  <c r="N131" i="5"/>
  <c r="P131" i="5" s="1"/>
  <c r="O131" i="5"/>
  <c r="Q131" i="5"/>
  <c r="S131" i="5" s="1"/>
  <c r="R131" i="5"/>
  <c r="N132" i="5"/>
  <c r="P132" i="5" s="1"/>
  <c r="O132" i="5"/>
  <c r="Q132" i="5"/>
  <c r="R132" i="5"/>
  <c r="S132" i="5"/>
  <c r="N133" i="5"/>
  <c r="P133" i="5" s="1"/>
  <c r="O133" i="5"/>
  <c r="Q133" i="5"/>
  <c r="S133" i="5" s="1"/>
  <c r="R133" i="5"/>
  <c r="N134" i="5"/>
  <c r="O134" i="5"/>
  <c r="P134" i="5"/>
  <c r="Q134" i="5"/>
  <c r="S134" i="5" s="1"/>
  <c r="R134" i="5"/>
  <c r="N135" i="5"/>
  <c r="P135" i="5" s="1"/>
  <c r="O135" i="5"/>
  <c r="Q135" i="5"/>
  <c r="S135" i="5" s="1"/>
  <c r="R135" i="5"/>
  <c r="N136" i="5"/>
  <c r="P136" i="5" s="1"/>
  <c r="O136" i="5"/>
  <c r="Q136" i="5"/>
  <c r="R136" i="5"/>
  <c r="S136" i="5"/>
  <c r="N137" i="5"/>
  <c r="P137" i="5" s="1"/>
  <c r="O137" i="5"/>
  <c r="Q137" i="5"/>
  <c r="S137" i="5" s="1"/>
  <c r="R137" i="5"/>
  <c r="N138" i="5"/>
  <c r="O138" i="5"/>
  <c r="P138" i="5"/>
  <c r="Q138" i="5"/>
  <c r="S138" i="5" s="1"/>
  <c r="R138" i="5"/>
  <c r="N139" i="5"/>
  <c r="P139" i="5" s="1"/>
  <c r="O139" i="5"/>
  <c r="Q139" i="5"/>
  <c r="S139" i="5" s="1"/>
  <c r="R139" i="5"/>
  <c r="N140" i="5"/>
  <c r="O140" i="5"/>
  <c r="P140" i="5"/>
  <c r="Q140" i="5"/>
  <c r="R140" i="5"/>
  <c r="S140" i="5"/>
  <c r="N141" i="5"/>
  <c r="P141" i="5" s="1"/>
  <c r="O141" i="5"/>
  <c r="Q141" i="5"/>
  <c r="S141" i="5" s="1"/>
  <c r="R141" i="5"/>
  <c r="N142" i="5"/>
  <c r="P142" i="5" s="1"/>
  <c r="O142" i="5"/>
  <c r="Q142" i="5"/>
  <c r="S142" i="5" s="1"/>
  <c r="R142" i="5"/>
  <c r="N143" i="5"/>
  <c r="P143" i="5" s="1"/>
  <c r="O143" i="5"/>
  <c r="Q143" i="5"/>
  <c r="S143" i="5" s="1"/>
  <c r="R143" i="5"/>
  <c r="N144" i="5"/>
  <c r="O144" i="5"/>
  <c r="P144" i="5"/>
  <c r="Q144" i="5"/>
  <c r="R144" i="5"/>
  <c r="S144" i="5"/>
  <c r="N145" i="5"/>
  <c r="P145" i="5" s="1"/>
  <c r="O145" i="5"/>
  <c r="Q145" i="5"/>
  <c r="S145" i="5" s="1"/>
  <c r="R145" i="5"/>
  <c r="N146" i="5"/>
  <c r="P146" i="5" s="1"/>
  <c r="O146" i="5"/>
  <c r="Q146" i="5"/>
  <c r="S146" i="5" s="1"/>
  <c r="R146" i="5"/>
  <c r="N147" i="5"/>
  <c r="P147" i="5" s="1"/>
  <c r="O147" i="5"/>
  <c r="Q147" i="5"/>
  <c r="S147" i="5" s="1"/>
  <c r="R147" i="5"/>
  <c r="N148" i="5"/>
  <c r="P148" i="5" s="1"/>
  <c r="O148" i="5"/>
  <c r="Q148" i="5"/>
  <c r="R148" i="5"/>
  <c r="S148" i="5"/>
  <c r="N149" i="5"/>
  <c r="P149" i="5" s="1"/>
  <c r="O149" i="5"/>
  <c r="Q149" i="5"/>
  <c r="S149" i="5" s="1"/>
  <c r="R149" i="5"/>
  <c r="N150" i="5"/>
  <c r="O150" i="5"/>
  <c r="P150" i="5"/>
  <c r="Q150" i="5"/>
  <c r="S150" i="5" s="1"/>
  <c r="R150" i="5"/>
  <c r="N151" i="5"/>
  <c r="P151" i="5" s="1"/>
  <c r="O151" i="5"/>
  <c r="Q151" i="5"/>
  <c r="S151" i="5" s="1"/>
  <c r="R151" i="5"/>
  <c r="N152" i="5"/>
  <c r="P152" i="5" s="1"/>
  <c r="O152" i="5"/>
  <c r="Q152" i="5"/>
  <c r="R152" i="5"/>
  <c r="S152" i="5"/>
  <c r="N153" i="5"/>
  <c r="P153" i="5" s="1"/>
  <c r="O153" i="5"/>
  <c r="Q153" i="5"/>
  <c r="S153" i="5" s="1"/>
  <c r="R153" i="5"/>
  <c r="N154" i="5"/>
  <c r="O154" i="5"/>
  <c r="P154" i="5"/>
  <c r="Q154" i="5"/>
  <c r="S154" i="5" s="1"/>
  <c r="R154" i="5"/>
  <c r="N155" i="5"/>
  <c r="P155" i="5" s="1"/>
  <c r="O155" i="5"/>
  <c r="Q155" i="5"/>
  <c r="S155" i="5" s="1"/>
  <c r="R155" i="5"/>
  <c r="N156" i="5"/>
  <c r="O156" i="5"/>
  <c r="P156" i="5"/>
  <c r="Q156" i="5"/>
  <c r="R156" i="5"/>
  <c r="S156" i="5"/>
  <c r="N157" i="5"/>
  <c r="P157" i="5" s="1"/>
  <c r="O157" i="5"/>
  <c r="Q157" i="5"/>
  <c r="S157" i="5" s="1"/>
  <c r="R157" i="5"/>
  <c r="N158" i="5"/>
  <c r="P158" i="5" s="1"/>
  <c r="O158" i="5"/>
  <c r="Q158" i="5"/>
  <c r="S158" i="5" s="1"/>
  <c r="R158" i="5"/>
  <c r="N159" i="5"/>
  <c r="P159" i="5" s="1"/>
  <c r="O159" i="5"/>
  <c r="Q159" i="5"/>
  <c r="S159" i="5" s="1"/>
  <c r="R159" i="5"/>
  <c r="N160" i="5"/>
  <c r="O160" i="5"/>
  <c r="P160" i="5"/>
  <c r="Q160" i="5"/>
  <c r="R160" i="5"/>
  <c r="S160" i="5"/>
  <c r="N161" i="5"/>
  <c r="P161" i="5" s="1"/>
  <c r="O161" i="5"/>
  <c r="Q161" i="5"/>
  <c r="S161" i="5" s="1"/>
  <c r="R161" i="5"/>
  <c r="N162" i="5"/>
  <c r="P162" i="5" s="1"/>
  <c r="O162" i="5"/>
  <c r="Q162" i="5"/>
  <c r="S162" i="5" s="1"/>
  <c r="R162" i="5"/>
  <c r="N163" i="5"/>
  <c r="P163" i="5" s="1"/>
  <c r="O163" i="5"/>
  <c r="Q163" i="5"/>
  <c r="S163" i="5" s="1"/>
  <c r="R163" i="5"/>
  <c r="N164" i="5"/>
  <c r="P164" i="5" s="1"/>
  <c r="O164" i="5"/>
  <c r="Q164" i="5"/>
  <c r="R164" i="5"/>
  <c r="S164" i="5"/>
  <c r="N165" i="5"/>
  <c r="P165" i="5" s="1"/>
  <c r="O165" i="5"/>
  <c r="Q165" i="5"/>
  <c r="S165" i="5" s="1"/>
  <c r="R165" i="5"/>
  <c r="N166" i="5"/>
  <c r="O166" i="5"/>
  <c r="P166" i="5"/>
  <c r="Q166" i="5"/>
  <c r="S166" i="5" s="1"/>
  <c r="R166" i="5"/>
  <c r="N167" i="5"/>
  <c r="P167" i="5" s="1"/>
  <c r="O167" i="5"/>
  <c r="Q167" i="5"/>
  <c r="S167" i="5" s="1"/>
  <c r="R167" i="5"/>
  <c r="N168" i="5"/>
  <c r="P168" i="5" s="1"/>
  <c r="O168" i="5"/>
  <c r="Q168" i="5"/>
  <c r="R168" i="5"/>
  <c r="S168" i="5"/>
  <c r="N169" i="5"/>
  <c r="P169" i="5" s="1"/>
  <c r="O169" i="5"/>
  <c r="Q169" i="5"/>
  <c r="S169" i="5" s="1"/>
  <c r="R169" i="5"/>
  <c r="N170" i="5"/>
  <c r="O170" i="5"/>
  <c r="P170" i="5"/>
  <c r="Q170" i="5"/>
  <c r="S170" i="5" s="1"/>
  <c r="R170" i="5"/>
  <c r="N171" i="5"/>
  <c r="P171" i="5" s="1"/>
  <c r="O171" i="5"/>
  <c r="Q171" i="5"/>
  <c r="S171" i="5" s="1"/>
  <c r="R171" i="5"/>
  <c r="N172" i="5"/>
  <c r="O172" i="5"/>
  <c r="P172" i="5"/>
  <c r="Q172" i="5"/>
  <c r="R172" i="5"/>
  <c r="S172" i="5"/>
  <c r="N173" i="5"/>
  <c r="P173" i="5" s="1"/>
  <c r="O173" i="5"/>
  <c r="Q173" i="5"/>
  <c r="S173" i="5" s="1"/>
  <c r="R173" i="5"/>
  <c r="N174" i="5"/>
  <c r="P174" i="5" s="1"/>
  <c r="O174" i="5"/>
  <c r="Q174" i="5"/>
  <c r="S174" i="5" s="1"/>
  <c r="R174" i="5"/>
  <c r="N175" i="5"/>
  <c r="P175" i="5" s="1"/>
  <c r="O175" i="5"/>
  <c r="Q175" i="5"/>
  <c r="S175" i="5" s="1"/>
  <c r="R175" i="5"/>
  <c r="N176" i="5"/>
  <c r="O176" i="5"/>
  <c r="P176" i="5"/>
  <c r="Q176" i="5"/>
  <c r="R176" i="5"/>
  <c r="S176" i="5"/>
  <c r="N177" i="5"/>
  <c r="P177" i="5" s="1"/>
  <c r="O177" i="5"/>
  <c r="Q177" i="5"/>
  <c r="S177" i="5" s="1"/>
  <c r="R177" i="5"/>
  <c r="N178" i="5"/>
  <c r="P178" i="5" s="1"/>
  <c r="O178" i="5"/>
  <c r="Q178" i="5"/>
  <c r="S178" i="5" s="1"/>
  <c r="R178" i="5"/>
  <c r="N179" i="5"/>
  <c r="P179" i="5" s="1"/>
  <c r="O179" i="5"/>
  <c r="Q179" i="5"/>
  <c r="S179" i="5" s="1"/>
  <c r="R179" i="5"/>
  <c r="N180" i="5"/>
  <c r="P180" i="5" s="1"/>
  <c r="O180" i="5"/>
  <c r="Q180" i="5"/>
  <c r="R180" i="5"/>
  <c r="S180" i="5"/>
  <c r="N181" i="5"/>
  <c r="P181" i="5" s="1"/>
  <c r="O181" i="5"/>
  <c r="Q181" i="5"/>
  <c r="S181" i="5" s="1"/>
  <c r="R181" i="5"/>
  <c r="N182" i="5"/>
  <c r="O182" i="5"/>
  <c r="P182" i="5"/>
  <c r="Q182" i="5"/>
  <c r="S182" i="5" s="1"/>
  <c r="R182" i="5"/>
  <c r="N183" i="5"/>
  <c r="P183" i="5" s="1"/>
  <c r="O183" i="5"/>
  <c r="Q183" i="5"/>
  <c r="S183" i="5" s="1"/>
  <c r="R183" i="5"/>
  <c r="N184" i="5"/>
  <c r="P184" i="5" s="1"/>
  <c r="O184" i="5"/>
  <c r="Q184" i="5"/>
  <c r="R184" i="5"/>
  <c r="S184" i="5"/>
  <c r="N185" i="5"/>
  <c r="P185" i="5" s="1"/>
  <c r="O185" i="5"/>
  <c r="Q185" i="5"/>
  <c r="S185" i="5" s="1"/>
  <c r="R185" i="5"/>
  <c r="N186" i="5"/>
  <c r="O186" i="5"/>
  <c r="P186" i="5"/>
  <c r="Q186" i="5"/>
  <c r="S186" i="5" s="1"/>
  <c r="R186" i="5"/>
  <c r="N187" i="5"/>
  <c r="P187" i="5" s="1"/>
  <c r="O187" i="5"/>
  <c r="Q187" i="5"/>
  <c r="S187" i="5" s="1"/>
  <c r="R187" i="5"/>
  <c r="N188" i="5"/>
  <c r="O188" i="5"/>
  <c r="P188" i="5"/>
  <c r="Q188" i="5"/>
  <c r="R188" i="5"/>
  <c r="S188" i="5"/>
  <c r="N189" i="5"/>
  <c r="P189" i="5" s="1"/>
  <c r="O189" i="5"/>
  <c r="Q189" i="5"/>
  <c r="S189" i="5" s="1"/>
  <c r="R189" i="5"/>
  <c r="N190" i="5"/>
  <c r="P190" i="5" s="1"/>
  <c r="O190" i="5"/>
  <c r="Q190" i="5"/>
  <c r="S190" i="5" s="1"/>
  <c r="R190" i="5"/>
  <c r="N191" i="5"/>
  <c r="P191" i="5" s="1"/>
  <c r="O191" i="5"/>
  <c r="Q191" i="5"/>
  <c r="S191" i="5" s="1"/>
  <c r="R191" i="5"/>
  <c r="N192" i="5"/>
  <c r="O192" i="5"/>
  <c r="P192" i="5"/>
  <c r="Q192" i="5"/>
  <c r="R192" i="5"/>
  <c r="S192" i="5"/>
  <c r="N193" i="5"/>
  <c r="P193" i="5" s="1"/>
  <c r="O193" i="5"/>
  <c r="Q193" i="5"/>
  <c r="S193" i="5" s="1"/>
  <c r="R193" i="5"/>
  <c r="N194" i="5"/>
  <c r="P194" i="5" s="1"/>
  <c r="O194" i="5"/>
  <c r="Q194" i="5"/>
  <c r="S194" i="5" s="1"/>
  <c r="R194" i="5"/>
  <c r="N195" i="5"/>
  <c r="P195" i="5" s="1"/>
  <c r="O195" i="5"/>
  <c r="Q195" i="5"/>
  <c r="S195" i="5" s="1"/>
  <c r="R195" i="5"/>
  <c r="N196" i="5"/>
  <c r="P196" i="5" s="1"/>
  <c r="O196" i="5"/>
  <c r="Q196" i="5"/>
  <c r="R196" i="5"/>
  <c r="S196" i="5"/>
  <c r="N197" i="5"/>
  <c r="P197" i="5" s="1"/>
  <c r="O197" i="5"/>
  <c r="Q197" i="5"/>
  <c r="S197" i="5" s="1"/>
  <c r="R197" i="5"/>
  <c r="N198" i="5"/>
  <c r="O198" i="5"/>
  <c r="P198" i="5"/>
  <c r="Q198" i="5"/>
  <c r="S198" i="5" s="1"/>
  <c r="R198" i="5"/>
  <c r="N199" i="5"/>
  <c r="P199" i="5" s="1"/>
  <c r="O199" i="5"/>
  <c r="Q199" i="5"/>
  <c r="S199" i="5" s="1"/>
  <c r="R199" i="5"/>
  <c r="N200" i="5"/>
  <c r="P200" i="5" s="1"/>
  <c r="O200" i="5"/>
  <c r="Q200" i="5"/>
  <c r="R200" i="5"/>
  <c r="S200" i="5"/>
  <c r="N201" i="5"/>
  <c r="P201" i="5" s="1"/>
  <c r="O201" i="5"/>
  <c r="Q201" i="5"/>
  <c r="S201" i="5" s="1"/>
  <c r="R201" i="5"/>
  <c r="N202" i="5"/>
  <c r="P202" i="5" s="1"/>
  <c r="O202" i="5"/>
  <c r="Q202" i="5"/>
  <c r="R202" i="5"/>
  <c r="S202" i="5"/>
  <c r="N203" i="5"/>
  <c r="O203" i="5"/>
  <c r="P203" i="5"/>
  <c r="Q203" i="5"/>
  <c r="S203" i="5" s="1"/>
  <c r="R203" i="5"/>
  <c r="N204" i="5"/>
  <c r="O204" i="5"/>
  <c r="P204" i="5"/>
  <c r="Q204" i="5"/>
  <c r="R204" i="5"/>
  <c r="S204" i="5"/>
  <c r="N205" i="5"/>
  <c r="P205" i="5" s="1"/>
  <c r="O205" i="5"/>
  <c r="Q205" i="5"/>
  <c r="S205" i="5" s="1"/>
  <c r="R205" i="5"/>
  <c r="N206" i="5"/>
  <c r="P206" i="5" s="1"/>
  <c r="O206" i="5"/>
  <c r="Q206" i="5"/>
  <c r="S206" i="5" s="1"/>
  <c r="R206" i="5"/>
  <c r="N207" i="5"/>
  <c r="P207" i="5" s="1"/>
  <c r="O207" i="5"/>
  <c r="Q207" i="5"/>
  <c r="S207" i="5" s="1"/>
  <c r="R207" i="5"/>
  <c r="N208" i="5"/>
  <c r="P208" i="5" s="1"/>
  <c r="O208" i="5"/>
  <c r="Q208" i="5"/>
  <c r="S208" i="5" s="1"/>
  <c r="R208" i="5"/>
  <c r="N209" i="5"/>
  <c r="P209" i="5" s="1"/>
  <c r="O209" i="5"/>
  <c r="Q209" i="5"/>
  <c r="S209" i="5" s="1"/>
  <c r="R209" i="5"/>
  <c r="N210" i="5"/>
  <c r="P210" i="5" s="1"/>
  <c r="O210" i="5"/>
  <c r="Q210" i="5"/>
  <c r="S210" i="5" s="1"/>
  <c r="R210" i="5"/>
  <c r="N211" i="5"/>
  <c r="O211" i="5"/>
  <c r="P211" i="5"/>
  <c r="Q211" i="5"/>
  <c r="S211" i="5" s="1"/>
  <c r="R211" i="5"/>
  <c r="N212" i="5"/>
  <c r="P212" i="5" s="1"/>
  <c r="O212" i="5"/>
  <c r="Q212" i="5"/>
  <c r="R212" i="5"/>
  <c r="S212" i="5"/>
  <c r="N213" i="5"/>
  <c r="P213" i="5" s="1"/>
  <c r="O213" i="5"/>
  <c r="Q213" i="5"/>
  <c r="S213" i="5" s="1"/>
  <c r="R213" i="5"/>
  <c r="N214" i="5"/>
  <c r="O214" i="5"/>
  <c r="P214" i="5"/>
  <c r="Q214" i="5"/>
  <c r="S214" i="5" s="1"/>
  <c r="R214" i="5"/>
  <c r="N215" i="5"/>
  <c r="P215" i="5" s="1"/>
  <c r="O215" i="5"/>
  <c r="Q215" i="5"/>
  <c r="S215" i="5" s="1"/>
  <c r="R215" i="5"/>
  <c r="N216" i="5"/>
  <c r="P216" i="5" s="1"/>
  <c r="O216" i="5"/>
  <c r="Q216" i="5"/>
  <c r="R216" i="5"/>
  <c r="S216" i="5"/>
  <c r="N217" i="5"/>
  <c r="P217" i="5" s="1"/>
  <c r="O217" i="5"/>
  <c r="Q217" i="5"/>
  <c r="S217" i="5" s="1"/>
  <c r="R217" i="5"/>
  <c r="N218" i="5"/>
  <c r="P218" i="5" s="1"/>
  <c r="O218" i="5"/>
  <c r="Q218" i="5"/>
  <c r="S218" i="5" s="1"/>
  <c r="R218" i="5"/>
  <c r="N219" i="5"/>
  <c r="O219" i="5"/>
  <c r="P219" i="5"/>
  <c r="Q219" i="5"/>
  <c r="S219" i="5" s="1"/>
  <c r="R219" i="5"/>
  <c r="N220" i="5"/>
  <c r="P220" i="5" s="1"/>
  <c r="O220" i="5"/>
  <c r="Q220" i="5"/>
  <c r="R220" i="5"/>
  <c r="S220" i="5"/>
  <c r="N221" i="5"/>
  <c r="P221" i="5" s="1"/>
  <c r="O221" i="5"/>
  <c r="Q221" i="5"/>
  <c r="S221" i="5" s="1"/>
  <c r="R221" i="5"/>
  <c r="N222" i="5"/>
  <c r="O222" i="5"/>
  <c r="P222" i="5"/>
  <c r="Q222" i="5"/>
  <c r="S222" i="5" s="1"/>
  <c r="R222" i="5"/>
  <c r="N223" i="5"/>
  <c r="P223" i="5" s="1"/>
  <c r="O223" i="5"/>
  <c r="Q223" i="5"/>
  <c r="S223" i="5" s="1"/>
  <c r="R223" i="5"/>
  <c r="N224" i="5"/>
  <c r="P224" i="5" s="1"/>
  <c r="O224" i="5"/>
  <c r="Q224" i="5"/>
  <c r="R224" i="5"/>
  <c r="S224" i="5"/>
  <c r="N225" i="5"/>
  <c r="P225" i="5" s="1"/>
  <c r="O225" i="5"/>
  <c r="Q225" i="5"/>
  <c r="S225" i="5" s="1"/>
  <c r="R225" i="5"/>
  <c r="N226" i="5"/>
  <c r="P226" i="5" s="1"/>
  <c r="O226" i="5"/>
  <c r="Q226" i="5"/>
  <c r="S226" i="5" s="1"/>
  <c r="R226" i="5"/>
  <c r="N227" i="5"/>
  <c r="O227" i="5"/>
  <c r="P227" i="5"/>
  <c r="Q227" i="5"/>
  <c r="S227" i="5" s="1"/>
  <c r="R227" i="5"/>
  <c r="N228" i="5"/>
  <c r="P228" i="5" s="1"/>
  <c r="O228" i="5"/>
  <c r="Q228" i="5"/>
  <c r="R228" i="5"/>
  <c r="S228" i="5"/>
  <c r="N229" i="5"/>
  <c r="P229" i="5" s="1"/>
  <c r="O229" i="5"/>
  <c r="Q229" i="5"/>
  <c r="S229" i="5" s="1"/>
  <c r="R229" i="5"/>
  <c r="N230" i="5"/>
  <c r="O230" i="5"/>
  <c r="P230" i="5"/>
  <c r="Q230" i="5"/>
  <c r="S230" i="5" s="1"/>
  <c r="R230" i="5"/>
  <c r="N231" i="5"/>
  <c r="P231" i="5" s="1"/>
  <c r="O231" i="5"/>
  <c r="Q231" i="5"/>
  <c r="S231" i="5" s="1"/>
  <c r="R231" i="5"/>
  <c r="N232" i="5"/>
  <c r="P232" i="5" s="1"/>
  <c r="O232" i="5"/>
  <c r="Q232" i="5"/>
  <c r="R232" i="5"/>
  <c r="S232" i="5"/>
  <c r="N233" i="5"/>
  <c r="P233" i="5" s="1"/>
  <c r="O233" i="5"/>
  <c r="Q233" i="5"/>
  <c r="S233" i="5" s="1"/>
  <c r="R233" i="5"/>
  <c r="N234" i="5"/>
  <c r="P234" i="5" s="1"/>
  <c r="O234" i="5"/>
  <c r="Q234" i="5"/>
  <c r="S234" i="5" s="1"/>
  <c r="R234" i="5"/>
  <c r="N235" i="5"/>
  <c r="O235" i="5"/>
  <c r="P235" i="5"/>
  <c r="Q235" i="5"/>
  <c r="S235" i="5" s="1"/>
  <c r="R235" i="5"/>
  <c r="N236" i="5"/>
  <c r="P236" i="5" s="1"/>
  <c r="O236" i="5"/>
  <c r="Q236" i="5"/>
  <c r="R236" i="5"/>
  <c r="S236" i="5"/>
  <c r="N237" i="5"/>
  <c r="P237" i="5" s="1"/>
  <c r="O237" i="5"/>
  <c r="Q237" i="5"/>
  <c r="S237" i="5" s="1"/>
  <c r="R237" i="5"/>
  <c r="N238" i="5"/>
  <c r="O238" i="5"/>
  <c r="P238" i="5"/>
  <c r="Q238" i="5"/>
  <c r="S238" i="5" s="1"/>
  <c r="R238" i="5"/>
  <c r="N239" i="5"/>
  <c r="P239" i="5" s="1"/>
  <c r="O239" i="5"/>
  <c r="Q239" i="5"/>
  <c r="S239" i="5" s="1"/>
  <c r="R239" i="5"/>
  <c r="N240" i="5"/>
  <c r="P240" i="5" s="1"/>
  <c r="O240" i="5"/>
  <c r="Q240" i="5"/>
  <c r="R240" i="5"/>
  <c r="S240" i="5"/>
  <c r="N241" i="5"/>
  <c r="P241" i="5" s="1"/>
  <c r="O241" i="5"/>
  <c r="Q241" i="5"/>
  <c r="S241" i="5" s="1"/>
  <c r="R241" i="5"/>
  <c r="N242" i="5"/>
  <c r="P242" i="5" s="1"/>
  <c r="O242" i="5"/>
  <c r="Q242" i="5"/>
  <c r="S242" i="5" s="1"/>
  <c r="R242" i="5"/>
  <c r="N243" i="5"/>
  <c r="O243" i="5"/>
  <c r="P243" i="5"/>
  <c r="Q243" i="5"/>
  <c r="S243" i="5" s="1"/>
  <c r="R243" i="5"/>
  <c r="N244" i="5"/>
  <c r="P244" i="5" s="1"/>
  <c r="O244" i="5"/>
  <c r="Q244" i="5"/>
  <c r="R244" i="5"/>
  <c r="S244" i="5"/>
  <c r="N245" i="5"/>
  <c r="P245" i="5" s="1"/>
  <c r="O245" i="5"/>
  <c r="Q245" i="5"/>
  <c r="S245" i="5" s="1"/>
  <c r="R245" i="5"/>
  <c r="N246" i="5"/>
  <c r="O246" i="5"/>
  <c r="P246" i="5"/>
  <c r="Q246" i="5"/>
  <c r="S246" i="5" s="1"/>
  <c r="R246" i="5"/>
  <c r="N247" i="5"/>
  <c r="P247" i="5" s="1"/>
  <c r="O247" i="5"/>
  <c r="Q247" i="5"/>
  <c r="S247" i="5" s="1"/>
  <c r="R247" i="5"/>
  <c r="N248" i="5"/>
  <c r="P248" i="5" s="1"/>
  <c r="O248" i="5"/>
  <c r="Q248" i="5"/>
  <c r="R248" i="5"/>
  <c r="S248" i="5"/>
  <c r="N249" i="5"/>
  <c r="P249" i="5" s="1"/>
  <c r="O249" i="5"/>
  <c r="Q249" i="5"/>
  <c r="S249" i="5" s="1"/>
  <c r="R249" i="5"/>
  <c r="N250" i="5"/>
  <c r="P250" i="5" s="1"/>
  <c r="O250" i="5"/>
  <c r="Q250" i="5"/>
  <c r="S250" i="5" s="1"/>
  <c r="R250" i="5"/>
  <c r="N251" i="5"/>
  <c r="O251" i="5"/>
  <c r="P251" i="5"/>
  <c r="Q251" i="5"/>
  <c r="S251" i="5" s="1"/>
  <c r="R251" i="5"/>
  <c r="N252" i="5"/>
  <c r="P252" i="5" s="1"/>
  <c r="O252" i="5"/>
  <c r="Q252" i="5"/>
  <c r="R252" i="5"/>
  <c r="S252" i="5"/>
  <c r="N253" i="5"/>
  <c r="P253" i="5" s="1"/>
  <c r="O253" i="5"/>
  <c r="Q253" i="5"/>
  <c r="S253" i="5" s="1"/>
  <c r="R253" i="5"/>
  <c r="N254" i="5"/>
  <c r="O254" i="5"/>
  <c r="P254" i="5"/>
  <c r="Q254" i="5"/>
  <c r="S254" i="5" s="1"/>
  <c r="R254" i="5"/>
  <c r="N255" i="5"/>
  <c r="P255" i="5" s="1"/>
  <c r="O255" i="5"/>
  <c r="Q255" i="5"/>
  <c r="S255" i="5" s="1"/>
  <c r="R255" i="5"/>
  <c r="N256" i="5"/>
  <c r="P256" i="5" s="1"/>
  <c r="O256" i="5"/>
  <c r="Q256" i="5"/>
  <c r="R256" i="5"/>
  <c r="S256" i="5"/>
  <c r="N257" i="5"/>
  <c r="P257" i="5" s="1"/>
  <c r="O257" i="5"/>
  <c r="Q257" i="5"/>
  <c r="S257" i="5" s="1"/>
  <c r="R257" i="5"/>
  <c r="N258" i="5"/>
  <c r="P258" i="5" s="1"/>
  <c r="O258" i="5"/>
  <c r="Q258" i="5"/>
  <c r="S258" i="5" s="1"/>
  <c r="R258" i="5"/>
  <c r="N259" i="5"/>
  <c r="O259" i="5"/>
  <c r="P259" i="5"/>
  <c r="Q259" i="5"/>
  <c r="S259" i="5" s="1"/>
  <c r="R259" i="5"/>
  <c r="N260" i="5"/>
  <c r="P260" i="5" s="1"/>
  <c r="O260" i="5"/>
  <c r="Q260" i="5"/>
  <c r="R260" i="5"/>
  <c r="S260" i="5"/>
  <c r="N261" i="5"/>
  <c r="P261" i="5" s="1"/>
  <c r="O261" i="5"/>
  <c r="Q261" i="5"/>
  <c r="S261" i="5" s="1"/>
  <c r="R261" i="5"/>
  <c r="N262" i="5"/>
  <c r="O262" i="5"/>
  <c r="P262" i="5"/>
  <c r="Q262" i="5"/>
  <c r="S262" i="5" s="1"/>
  <c r="R262" i="5"/>
  <c r="N263" i="5"/>
  <c r="P263" i="5" s="1"/>
  <c r="O263" i="5"/>
  <c r="Q263" i="5"/>
  <c r="S263" i="5" s="1"/>
  <c r="R263" i="5"/>
  <c r="N264" i="5"/>
  <c r="P264" i="5" s="1"/>
  <c r="O264" i="5"/>
  <c r="Q264" i="5"/>
  <c r="R264" i="5"/>
  <c r="S264" i="5"/>
  <c r="N265" i="5"/>
  <c r="P265" i="5" s="1"/>
  <c r="O265" i="5"/>
  <c r="Q265" i="5"/>
  <c r="S265" i="5" s="1"/>
  <c r="R265" i="5"/>
  <c r="N266" i="5"/>
  <c r="P266" i="5" s="1"/>
  <c r="O266" i="5"/>
  <c r="Q266" i="5"/>
  <c r="S266" i="5" s="1"/>
  <c r="R266" i="5"/>
  <c r="N267" i="5"/>
  <c r="O267" i="5"/>
  <c r="P267" i="5"/>
  <c r="Q267" i="5"/>
  <c r="S267" i="5" s="1"/>
  <c r="R267" i="5"/>
  <c r="N268" i="5"/>
  <c r="P268" i="5" s="1"/>
  <c r="O268" i="5"/>
  <c r="Q268" i="5"/>
  <c r="R268" i="5"/>
  <c r="S268" i="5"/>
  <c r="N269" i="5"/>
  <c r="P269" i="5" s="1"/>
  <c r="O269" i="5"/>
  <c r="Q269" i="5"/>
  <c r="S269" i="5" s="1"/>
  <c r="R269" i="5"/>
  <c r="N270" i="5"/>
  <c r="O270" i="5"/>
  <c r="P270" i="5"/>
  <c r="Q270" i="5"/>
  <c r="S270" i="5" s="1"/>
  <c r="R270" i="5"/>
  <c r="N271" i="5"/>
  <c r="P271" i="5" s="1"/>
  <c r="O271" i="5"/>
  <c r="Q271" i="5"/>
  <c r="S271" i="5" s="1"/>
  <c r="R271" i="5"/>
  <c r="N272" i="5"/>
  <c r="P272" i="5" s="1"/>
  <c r="O272" i="5"/>
  <c r="Q272" i="5"/>
  <c r="R272" i="5"/>
  <c r="S272" i="5"/>
  <c r="N273" i="5"/>
  <c r="P273" i="5" s="1"/>
  <c r="O273" i="5"/>
  <c r="Q273" i="5"/>
  <c r="S273" i="5" s="1"/>
  <c r="R273" i="5"/>
  <c r="N274" i="5"/>
  <c r="P274" i="5" s="1"/>
  <c r="O274" i="5"/>
  <c r="Q274" i="5"/>
  <c r="S274" i="5" s="1"/>
  <c r="R274" i="5"/>
  <c r="N275" i="5"/>
  <c r="O275" i="5"/>
  <c r="P275" i="5"/>
  <c r="Q275" i="5"/>
  <c r="S275" i="5" s="1"/>
  <c r="R275" i="5"/>
  <c r="N276" i="5"/>
  <c r="P276" i="5" s="1"/>
  <c r="O276" i="5"/>
  <c r="Q276" i="5"/>
  <c r="R276" i="5"/>
  <c r="S276" i="5"/>
  <c r="N277" i="5"/>
  <c r="P277" i="5" s="1"/>
  <c r="O277" i="5"/>
  <c r="Q277" i="5"/>
  <c r="S277" i="5" s="1"/>
  <c r="R277" i="5"/>
  <c r="N278" i="5"/>
  <c r="O278" i="5"/>
  <c r="P278" i="5"/>
  <c r="Q278" i="5"/>
  <c r="S278" i="5" s="1"/>
  <c r="R278" i="5"/>
  <c r="N279" i="5"/>
  <c r="P279" i="5" s="1"/>
  <c r="O279" i="5"/>
  <c r="Q279" i="5"/>
  <c r="S279" i="5" s="1"/>
  <c r="R279" i="5"/>
  <c r="N280" i="5"/>
  <c r="P280" i="5" s="1"/>
  <c r="O280" i="5"/>
  <c r="Q280" i="5"/>
  <c r="R280" i="5"/>
  <c r="S280" i="5"/>
  <c r="N281" i="5"/>
  <c r="P281" i="5" s="1"/>
  <c r="O281" i="5"/>
  <c r="Q281" i="5"/>
  <c r="S281" i="5" s="1"/>
  <c r="R281" i="5"/>
  <c r="N282" i="5"/>
  <c r="P282" i="5" s="1"/>
  <c r="O282" i="5"/>
  <c r="Q282" i="5"/>
  <c r="S282" i="5" s="1"/>
  <c r="R282" i="5"/>
  <c r="N283" i="5"/>
  <c r="O283" i="5"/>
  <c r="P283" i="5"/>
  <c r="Q283" i="5"/>
  <c r="S283" i="5" s="1"/>
  <c r="R283" i="5"/>
  <c r="N284" i="5"/>
  <c r="P284" i="5" s="1"/>
  <c r="O284" i="5"/>
  <c r="Q284" i="5"/>
  <c r="R284" i="5"/>
  <c r="S284" i="5"/>
  <c r="N285" i="5"/>
  <c r="P285" i="5" s="1"/>
  <c r="O285" i="5"/>
  <c r="Q285" i="5"/>
  <c r="S285" i="5" s="1"/>
  <c r="R285" i="5"/>
  <c r="N286" i="5"/>
  <c r="O286" i="5"/>
  <c r="P286" i="5"/>
  <c r="Q286" i="5"/>
  <c r="S286" i="5" s="1"/>
  <c r="R286" i="5"/>
  <c r="N287" i="5"/>
  <c r="P287" i="5" s="1"/>
  <c r="O287" i="5"/>
  <c r="Q287" i="5"/>
  <c r="S287" i="5" s="1"/>
  <c r="R287" i="5"/>
  <c r="N288" i="5"/>
  <c r="P288" i="5" s="1"/>
  <c r="O288" i="5"/>
  <c r="Q288" i="5"/>
  <c r="R288" i="5"/>
  <c r="S288" i="5"/>
  <c r="N289" i="5"/>
  <c r="P289" i="5" s="1"/>
  <c r="O289" i="5"/>
  <c r="Q289" i="5"/>
  <c r="S289" i="5" s="1"/>
  <c r="R289" i="5"/>
  <c r="N290" i="5"/>
  <c r="P290" i="5" s="1"/>
  <c r="O290" i="5"/>
  <c r="Q290" i="5"/>
  <c r="S290" i="5" s="1"/>
  <c r="R290" i="5"/>
  <c r="N291" i="5"/>
  <c r="O291" i="5"/>
  <c r="P291" i="5"/>
  <c r="Q291" i="5"/>
  <c r="S291" i="5" s="1"/>
  <c r="R291" i="5"/>
  <c r="N292" i="5"/>
  <c r="P292" i="5" s="1"/>
  <c r="O292" i="5"/>
  <c r="Q292" i="5"/>
  <c r="R292" i="5"/>
  <c r="S292" i="5"/>
  <c r="N293" i="5"/>
  <c r="P293" i="5" s="1"/>
  <c r="O293" i="5"/>
  <c r="Q293" i="5"/>
  <c r="S293" i="5" s="1"/>
  <c r="R293" i="5"/>
  <c r="N294" i="5"/>
  <c r="O294" i="5"/>
  <c r="P294" i="5"/>
  <c r="Q294" i="5"/>
  <c r="S294" i="5" s="1"/>
  <c r="R294" i="5"/>
  <c r="N295" i="5"/>
  <c r="P295" i="5" s="1"/>
  <c r="O295" i="5"/>
  <c r="Q295" i="5"/>
  <c r="S295" i="5" s="1"/>
  <c r="R295" i="5"/>
  <c r="N296" i="5"/>
  <c r="P296" i="5" s="1"/>
  <c r="O296" i="5"/>
  <c r="Q296" i="5"/>
  <c r="R296" i="5"/>
  <c r="S296" i="5"/>
  <c r="N297" i="5"/>
  <c r="P297" i="5" s="1"/>
  <c r="O297" i="5"/>
  <c r="Q297" i="5"/>
  <c r="S297" i="5" s="1"/>
  <c r="R297" i="5"/>
  <c r="N298" i="5"/>
  <c r="P298" i="5" s="1"/>
  <c r="O298" i="5"/>
  <c r="Q298" i="5"/>
  <c r="S298" i="5" s="1"/>
  <c r="R298" i="5"/>
  <c r="N299" i="5"/>
  <c r="O299" i="5"/>
  <c r="P299" i="5"/>
  <c r="Q299" i="5"/>
  <c r="S299" i="5" s="1"/>
  <c r="R299" i="5"/>
  <c r="N300" i="5"/>
  <c r="P300" i="5" s="1"/>
  <c r="O300" i="5"/>
  <c r="Q300" i="5"/>
  <c r="R300" i="5"/>
  <c r="S300" i="5"/>
  <c r="N301" i="5"/>
  <c r="P301" i="5" s="1"/>
  <c r="O301" i="5"/>
  <c r="Q301" i="5"/>
  <c r="S301" i="5" s="1"/>
  <c r="R301" i="5"/>
  <c r="N302" i="5"/>
  <c r="O302" i="5"/>
  <c r="P302" i="5"/>
  <c r="Q302" i="5"/>
  <c r="S302" i="5" s="1"/>
  <c r="R302" i="5"/>
  <c r="N303" i="5"/>
  <c r="P303" i="5" s="1"/>
  <c r="O303" i="5"/>
  <c r="Q303" i="5"/>
  <c r="S303" i="5" s="1"/>
  <c r="R303" i="5"/>
  <c r="N304" i="5"/>
  <c r="P304" i="5" s="1"/>
  <c r="O304" i="5"/>
  <c r="Q304" i="5"/>
  <c r="R304" i="5"/>
  <c r="S304" i="5"/>
  <c r="N305" i="5"/>
  <c r="P305" i="5" s="1"/>
  <c r="O305" i="5"/>
  <c r="Q305" i="5"/>
  <c r="S305" i="5" s="1"/>
  <c r="R305" i="5"/>
  <c r="N306" i="5"/>
  <c r="P306" i="5" s="1"/>
  <c r="O306" i="5"/>
  <c r="Q306" i="5"/>
  <c r="S306" i="5" s="1"/>
  <c r="R306" i="5"/>
  <c r="N307" i="5"/>
  <c r="O307" i="5"/>
  <c r="P307" i="5"/>
  <c r="Q307" i="5"/>
  <c r="S307" i="5" s="1"/>
  <c r="R307" i="5"/>
  <c r="N308" i="5"/>
  <c r="P308" i="5" s="1"/>
  <c r="O308" i="5"/>
  <c r="Q308" i="5"/>
  <c r="R308" i="5"/>
  <c r="S308" i="5"/>
  <c r="N309" i="5"/>
  <c r="P309" i="5" s="1"/>
  <c r="O309" i="5"/>
  <c r="Q309" i="5"/>
  <c r="S309" i="5" s="1"/>
  <c r="R309" i="5"/>
  <c r="N310" i="5"/>
  <c r="O310" i="5"/>
  <c r="P310" i="5"/>
  <c r="Q310" i="5"/>
  <c r="S310" i="5" s="1"/>
  <c r="R310" i="5"/>
  <c r="N311" i="5"/>
  <c r="P311" i="5" s="1"/>
  <c r="O311" i="5"/>
  <c r="Q311" i="5"/>
  <c r="S311" i="5" s="1"/>
  <c r="R311" i="5"/>
  <c r="N312" i="5"/>
  <c r="P312" i="5" s="1"/>
  <c r="O312" i="5"/>
  <c r="Q312" i="5"/>
  <c r="R312" i="5"/>
  <c r="S312" i="5"/>
  <c r="N313" i="5"/>
  <c r="P313" i="5" s="1"/>
  <c r="O313" i="5"/>
  <c r="Q313" i="5"/>
  <c r="S313" i="5" s="1"/>
  <c r="R313" i="5"/>
  <c r="N314" i="5"/>
  <c r="P314" i="5" s="1"/>
  <c r="O314" i="5"/>
  <c r="Q314" i="5"/>
  <c r="S314" i="5" s="1"/>
  <c r="R314" i="5"/>
  <c r="N315" i="5"/>
  <c r="O315" i="5"/>
  <c r="P315" i="5"/>
  <c r="Q315" i="5"/>
  <c r="S315" i="5" s="1"/>
  <c r="R315" i="5"/>
  <c r="N316" i="5"/>
  <c r="P316" i="5" s="1"/>
  <c r="O316" i="5"/>
  <c r="Q316" i="5"/>
  <c r="R316" i="5"/>
  <c r="S316" i="5"/>
  <c r="N317" i="5"/>
  <c r="P317" i="5" s="1"/>
  <c r="O317" i="5"/>
  <c r="Q317" i="5"/>
  <c r="S317" i="5" s="1"/>
  <c r="R317" i="5"/>
  <c r="N318" i="5"/>
  <c r="O318" i="5"/>
  <c r="P318" i="5"/>
  <c r="Q318" i="5"/>
  <c r="S318" i="5" s="1"/>
  <c r="R318" i="5"/>
  <c r="N319" i="5"/>
  <c r="P319" i="5" s="1"/>
  <c r="O319" i="5"/>
  <c r="Q319" i="5"/>
  <c r="S319" i="5" s="1"/>
  <c r="R319" i="5"/>
  <c r="N320" i="5"/>
  <c r="P320" i="5" s="1"/>
  <c r="O320" i="5"/>
  <c r="Q320" i="5"/>
  <c r="R320" i="5"/>
  <c r="S320" i="5"/>
  <c r="N321" i="5"/>
  <c r="P321" i="5" s="1"/>
  <c r="O321" i="5"/>
  <c r="Q321" i="5"/>
  <c r="S321" i="5" s="1"/>
  <c r="R321" i="5"/>
  <c r="N322" i="5"/>
  <c r="P322" i="5" s="1"/>
  <c r="O322" i="5"/>
  <c r="Q322" i="5"/>
  <c r="S322" i="5" s="1"/>
  <c r="R322" i="5"/>
  <c r="N323" i="5"/>
  <c r="O323" i="5"/>
  <c r="P323" i="5"/>
  <c r="Q323" i="5"/>
  <c r="S323" i="5" s="1"/>
  <c r="R323" i="5"/>
  <c r="N324" i="5"/>
  <c r="P324" i="5" s="1"/>
  <c r="O324" i="5"/>
  <c r="Q324" i="5"/>
  <c r="R324" i="5"/>
  <c r="S324" i="5"/>
  <c r="N325" i="5"/>
  <c r="P325" i="5" s="1"/>
  <c r="O325" i="5"/>
  <c r="Q325" i="5"/>
  <c r="S325" i="5" s="1"/>
  <c r="R325" i="5"/>
  <c r="N326" i="5"/>
  <c r="O326" i="5"/>
  <c r="P326" i="5"/>
  <c r="Q326" i="5"/>
  <c r="S326" i="5" s="1"/>
  <c r="R326" i="5"/>
  <c r="N327" i="5"/>
  <c r="P327" i="5" s="1"/>
  <c r="O327" i="5"/>
  <c r="Q327" i="5"/>
  <c r="S327" i="5" s="1"/>
  <c r="R327" i="5"/>
  <c r="N328" i="5"/>
  <c r="P328" i="5" s="1"/>
  <c r="O328" i="5"/>
  <c r="Q328" i="5"/>
  <c r="R328" i="5"/>
  <c r="S328" i="5"/>
  <c r="N329" i="5"/>
  <c r="P329" i="5" s="1"/>
  <c r="O329" i="5"/>
  <c r="Q329" i="5"/>
  <c r="S329" i="5" s="1"/>
  <c r="R329" i="5"/>
  <c r="N330" i="5"/>
  <c r="P330" i="5" s="1"/>
  <c r="O330" i="5"/>
  <c r="Q330" i="5"/>
  <c r="S330" i="5" s="1"/>
  <c r="R330" i="5"/>
  <c r="N331" i="5"/>
  <c r="O331" i="5"/>
  <c r="P331" i="5"/>
  <c r="Q331" i="5"/>
  <c r="S331" i="5" s="1"/>
  <c r="R331" i="5"/>
  <c r="N332" i="5"/>
  <c r="P332" i="5" s="1"/>
  <c r="O332" i="5"/>
  <c r="Q332" i="5"/>
  <c r="R332" i="5"/>
  <c r="S332" i="5"/>
  <c r="N333" i="5"/>
  <c r="P333" i="5" s="1"/>
  <c r="O333" i="5"/>
  <c r="Q333" i="5"/>
  <c r="S333" i="5" s="1"/>
  <c r="R333" i="5"/>
  <c r="N334" i="5"/>
  <c r="O334" i="5"/>
  <c r="P334" i="5"/>
  <c r="Q334" i="5"/>
  <c r="S334" i="5" s="1"/>
  <c r="R334" i="5"/>
  <c r="N335" i="5"/>
  <c r="P335" i="5" s="1"/>
  <c r="O335" i="5"/>
  <c r="Q335" i="5"/>
  <c r="S335" i="5" s="1"/>
  <c r="R335" i="5"/>
  <c r="N336" i="5"/>
  <c r="P336" i="5" s="1"/>
  <c r="O336" i="5"/>
  <c r="Q336" i="5"/>
  <c r="R336" i="5"/>
  <c r="S336" i="5"/>
  <c r="N337" i="5"/>
  <c r="P337" i="5" s="1"/>
  <c r="O337" i="5"/>
  <c r="Q337" i="5"/>
  <c r="S337" i="5" s="1"/>
  <c r="R337" i="5"/>
  <c r="N338" i="5"/>
  <c r="P338" i="5" s="1"/>
  <c r="O338" i="5"/>
  <c r="Q338" i="5"/>
  <c r="S338" i="5" s="1"/>
  <c r="R338" i="5"/>
  <c r="N339" i="5"/>
  <c r="O339" i="5"/>
  <c r="P339" i="5"/>
  <c r="Q339" i="5"/>
  <c r="S339" i="5" s="1"/>
  <c r="R339" i="5"/>
  <c r="N340" i="5"/>
  <c r="P340" i="5" s="1"/>
  <c r="O340" i="5"/>
  <c r="Q340" i="5"/>
  <c r="R340" i="5"/>
  <c r="S340" i="5"/>
  <c r="N341" i="5"/>
  <c r="P341" i="5" s="1"/>
  <c r="O341" i="5"/>
  <c r="Q341" i="5"/>
  <c r="S341" i="5" s="1"/>
  <c r="R341" i="5"/>
  <c r="N342" i="5"/>
  <c r="O342" i="5"/>
  <c r="P342" i="5"/>
  <c r="Q342" i="5"/>
  <c r="S342" i="5" s="1"/>
  <c r="R342" i="5"/>
  <c r="N343" i="5"/>
  <c r="P343" i="5" s="1"/>
  <c r="O343" i="5"/>
  <c r="Q343" i="5"/>
  <c r="S343" i="5" s="1"/>
  <c r="R343" i="5"/>
  <c r="N344" i="5"/>
  <c r="P344" i="5" s="1"/>
  <c r="O344" i="5"/>
  <c r="Q344" i="5"/>
  <c r="R344" i="5"/>
  <c r="S344" i="5"/>
  <c r="N345" i="5"/>
  <c r="P345" i="5" s="1"/>
  <c r="O345" i="5"/>
  <c r="Q345" i="5"/>
  <c r="S345" i="5" s="1"/>
  <c r="R345" i="5"/>
  <c r="N346" i="5"/>
  <c r="P346" i="5" s="1"/>
  <c r="O346" i="5"/>
  <c r="Q346" i="5"/>
  <c r="S346" i="5" s="1"/>
  <c r="R346" i="5"/>
  <c r="N347" i="5"/>
  <c r="O347" i="5"/>
  <c r="P347" i="5"/>
  <c r="Q347" i="5"/>
  <c r="S347" i="5" s="1"/>
  <c r="R347" i="5"/>
  <c r="N348" i="5"/>
  <c r="P348" i="5" s="1"/>
  <c r="O348" i="5"/>
  <c r="Q348" i="5"/>
  <c r="R348" i="5"/>
  <c r="S348" i="5"/>
  <c r="N349" i="5"/>
  <c r="P349" i="5" s="1"/>
  <c r="O349" i="5"/>
  <c r="Q349" i="5"/>
  <c r="S349" i="5" s="1"/>
  <c r="R349" i="5"/>
  <c r="N350" i="5"/>
  <c r="O350" i="5"/>
  <c r="P350" i="5"/>
  <c r="Q350" i="5"/>
  <c r="S350" i="5" s="1"/>
  <c r="R350" i="5"/>
  <c r="N351" i="5"/>
  <c r="P351" i="5" s="1"/>
  <c r="O351" i="5"/>
  <c r="Q351" i="5"/>
  <c r="S351" i="5" s="1"/>
  <c r="R351" i="5"/>
  <c r="N352" i="5"/>
  <c r="P352" i="5" s="1"/>
  <c r="O352" i="5"/>
  <c r="Q352" i="5"/>
  <c r="R352" i="5"/>
  <c r="S352" i="5"/>
  <c r="N353" i="5"/>
  <c r="P353" i="5" s="1"/>
  <c r="O353" i="5"/>
  <c r="Q353" i="5"/>
  <c r="S353" i="5" s="1"/>
  <c r="R353" i="5"/>
  <c r="N354" i="5"/>
  <c r="P354" i="5" s="1"/>
  <c r="O354" i="5"/>
  <c r="Q354" i="5"/>
  <c r="S354" i="5" s="1"/>
  <c r="R354" i="5"/>
  <c r="N355" i="5"/>
  <c r="O355" i="5"/>
  <c r="P355" i="5"/>
  <c r="Q355" i="5"/>
  <c r="S355" i="5" s="1"/>
  <c r="R355" i="5"/>
  <c r="N356" i="5"/>
  <c r="P356" i="5" s="1"/>
  <c r="O356" i="5"/>
  <c r="Q356" i="5"/>
  <c r="R356" i="5"/>
  <c r="S356" i="5"/>
  <c r="N357" i="5"/>
  <c r="P357" i="5" s="1"/>
  <c r="O357" i="5"/>
  <c r="Q357" i="5"/>
  <c r="S357" i="5" s="1"/>
  <c r="R357" i="5"/>
  <c r="N358" i="5"/>
  <c r="O358" i="5"/>
  <c r="P358" i="5"/>
  <c r="Q358" i="5"/>
  <c r="S358" i="5" s="1"/>
  <c r="R358" i="5"/>
  <c r="N359" i="5"/>
  <c r="P359" i="5" s="1"/>
  <c r="O359" i="5"/>
  <c r="Q359" i="5"/>
  <c r="S359" i="5" s="1"/>
  <c r="R359" i="5"/>
  <c r="N360" i="5"/>
  <c r="P360" i="5" s="1"/>
  <c r="O360" i="5"/>
  <c r="Q360" i="5"/>
  <c r="R360" i="5"/>
  <c r="S360" i="5"/>
  <c r="N361" i="5"/>
  <c r="P361" i="5" s="1"/>
  <c r="O361" i="5"/>
  <c r="Q361" i="5"/>
  <c r="S361" i="5" s="1"/>
  <c r="R361" i="5"/>
  <c r="N362" i="5"/>
  <c r="P362" i="5" s="1"/>
  <c r="O362" i="5"/>
  <c r="Q362" i="5"/>
  <c r="S362" i="5" s="1"/>
  <c r="R362" i="5"/>
  <c r="N363" i="5"/>
  <c r="O363" i="5"/>
  <c r="P363" i="5"/>
  <c r="Q363" i="5"/>
  <c r="S363" i="5" s="1"/>
  <c r="R363" i="5"/>
  <c r="N364" i="5"/>
  <c r="P364" i="5" s="1"/>
  <c r="O364" i="5"/>
  <c r="Q364" i="5"/>
  <c r="R364" i="5"/>
  <c r="S364" i="5"/>
  <c r="N365" i="5"/>
  <c r="P365" i="5" s="1"/>
  <c r="O365" i="5"/>
  <c r="Q365" i="5"/>
  <c r="S365" i="5" s="1"/>
  <c r="R365" i="5"/>
  <c r="N366" i="5"/>
  <c r="O366" i="5"/>
  <c r="P366" i="5"/>
  <c r="Q366" i="5"/>
  <c r="S366" i="5" s="1"/>
  <c r="R366" i="5"/>
  <c r="N367" i="5"/>
  <c r="P367" i="5" s="1"/>
  <c r="O367" i="5"/>
  <c r="Q367" i="5"/>
  <c r="S367" i="5" s="1"/>
  <c r="R367" i="5"/>
  <c r="N368" i="5"/>
  <c r="P368" i="5" s="1"/>
  <c r="O368" i="5"/>
  <c r="Q368" i="5"/>
  <c r="R368" i="5"/>
  <c r="S368" i="5"/>
  <c r="N369" i="5"/>
  <c r="P369" i="5" s="1"/>
  <c r="O369" i="5"/>
  <c r="Q369" i="5"/>
  <c r="S369" i="5" s="1"/>
  <c r="R369" i="5"/>
  <c r="N370" i="5"/>
  <c r="P370" i="5" s="1"/>
  <c r="O370" i="5"/>
  <c r="Q370" i="5"/>
  <c r="S370" i="5" s="1"/>
  <c r="R370" i="5"/>
  <c r="N371" i="5"/>
  <c r="O371" i="5"/>
  <c r="P371" i="5"/>
  <c r="Q371" i="5"/>
  <c r="S371" i="5" s="1"/>
  <c r="R371" i="5"/>
  <c r="N372" i="5"/>
  <c r="P372" i="5" s="1"/>
  <c r="O372" i="5"/>
  <c r="Q372" i="5"/>
  <c r="R372" i="5"/>
  <c r="S372" i="5"/>
  <c r="N373" i="5"/>
  <c r="P373" i="5" s="1"/>
  <c r="O373" i="5"/>
  <c r="Q373" i="5"/>
  <c r="S373" i="5" s="1"/>
  <c r="R373" i="5"/>
  <c r="N374" i="5"/>
  <c r="O374" i="5"/>
  <c r="P374" i="5"/>
  <c r="Q374" i="5"/>
  <c r="S374" i="5" s="1"/>
  <c r="R374" i="5"/>
  <c r="N375" i="5"/>
  <c r="P375" i="5" s="1"/>
  <c r="O375" i="5"/>
  <c r="Q375" i="5"/>
  <c r="S375" i="5" s="1"/>
  <c r="R375" i="5"/>
  <c r="N376" i="5"/>
  <c r="P376" i="5" s="1"/>
  <c r="O376" i="5"/>
  <c r="Q376" i="5"/>
  <c r="R376" i="5"/>
  <c r="S376" i="5"/>
  <c r="N377" i="5"/>
  <c r="P377" i="5" s="1"/>
  <c r="O377" i="5"/>
  <c r="Q377" i="5"/>
  <c r="S377" i="5" s="1"/>
  <c r="R377" i="5"/>
  <c r="N378" i="5"/>
  <c r="P378" i="5" s="1"/>
  <c r="O378" i="5"/>
  <c r="Q378" i="5"/>
  <c r="S378" i="5" s="1"/>
  <c r="R378" i="5"/>
  <c r="N379" i="5"/>
  <c r="O379" i="5"/>
  <c r="P379" i="5"/>
  <c r="Q379" i="5"/>
  <c r="S379" i="5" s="1"/>
  <c r="R379" i="5"/>
  <c r="N380" i="5"/>
  <c r="P380" i="5" s="1"/>
  <c r="O380" i="5"/>
  <c r="Q380" i="5"/>
  <c r="R380" i="5"/>
  <c r="S380" i="5"/>
  <c r="N381" i="5"/>
  <c r="P381" i="5" s="1"/>
  <c r="O381" i="5"/>
  <c r="Q381" i="5"/>
  <c r="S381" i="5" s="1"/>
  <c r="R381" i="5"/>
  <c r="N382" i="5"/>
  <c r="O382" i="5"/>
  <c r="P382" i="5"/>
  <c r="Q382" i="5"/>
  <c r="S382" i="5" s="1"/>
  <c r="R382" i="5"/>
  <c r="N383" i="5"/>
  <c r="P383" i="5" s="1"/>
  <c r="O383" i="5"/>
  <c r="Q383" i="5"/>
  <c r="S383" i="5" s="1"/>
  <c r="R383" i="5"/>
  <c r="N384" i="5"/>
  <c r="P384" i="5" s="1"/>
  <c r="O384" i="5"/>
  <c r="Q384" i="5"/>
  <c r="R384" i="5"/>
  <c r="S384" i="5"/>
  <c r="N385" i="5"/>
  <c r="P385" i="5" s="1"/>
  <c r="O385" i="5"/>
  <c r="Q385" i="5"/>
  <c r="S385" i="5" s="1"/>
  <c r="R385" i="5"/>
  <c r="N386" i="5"/>
  <c r="P386" i="5" s="1"/>
  <c r="O386" i="5"/>
  <c r="Q386" i="5"/>
  <c r="S386" i="5" s="1"/>
  <c r="R386" i="5"/>
  <c r="N387" i="5"/>
  <c r="O387" i="5"/>
  <c r="P387" i="5"/>
  <c r="Q387" i="5"/>
  <c r="S387" i="5" s="1"/>
  <c r="R387" i="5"/>
  <c r="N388" i="5"/>
  <c r="P388" i="5" s="1"/>
  <c r="O388" i="5"/>
  <c r="Q388" i="5"/>
  <c r="R388" i="5"/>
  <c r="S388" i="5"/>
  <c r="N389" i="5"/>
  <c r="P389" i="5" s="1"/>
  <c r="O389" i="5"/>
  <c r="Q389" i="5"/>
  <c r="S389" i="5" s="1"/>
  <c r="R389" i="5"/>
  <c r="N390" i="5"/>
  <c r="O390" i="5"/>
  <c r="P390" i="5"/>
  <c r="Q390" i="5"/>
  <c r="S390" i="5" s="1"/>
  <c r="R390" i="5"/>
  <c r="N391" i="5"/>
  <c r="P391" i="5" s="1"/>
  <c r="O391" i="5"/>
  <c r="Q391" i="5"/>
  <c r="S391" i="5" s="1"/>
  <c r="R391" i="5"/>
  <c r="N392" i="5"/>
  <c r="P392" i="5" s="1"/>
  <c r="O392" i="5"/>
  <c r="Q392" i="5"/>
  <c r="R392" i="5"/>
  <c r="S392" i="5"/>
  <c r="N393" i="5"/>
  <c r="P393" i="5" s="1"/>
  <c r="O393" i="5"/>
  <c r="Q393" i="5"/>
  <c r="S393" i="5" s="1"/>
  <c r="R393" i="5"/>
  <c r="N394" i="5"/>
  <c r="P394" i="5" s="1"/>
  <c r="O394" i="5"/>
  <c r="Q394" i="5"/>
  <c r="R394" i="5"/>
  <c r="S394" i="5"/>
  <c r="N395" i="5"/>
  <c r="O395" i="5"/>
  <c r="P395" i="5"/>
  <c r="Q395" i="5"/>
  <c r="S395" i="5" s="1"/>
  <c r="R395" i="5"/>
  <c r="N396" i="5"/>
  <c r="O396" i="5"/>
  <c r="P396" i="5"/>
  <c r="Q396" i="5"/>
  <c r="R396" i="5"/>
  <c r="S396" i="5"/>
  <c r="N397" i="5"/>
  <c r="P397" i="5" s="1"/>
  <c r="O397" i="5"/>
  <c r="Q397" i="5"/>
  <c r="S397" i="5" s="1"/>
  <c r="R397" i="5"/>
  <c r="N398" i="5"/>
  <c r="P398" i="5" s="1"/>
  <c r="O398" i="5"/>
  <c r="Q398" i="5"/>
  <c r="S398" i="5" s="1"/>
  <c r="R398" i="5"/>
  <c r="N399" i="5"/>
  <c r="P399" i="5" s="1"/>
  <c r="O399" i="5"/>
  <c r="Q399" i="5"/>
  <c r="S399" i="5" s="1"/>
  <c r="R399" i="5"/>
  <c r="N400" i="5"/>
  <c r="P400" i="5" s="1"/>
  <c r="O400" i="5"/>
  <c r="Q400" i="5"/>
  <c r="R400" i="5"/>
  <c r="S400" i="5"/>
  <c r="N401" i="5"/>
  <c r="P401" i="5" s="1"/>
  <c r="O401" i="5"/>
  <c r="Q401" i="5"/>
  <c r="S401" i="5" s="1"/>
  <c r="R401" i="5"/>
  <c r="N402" i="5"/>
  <c r="P402" i="5" s="1"/>
  <c r="O402" i="5"/>
  <c r="Q402" i="5"/>
  <c r="S402" i="5" s="1"/>
  <c r="R402" i="5"/>
  <c r="N403" i="5"/>
  <c r="O403" i="5"/>
  <c r="P403" i="5"/>
  <c r="Q403" i="5"/>
  <c r="S403" i="5" s="1"/>
  <c r="R403" i="5"/>
  <c r="N404" i="5"/>
  <c r="P404" i="5" s="1"/>
  <c r="O404" i="5"/>
  <c r="Q404" i="5"/>
  <c r="R404" i="5"/>
  <c r="S404" i="5"/>
  <c r="N405" i="5"/>
  <c r="P405" i="5" s="1"/>
  <c r="O405" i="5"/>
  <c r="Q405" i="5"/>
  <c r="S405" i="5" s="1"/>
  <c r="R405" i="5"/>
  <c r="N406" i="5"/>
  <c r="O406" i="5"/>
  <c r="P406" i="5"/>
  <c r="Q406" i="5"/>
  <c r="S406" i="5" s="1"/>
  <c r="R406" i="5"/>
  <c r="N407" i="5"/>
  <c r="P407" i="5" s="1"/>
  <c r="O407" i="5"/>
  <c r="Q407" i="5"/>
  <c r="S407" i="5" s="1"/>
  <c r="R407" i="5"/>
  <c r="N408" i="5"/>
  <c r="P408" i="5" s="1"/>
  <c r="O408" i="5"/>
  <c r="Q408" i="5"/>
  <c r="S408" i="5" s="1"/>
  <c r="R408" i="5"/>
  <c r="N409" i="5"/>
  <c r="P409" i="5" s="1"/>
  <c r="O409" i="5"/>
  <c r="Q409" i="5"/>
  <c r="S409" i="5" s="1"/>
  <c r="R409" i="5"/>
  <c r="N410" i="5"/>
  <c r="P410" i="5" s="1"/>
  <c r="O410" i="5"/>
  <c r="Q410" i="5"/>
  <c r="R410" i="5"/>
  <c r="S410" i="5"/>
  <c r="N411" i="5"/>
  <c r="O411" i="5"/>
  <c r="P411" i="5"/>
  <c r="Q411" i="5"/>
  <c r="S411" i="5" s="1"/>
  <c r="R411" i="5"/>
  <c r="N412" i="5"/>
  <c r="O412" i="5"/>
  <c r="P412" i="5"/>
  <c r="Q412" i="5"/>
  <c r="R412" i="5"/>
  <c r="S412" i="5"/>
  <c r="N413" i="5"/>
  <c r="P413" i="5" s="1"/>
  <c r="O413" i="5"/>
  <c r="Q413" i="5"/>
  <c r="S413" i="5" s="1"/>
  <c r="R413" i="5"/>
  <c r="N414" i="5"/>
  <c r="P414" i="5" s="1"/>
  <c r="O414" i="5"/>
  <c r="Q414" i="5"/>
  <c r="S414" i="5" s="1"/>
  <c r="R414" i="5"/>
  <c r="N415" i="5"/>
  <c r="P415" i="5" s="1"/>
  <c r="O415" i="5"/>
  <c r="Q415" i="5"/>
  <c r="S415" i="5" s="1"/>
  <c r="R415" i="5"/>
  <c r="N416" i="5"/>
  <c r="P416" i="5" s="1"/>
  <c r="O416" i="5"/>
  <c r="Q416" i="5"/>
  <c r="R416" i="5"/>
  <c r="S416" i="5"/>
  <c r="N417" i="5"/>
  <c r="P417" i="5" s="1"/>
  <c r="O417" i="5"/>
  <c r="Q417" i="5"/>
  <c r="S417" i="5" s="1"/>
  <c r="R417" i="5"/>
  <c r="N418" i="5"/>
  <c r="P418" i="5" s="1"/>
  <c r="O418" i="5"/>
  <c r="Q418" i="5"/>
  <c r="S418" i="5" s="1"/>
  <c r="R418" i="5"/>
  <c r="N419" i="5"/>
  <c r="O419" i="5"/>
  <c r="P419" i="5"/>
  <c r="Q419" i="5"/>
  <c r="S419" i="5" s="1"/>
  <c r="R419" i="5"/>
  <c r="N420" i="5"/>
  <c r="P420" i="5" s="1"/>
  <c r="O420" i="5"/>
  <c r="Q420" i="5"/>
  <c r="R420" i="5"/>
  <c r="S420" i="5"/>
  <c r="N421" i="5"/>
  <c r="P421" i="5" s="1"/>
  <c r="O421" i="5"/>
  <c r="Q421" i="5"/>
  <c r="S421" i="5" s="1"/>
  <c r="R421" i="5"/>
  <c r="N422" i="5"/>
  <c r="O422" i="5"/>
  <c r="P422" i="5"/>
  <c r="Q422" i="5"/>
  <c r="S422" i="5" s="1"/>
  <c r="R422" i="5"/>
  <c r="N423" i="5"/>
  <c r="P423" i="5" s="1"/>
  <c r="O423" i="5"/>
  <c r="Q423" i="5"/>
  <c r="S423" i="5" s="1"/>
  <c r="R423" i="5"/>
  <c r="N424" i="5"/>
  <c r="P424" i="5" s="1"/>
  <c r="O424" i="5"/>
  <c r="Q424" i="5"/>
  <c r="S424" i="5" s="1"/>
  <c r="R424" i="5"/>
  <c r="N425" i="5"/>
  <c r="P425" i="5" s="1"/>
  <c r="O425" i="5"/>
  <c r="Q425" i="5"/>
  <c r="S425" i="5" s="1"/>
  <c r="R425" i="5"/>
  <c r="N426" i="5"/>
  <c r="P426" i="5" s="1"/>
  <c r="O426" i="5"/>
  <c r="Q426" i="5"/>
  <c r="R426" i="5"/>
  <c r="S426" i="5"/>
  <c r="N427" i="5"/>
  <c r="O427" i="5"/>
  <c r="P427" i="5"/>
  <c r="Q427" i="5"/>
  <c r="S427" i="5" s="1"/>
  <c r="R427" i="5"/>
  <c r="N428" i="5"/>
  <c r="O428" i="5"/>
  <c r="P428" i="5"/>
  <c r="Q428" i="5"/>
  <c r="R428" i="5"/>
  <c r="S428" i="5"/>
  <c r="N429" i="5"/>
  <c r="P429" i="5" s="1"/>
  <c r="O429" i="5"/>
  <c r="Q429" i="5"/>
  <c r="S429" i="5" s="1"/>
  <c r="R429" i="5"/>
  <c r="N430" i="5"/>
  <c r="P430" i="5" s="1"/>
  <c r="O430" i="5"/>
  <c r="Q430" i="5"/>
  <c r="S430" i="5" s="1"/>
  <c r="R430" i="5"/>
  <c r="N431" i="5"/>
  <c r="P431" i="5" s="1"/>
  <c r="O431" i="5"/>
  <c r="Q431" i="5"/>
  <c r="S431" i="5" s="1"/>
  <c r="R431" i="5"/>
  <c r="N432" i="5"/>
  <c r="P432" i="5" s="1"/>
  <c r="O432" i="5"/>
  <c r="Q432" i="5"/>
  <c r="R432" i="5"/>
  <c r="S432" i="5"/>
  <c r="N433" i="5"/>
  <c r="P433" i="5" s="1"/>
  <c r="O433" i="5"/>
  <c r="Q433" i="5"/>
  <c r="S433" i="5" s="1"/>
  <c r="R433" i="5"/>
  <c r="N434" i="5"/>
  <c r="P434" i="5" s="1"/>
  <c r="O434" i="5"/>
  <c r="Q434" i="5"/>
  <c r="S434" i="5" s="1"/>
  <c r="R434" i="5"/>
  <c r="N435" i="5"/>
  <c r="O435" i="5"/>
  <c r="P435" i="5"/>
  <c r="Q435" i="5"/>
  <c r="S435" i="5" s="1"/>
  <c r="R435" i="5"/>
  <c r="N436" i="5"/>
  <c r="P436" i="5" s="1"/>
  <c r="O436" i="5"/>
  <c r="Q436" i="5"/>
  <c r="R436" i="5"/>
  <c r="S436" i="5"/>
  <c r="N437" i="5"/>
  <c r="P437" i="5" s="1"/>
  <c r="O437" i="5"/>
  <c r="Q437" i="5"/>
  <c r="S437" i="5" s="1"/>
  <c r="R437" i="5"/>
  <c r="N438" i="5"/>
  <c r="O438" i="5"/>
  <c r="P438" i="5"/>
  <c r="Q438" i="5"/>
  <c r="S438" i="5" s="1"/>
  <c r="R438" i="5"/>
  <c r="N439" i="5"/>
  <c r="P439" i="5" s="1"/>
  <c r="O439" i="5"/>
  <c r="Q439" i="5"/>
  <c r="S439" i="5" s="1"/>
  <c r="R439" i="5"/>
  <c r="N440" i="5"/>
  <c r="P440" i="5" s="1"/>
  <c r="O440" i="5"/>
  <c r="Q440" i="5"/>
  <c r="S440" i="5" s="1"/>
  <c r="R440" i="5"/>
  <c r="N441" i="5"/>
  <c r="P441" i="5" s="1"/>
  <c r="O441" i="5"/>
  <c r="Q441" i="5"/>
  <c r="S441" i="5" s="1"/>
  <c r="R441" i="5"/>
  <c r="N442" i="5"/>
  <c r="P442" i="5" s="1"/>
  <c r="O442" i="5"/>
  <c r="Q442" i="5"/>
  <c r="R442" i="5"/>
  <c r="S442" i="5"/>
  <c r="N443" i="5"/>
  <c r="O443" i="5"/>
  <c r="P443" i="5"/>
  <c r="Q443" i="5"/>
  <c r="S443" i="5" s="1"/>
  <c r="R443" i="5"/>
  <c r="N444" i="5"/>
  <c r="O444" i="5"/>
  <c r="P444" i="5"/>
  <c r="Q444" i="5"/>
  <c r="R444" i="5"/>
  <c r="S444" i="5"/>
  <c r="N445" i="5"/>
  <c r="P445" i="5" s="1"/>
  <c r="O445" i="5"/>
  <c r="Q445" i="5"/>
  <c r="S445" i="5" s="1"/>
  <c r="R445" i="5"/>
  <c r="N446" i="5"/>
  <c r="P446" i="5" s="1"/>
  <c r="O446" i="5"/>
  <c r="Q446" i="5"/>
  <c r="S446" i="5" s="1"/>
  <c r="R446" i="5"/>
  <c r="N447" i="5"/>
  <c r="P447" i="5" s="1"/>
  <c r="O447" i="5"/>
  <c r="Q447" i="5"/>
  <c r="S447" i="5" s="1"/>
  <c r="R447" i="5"/>
  <c r="N448" i="5"/>
  <c r="P448" i="5" s="1"/>
  <c r="O448" i="5"/>
  <c r="Q448" i="5"/>
  <c r="R448" i="5"/>
  <c r="S448" i="5"/>
  <c r="N449" i="5"/>
  <c r="P449" i="5" s="1"/>
  <c r="O449" i="5"/>
  <c r="Q449" i="5"/>
  <c r="S449" i="5" s="1"/>
  <c r="R449" i="5"/>
  <c r="N450" i="5"/>
  <c r="P450" i="5" s="1"/>
  <c r="O450" i="5"/>
  <c r="Q450" i="5"/>
  <c r="S450" i="5" s="1"/>
  <c r="R450" i="5"/>
  <c r="N451" i="5"/>
  <c r="O451" i="5"/>
  <c r="P451" i="5"/>
  <c r="Q451" i="5"/>
  <c r="S451" i="5" s="1"/>
  <c r="R451" i="5"/>
  <c r="N452" i="5"/>
  <c r="P452" i="5" s="1"/>
  <c r="O452" i="5"/>
  <c r="Q452" i="5"/>
  <c r="R452" i="5"/>
  <c r="S452" i="5"/>
  <c r="N453" i="5"/>
  <c r="P453" i="5" s="1"/>
  <c r="O453" i="5"/>
  <c r="Q453" i="5"/>
  <c r="S453" i="5" s="1"/>
  <c r="R453" i="5"/>
  <c r="N454" i="5"/>
  <c r="O454" i="5"/>
  <c r="P454" i="5"/>
  <c r="Q454" i="5"/>
  <c r="S454" i="5" s="1"/>
  <c r="R454" i="5"/>
  <c r="N455" i="5"/>
  <c r="P455" i="5" s="1"/>
  <c r="O455" i="5"/>
  <c r="Q455" i="5"/>
  <c r="S455" i="5" s="1"/>
  <c r="R455" i="5"/>
  <c r="N456" i="5"/>
  <c r="P456" i="5" s="1"/>
  <c r="O456" i="5"/>
  <c r="Q456" i="5"/>
  <c r="S456" i="5" s="1"/>
  <c r="R456" i="5"/>
  <c r="N457" i="5"/>
  <c r="P457" i="5" s="1"/>
  <c r="O457" i="5"/>
  <c r="Q457" i="5"/>
  <c r="S457" i="5" s="1"/>
  <c r="R457" i="5"/>
  <c r="N458" i="5"/>
  <c r="P458" i="5" s="1"/>
  <c r="O458" i="5"/>
  <c r="Q458" i="5"/>
  <c r="R458" i="5"/>
  <c r="S458" i="5"/>
  <c r="N459" i="5"/>
  <c r="O459" i="5"/>
  <c r="P459" i="5"/>
  <c r="Q459" i="5"/>
  <c r="S459" i="5" s="1"/>
  <c r="R459" i="5"/>
  <c r="N460" i="5"/>
  <c r="O460" i="5"/>
  <c r="P460" i="5"/>
  <c r="Q460" i="5"/>
  <c r="R460" i="5"/>
  <c r="S460" i="5"/>
  <c r="N461" i="5"/>
  <c r="P461" i="5" s="1"/>
  <c r="O461" i="5"/>
  <c r="Q461" i="5"/>
  <c r="S461" i="5" s="1"/>
  <c r="R461" i="5"/>
  <c r="N462" i="5"/>
  <c r="P462" i="5" s="1"/>
  <c r="O462" i="5"/>
  <c r="Q462" i="5"/>
  <c r="S462" i="5" s="1"/>
  <c r="R462" i="5"/>
  <c r="N463" i="5"/>
  <c r="P463" i="5" s="1"/>
  <c r="O463" i="5"/>
  <c r="Q463" i="5"/>
  <c r="S463" i="5" s="1"/>
  <c r="R463" i="5"/>
  <c r="N464" i="5"/>
  <c r="P464" i="5" s="1"/>
  <c r="O464" i="5"/>
  <c r="Q464" i="5"/>
  <c r="R464" i="5"/>
  <c r="S464" i="5"/>
  <c r="N465" i="5"/>
  <c r="P465" i="5" s="1"/>
  <c r="O465" i="5"/>
  <c r="Q465" i="5"/>
  <c r="S465" i="5" s="1"/>
  <c r="R465" i="5"/>
  <c r="N466" i="5"/>
  <c r="P466" i="5" s="1"/>
  <c r="O466" i="5"/>
  <c r="Q466" i="5"/>
  <c r="S466" i="5" s="1"/>
  <c r="R466" i="5"/>
  <c r="N467" i="5"/>
  <c r="O467" i="5"/>
  <c r="P467" i="5"/>
  <c r="Q467" i="5"/>
  <c r="S467" i="5" s="1"/>
  <c r="R467" i="5"/>
  <c r="N468" i="5"/>
  <c r="P468" i="5" s="1"/>
  <c r="O468" i="5"/>
  <c r="Q468" i="5"/>
  <c r="R468" i="5"/>
  <c r="S468" i="5"/>
  <c r="N469" i="5"/>
  <c r="P469" i="5" s="1"/>
  <c r="O469" i="5"/>
  <c r="Q469" i="5"/>
  <c r="S469" i="5" s="1"/>
  <c r="R469" i="5"/>
  <c r="N470" i="5"/>
  <c r="O470" i="5"/>
  <c r="P470" i="5"/>
  <c r="Q470" i="5"/>
  <c r="S470" i="5" s="1"/>
  <c r="R470" i="5"/>
  <c r="N471" i="5"/>
  <c r="P471" i="5" s="1"/>
  <c r="O471" i="5"/>
  <c r="Q471" i="5"/>
  <c r="S471" i="5" s="1"/>
  <c r="R471" i="5"/>
  <c r="N472" i="5"/>
  <c r="P472" i="5" s="1"/>
  <c r="O472" i="5"/>
  <c r="Q472" i="5"/>
  <c r="S472" i="5" s="1"/>
  <c r="R472" i="5"/>
  <c r="N473" i="5"/>
  <c r="P473" i="5" s="1"/>
  <c r="O473" i="5"/>
  <c r="Q473" i="5"/>
  <c r="S473" i="5" s="1"/>
  <c r="R473" i="5"/>
  <c r="N474" i="5"/>
  <c r="P474" i="5" s="1"/>
  <c r="O474" i="5"/>
  <c r="Q474" i="5"/>
  <c r="R474" i="5"/>
  <c r="S474" i="5"/>
  <c r="N475" i="5"/>
  <c r="O475" i="5"/>
  <c r="P475" i="5"/>
  <c r="Q475" i="5"/>
  <c r="S475" i="5" s="1"/>
  <c r="R475" i="5"/>
  <c r="N476" i="5"/>
  <c r="O476" i="5"/>
  <c r="P476" i="5"/>
  <c r="Q476" i="5"/>
  <c r="R476" i="5"/>
  <c r="S476" i="5"/>
  <c r="N477" i="5"/>
  <c r="P477" i="5" s="1"/>
  <c r="O477" i="5"/>
  <c r="Q477" i="5"/>
  <c r="S477" i="5" s="1"/>
  <c r="R477" i="5"/>
  <c r="N478" i="5"/>
  <c r="P478" i="5" s="1"/>
  <c r="O478" i="5"/>
  <c r="Q478" i="5"/>
  <c r="S478" i="5" s="1"/>
  <c r="R478" i="5"/>
  <c r="N479" i="5"/>
  <c r="P479" i="5" s="1"/>
  <c r="O479" i="5"/>
  <c r="Q479" i="5"/>
  <c r="S479" i="5" s="1"/>
  <c r="R479" i="5"/>
  <c r="N480" i="5"/>
  <c r="P480" i="5" s="1"/>
  <c r="O480" i="5"/>
  <c r="Q480" i="5"/>
  <c r="R480" i="5"/>
  <c r="S480" i="5"/>
  <c r="N481" i="5"/>
  <c r="P481" i="5" s="1"/>
  <c r="O481" i="5"/>
  <c r="Q481" i="5"/>
  <c r="S481" i="5" s="1"/>
  <c r="R481" i="5"/>
  <c r="N482" i="5"/>
  <c r="P482" i="5" s="1"/>
  <c r="O482" i="5"/>
  <c r="Q482" i="5"/>
  <c r="S482" i="5" s="1"/>
  <c r="R482" i="5"/>
  <c r="N483" i="5"/>
  <c r="O483" i="5"/>
  <c r="P483" i="5"/>
  <c r="Q483" i="5"/>
  <c r="S483" i="5" s="1"/>
  <c r="R483" i="5"/>
  <c r="N484" i="5"/>
  <c r="P484" i="5" s="1"/>
  <c r="O484" i="5"/>
  <c r="Q484" i="5"/>
  <c r="R484" i="5"/>
  <c r="S484" i="5"/>
  <c r="N485" i="5"/>
  <c r="P485" i="5" s="1"/>
  <c r="O485" i="5"/>
  <c r="Q485" i="5"/>
  <c r="S485" i="5" s="1"/>
  <c r="R485" i="5"/>
  <c r="N486" i="5"/>
  <c r="O486" i="5"/>
  <c r="P486" i="5"/>
  <c r="Q486" i="5"/>
  <c r="S486" i="5" s="1"/>
  <c r="R486" i="5"/>
  <c r="N487" i="5"/>
  <c r="P487" i="5" s="1"/>
  <c r="O487" i="5"/>
  <c r="Q487" i="5"/>
  <c r="S487" i="5" s="1"/>
  <c r="R487" i="5"/>
  <c r="N488" i="5"/>
  <c r="P488" i="5" s="1"/>
  <c r="O488" i="5"/>
  <c r="Q488" i="5"/>
  <c r="S488" i="5" s="1"/>
  <c r="R488" i="5"/>
  <c r="N489" i="5"/>
  <c r="P489" i="5" s="1"/>
  <c r="O489" i="5"/>
  <c r="Q489" i="5"/>
  <c r="S489" i="5" s="1"/>
  <c r="R489" i="5"/>
  <c r="N490" i="5"/>
  <c r="P490" i="5" s="1"/>
  <c r="O490" i="5"/>
  <c r="Q490" i="5"/>
  <c r="R490" i="5"/>
  <c r="S490" i="5"/>
  <c r="N491" i="5"/>
  <c r="O491" i="5"/>
  <c r="P491" i="5"/>
  <c r="Q491" i="5"/>
  <c r="S491" i="5" s="1"/>
  <c r="R491" i="5"/>
  <c r="N492" i="5"/>
  <c r="O492" i="5"/>
  <c r="P492" i="5"/>
  <c r="Q492" i="5"/>
  <c r="R492" i="5"/>
  <c r="S492" i="5"/>
  <c r="N493" i="5"/>
  <c r="P493" i="5" s="1"/>
  <c r="O493" i="5"/>
  <c r="Q493" i="5"/>
  <c r="S493" i="5" s="1"/>
  <c r="R493" i="5"/>
  <c r="N494" i="5"/>
  <c r="P494" i="5" s="1"/>
  <c r="O494" i="5"/>
  <c r="Q494" i="5"/>
  <c r="S494" i="5" s="1"/>
  <c r="R494" i="5"/>
  <c r="N495" i="5"/>
  <c r="P495" i="5" s="1"/>
  <c r="O495" i="5"/>
  <c r="Q495" i="5"/>
  <c r="S495" i="5" s="1"/>
  <c r="R495" i="5"/>
  <c r="N496" i="5"/>
  <c r="P496" i="5" s="1"/>
  <c r="O496" i="5"/>
  <c r="Q496" i="5"/>
  <c r="R496" i="5"/>
  <c r="S496" i="5"/>
  <c r="N497" i="5"/>
  <c r="P497" i="5" s="1"/>
  <c r="O497" i="5"/>
  <c r="Q497" i="5"/>
  <c r="S497" i="5" s="1"/>
  <c r="R497" i="5"/>
  <c r="N498" i="5"/>
  <c r="P498" i="5" s="1"/>
  <c r="O498" i="5"/>
  <c r="Q498" i="5"/>
  <c r="S498" i="5" s="1"/>
  <c r="R498" i="5"/>
  <c r="N499" i="5"/>
  <c r="O499" i="5"/>
  <c r="P499" i="5"/>
  <c r="Q499" i="5"/>
  <c r="S499" i="5" s="1"/>
  <c r="R499" i="5"/>
  <c r="N500" i="5"/>
  <c r="P500" i="5" s="1"/>
  <c r="O500" i="5"/>
  <c r="Q500" i="5"/>
  <c r="R500" i="5"/>
  <c r="S500" i="5"/>
  <c r="N501" i="5"/>
  <c r="P501" i="5" s="1"/>
  <c r="O501" i="5"/>
  <c r="Q501" i="5"/>
  <c r="S501" i="5" s="1"/>
  <c r="R501" i="5"/>
  <c r="N502" i="5"/>
  <c r="O502" i="5"/>
  <c r="P502" i="5"/>
  <c r="Q502" i="5"/>
  <c r="S502" i="5" s="1"/>
  <c r="R502" i="5"/>
  <c r="N503" i="5"/>
  <c r="P503" i="5" s="1"/>
  <c r="O503" i="5"/>
  <c r="Q503" i="5"/>
  <c r="S503" i="5" s="1"/>
  <c r="R503" i="5"/>
  <c r="N504" i="5"/>
  <c r="P504" i="5" s="1"/>
  <c r="O504" i="5"/>
  <c r="Q504" i="5"/>
  <c r="S504" i="5" s="1"/>
  <c r="R504" i="5"/>
  <c r="N505" i="5"/>
  <c r="P505" i="5" s="1"/>
  <c r="O505" i="5"/>
  <c r="Q505" i="5"/>
  <c r="S505" i="5" s="1"/>
  <c r="R505" i="5"/>
  <c r="N506" i="5"/>
  <c r="P506" i="5" s="1"/>
  <c r="O506" i="5"/>
  <c r="Q506" i="5"/>
  <c r="R506" i="5"/>
  <c r="S506" i="5"/>
  <c r="N507" i="5"/>
  <c r="O507" i="5"/>
  <c r="P507" i="5"/>
  <c r="Q507" i="5"/>
  <c r="S507" i="5" s="1"/>
  <c r="R507" i="5"/>
  <c r="N508" i="5"/>
  <c r="O508" i="5"/>
  <c r="P508" i="5"/>
  <c r="Q508" i="5"/>
  <c r="R508" i="5"/>
  <c r="S508" i="5"/>
  <c r="N509" i="5"/>
  <c r="P509" i="5" s="1"/>
  <c r="O509" i="5"/>
  <c r="Q509" i="5"/>
  <c r="S509" i="5" s="1"/>
  <c r="R509" i="5"/>
  <c r="N510" i="5"/>
  <c r="P510" i="5" s="1"/>
  <c r="O510" i="5"/>
  <c r="Q510" i="5"/>
  <c r="S510" i="5" s="1"/>
  <c r="R510" i="5"/>
  <c r="N511" i="5"/>
  <c r="P511" i="5" s="1"/>
  <c r="O511" i="5"/>
  <c r="Q511" i="5"/>
  <c r="S511" i="5" s="1"/>
  <c r="R511" i="5"/>
  <c r="N512" i="5"/>
  <c r="P512" i="5" s="1"/>
  <c r="O512" i="5"/>
  <c r="Q512" i="5"/>
  <c r="R512" i="5"/>
  <c r="S512" i="5"/>
  <c r="N513" i="5"/>
  <c r="P513" i="5" s="1"/>
  <c r="O513" i="5"/>
  <c r="Q513" i="5"/>
  <c r="S513" i="5" s="1"/>
  <c r="R513" i="5"/>
  <c r="N514" i="5"/>
  <c r="P514" i="5" s="1"/>
  <c r="O514" i="5"/>
  <c r="Q514" i="5"/>
  <c r="S514" i="5" s="1"/>
  <c r="R514" i="5"/>
  <c r="N515" i="5"/>
  <c r="O515" i="5"/>
  <c r="P515" i="5"/>
  <c r="Q515" i="5"/>
  <c r="S515" i="5" s="1"/>
  <c r="R515" i="5"/>
  <c r="N516" i="5"/>
  <c r="P516" i="5" s="1"/>
  <c r="O516" i="5"/>
  <c r="Q516" i="5"/>
  <c r="R516" i="5"/>
  <c r="S516" i="5"/>
  <c r="N517" i="5"/>
  <c r="P517" i="5" s="1"/>
  <c r="O517" i="5"/>
  <c r="Q517" i="5"/>
  <c r="S517" i="5" s="1"/>
  <c r="R517" i="5"/>
  <c r="N518" i="5"/>
  <c r="O518" i="5"/>
  <c r="P518" i="5"/>
  <c r="Q518" i="5"/>
  <c r="S518" i="5" s="1"/>
  <c r="R518" i="5"/>
  <c r="N519" i="5"/>
  <c r="P519" i="5" s="1"/>
  <c r="O519" i="5"/>
  <c r="Q519" i="5"/>
  <c r="S519" i="5" s="1"/>
  <c r="R519" i="5"/>
  <c r="N520" i="5"/>
  <c r="P520" i="5" s="1"/>
  <c r="O520" i="5"/>
  <c r="Q520" i="5"/>
  <c r="S520" i="5" s="1"/>
  <c r="R520" i="5"/>
  <c r="N521" i="5"/>
  <c r="P521" i="5" s="1"/>
  <c r="O521" i="5"/>
  <c r="Q521" i="5"/>
  <c r="S521" i="5" s="1"/>
  <c r="R521" i="5"/>
  <c r="N522" i="5"/>
  <c r="P522" i="5" s="1"/>
  <c r="O522" i="5"/>
  <c r="Q522" i="5"/>
  <c r="R522" i="5"/>
  <c r="S522" i="5"/>
  <c r="N523" i="5"/>
  <c r="O523" i="5"/>
  <c r="P523" i="5"/>
  <c r="Q523" i="5"/>
  <c r="S523" i="5" s="1"/>
  <c r="R523" i="5"/>
  <c r="N524" i="5"/>
  <c r="O524" i="5"/>
  <c r="P524" i="5"/>
  <c r="Q524" i="5"/>
  <c r="R524" i="5"/>
  <c r="S524" i="5"/>
  <c r="N525" i="5"/>
  <c r="P525" i="5" s="1"/>
  <c r="O525" i="5"/>
  <c r="Q525" i="5"/>
  <c r="S525" i="5" s="1"/>
  <c r="R525" i="5"/>
  <c r="N526" i="5"/>
  <c r="P526" i="5" s="1"/>
  <c r="O526" i="5"/>
  <c r="Q526" i="5"/>
  <c r="S526" i="5" s="1"/>
  <c r="R526" i="5"/>
  <c r="N527" i="5"/>
  <c r="P527" i="5" s="1"/>
  <c r="O527" i="5"/>
  <c r="Q527" i="5"/>
  <c r="S527" i="5" s="1"/>
  <c r="R527" i="5"/>
  <c r="N528" i="5"/>
  <c r="P528" i="5" s="1"/>
  <c r="O528" i="5"/>
  <c r="Q528" i="5"/>
  <c r="R528" i="5"/>
  <c r="S528" i="5"/>
  <c r="N529" i="5"/>
  <c r="P529" i="5" s="1"/>
  <c r="O529" i="5"/>
  <c r="Q529" i="5"/>
  <c r="S529" i="5" s="1"/>
  <c r="R529" i="5"/>
  <c r="N530" i="5"/>
  <c r="P530" i="5" s="1"/>
  <c r="O530" i="5"/>
  <c r="Q530" i="5"/>
  <c r="S530" i="5" s="1"/>
  <c r="R530" i="5"/>
  <c r="N531" i="5"/>
  <c r="O531" i="5"/>
  <c r="P531" i="5"/>
  <c r="Q531" i="5"/>
  <c r="S531" i="5" s="1"/>
  <c r="R531" i="5"/>
  <c r="N532" i="5"/>
  <c r="P532" i="5" s="1"/>
  <c r="O532" i="5"/>
  <c r="Q532" i="5"/>
  <c r="R532" i="5"/>
  <c r="S532" i="5"/>
  <c r="N533" i="5"/>
  <c r="P533" i="5" s="1"/>
  <c r="O533" i="5"/>
  <c r="Q533" i="5"/>
  <c r="S533" i="5" s="1"/>
  <c r="R533" i="5"/>
  <c r="N534" i="5"/>
  <c r="O534" i="5"/>
  <c r="P534" i="5"/>
  <c r="Q534" i="5"/>
  <c r="S534" i="5" s="1"/>
  <c r="R534" i="5"/>
  <c r="N535" i="5"/>
  <c r="P535" i="5" s="1"/>
  <c r="O535" i="5"/>
  <c r="Q535" i="5"/>
  <c r="S535" i="5" s="1"/>
  <c r="R535" i="5"/>
  <c r="N536" i="5"/>
  <c r="P536" i="5" s="1"/>
  <c r="O536" i="5"/>
  <c r="Q536" i="5"/>
  <c r="S536" i="5" s="1"/>
  <c r="R536" i="5"/>
  <c r="N537" i="5"/>
  <c r="O537" i="5"/>
  <c r="P537" i="5"/>
  <c r="Q537" i="5"/>
  <c r="R537" i="5"/>
  <c r="S537" i="5"/>
  <c r="N538" i="5"/>
  <c r="P538" i="5" s="1"/>
  <c r="O538" i="5"/>
  <c r="Q538" i="5"/>
  <c r="S538" i="5" s="1"/>
  <c r="R538" i="5"/>
  <c r="N539" i="5"/>
  <c r="P539" i="5" s="1"/>
  <c r="O539" i="5"/>
  <c r="Q539" i="5"/>
  <c r="S539" i="5" s="1"/>
  <c r="R539" i="5"/>
  <c r="N540" i="5"/>
  <c r="P540" i="5" s="1"/>
  <c r="O540" i="5"/>
  <c r="Q540" i="5"/>
  <c r="S540" i="5" s="1"/>
  <c r="R540" i="5"/>
  <c r="N541" i="5"/>
  <c r="O541" i="5"/>
  <c r="P541" i="5"/>
  <c r="Q541" i="5"/>
  <c r="R541" i="5"/>
  <c r="S541" i="5"/>
  <c r="N542" i="5"/>
  <c r="P542" i="5" s="1"/>
  <c r="O542" i="5"/>
  <c r="Q542" i="5"/>
  <c r="S542" i="5" s="1"/>
  <c r="R542" i="5"/>
  <c r="N543" i="5"/>
  <c r="P543" i="5" s="1"/>
  <c r="O543" i="5"/>
  <c r="Q543" i="5"/>
  <c r="S543" i="5" s="1"/>
  <c r="R543" i="5"/>
  <c r="N544" i="5"/>
  <c r="P544" i="5" s="1"/>
  <c r="O544" i="5"/>
  <c r="Q544" i="5"/>
  <c r="S544" i="5" s="1"/>
  <c r="R544" i="5"/>
  <c r="N545" i="5"/>
  <c r="P545" i="5" s="1"/>
  <c r="O545" i="5"/>
  <c r="Q545" i="5"/>
  <c r="R545" i="5"/>
  <c r="S545" i="5"/>
  <c r="N546" i="5"/>
  <c r="P546" i="5" s="1"/>
  <c r="O546" i="5"/>
  <c r="Q546" i="5"/>
  <c r="S546" i="5" s="1"/>
  <c r="R546" i="5"/>
  <c r="N547" i="5"/>
  <c r="O547" i="5"/>
  <c r="P547" i="5"/>
  <c r="Q547" i="5"/>
  <c r="S547" i="5" s="1"/>
  <c r="R547" i="5"/>
  <c r="N548" i="5"/>
  <c r="P548" i="5" s="1"/>
  <c r="O548" i="5"/>
  <c r="Q548" i="5"/>
  <c r="S548" i="5" s="1"/>
  <c r="R548" i="5"/>
  <c r="N549" i="5"/>
  <c r="P549" i="5" s="1"/>
  <c r="O549" i="5"/>
  <c r="Q549" i="5"/>
  <c r="R549" i="5"/>
  <c r="S549" i="5"/>
  <c r="N550" i="5"/>
  <c r="P550" i="5" s="1"/>
  <c r="O550" i="5"/>
  <c r="Q550" i="5"/>
  <c r="S550" i="5" s="1"/>
  <c r="R550" i="5"/>
  <c r="N551" i="5"/>
  <c r="O551" i="5"/>
  <c r="P551" i="5"/>
  <c r="Q551" i="5"/>
  <c r="S551" i="5" s="1"/>
  <c r="R551" i="5"/>
  <c r="N552" i="5"/>
  <c r="P552" i="5" s="1"/>
  <c r="O552" i="5"/>
  <c r="Q552" i="5"/>
  <c r="S552" i="5" s="1"/>
  <c r="R552" i="5"/>
  <c r="N553" i="5"/>
  <c r="O553" i="5"/>
  <c r="P553" i="5"/>
  <c r="Q553" i="5"/>
  <c r="R553" i="5"/>
  <c r="S553" i="5"/>
  <c r="N554" i="5"/>
  <c r="P554" i="5" s="1"/>
  <c r="O554" i="5"/>
  <c r="Q554" i="5"/>
  <c r="S554" i="5" s="1"/>
  <c r="R554" i="5"/>
  <c r="N555" i="5"/>
  <c r="P555" i="5" s="1"/>
  <c r="O555" i="5"/>
  <c r="Q555" i="5"/>
  <c r="S555" i="5" s="1"/>
  <c r="R555" i="5"/>
  <c r="N556" i="5"/>
  <c r="P556" i="5" s="1"/>
  <c r="O556" i="5"/>
  <c r="Q556" i="5"/>
  <c r="S556" i="5" s="1"/>
  <c r="R556" i="5"/>
  <c r="N557" i="5"/>
  <c r="O557" i="5"/>
  <c r="P557" i="5"/>
  <c r="Q557" i="5"/>
  <c r="R557" i="5"/>
  <c r="S557" i="5"/>
  <c r="N558" i="5"/>
  <c r="P558" i="5" s="1"/>
  <c r="O558" i="5"/>
  <c r="Q558" i="5"/>
  <c r="S558" i="5" s="1"/>
  <c r="R558" i="5"/>
  <c r="N559" i="5"/>
  <c r="P559" i="5" s="1"/>
  <c r="O559" i="5"/>
  <c r="Q559" i="5"/>
  <c r="S559" i="5" s="1"/>
  <c r="R559" i="5"/>
  <c r="N560" i="5"/>
  <c r="P560" i="5" s="1"/>
  <c r="O560" i="5"/>
  <c r="Q560" i="5"/>
  <c r="S560" i="5" s="1"/>
  <c r="R560" i="5"/>
  <c r="N561" i="5"/>
  <c r="P561" i="5" s="1"/>
  <c r="O561" i="5"/>
  <c r="Q561" i="5"/>
  <c r="R561" i="5"/>
  <c r="S561" i="5"/>
  <c r="N562" i="5"/>
  <c r="P562" i="5" s="1"/>
  <c r="O562" i="5"/>
  <c r="Q562" i="5"/>
  <c r="S562" i="5" s="1"/>
  <c r="R562" i="5"/>
  <c r="N563" i="5"/>
  <c r="O563" i="5"/>
  <c r="P563" i="5"/>
  <c r="Q563" i="5"/>
  <c r="S563" i="5" s="1"/>
  <c r="R563" i="5"/>
  <c r="N564" i="5"/>
  <c r="P564" i="5" s="1"/>
  <c r="O564" i="5"/>
  <c r="Q564" i="5"/>
  <c r="S564" i="5" s="1"/>
  <c r="R564" i="5"/>
  <c r="N565" i="5"/>
  <c r="P565" i="5" s="1"/>
  <c r="O565" i="5"/>
  <c r="Q565" i="5"/>
  <c r="R565" i="5"/>
  <c r="S565" i="5"/>
  <c r="N566" i="5"/>
  <c r="P566" i="5" s="1"/>
  <c r="O566" i="5"/>
  <c r="Q566" i="5"/>
  <c r="S566" i="5" s="1"/>
  <c r="R566" i="5"/>
  <c r="N567" i="5"/>
  <c r="O567" i="5"/>
  <c r="P567" i="5"/>
  <c r="Q567" i="5"/>
  <c r="S567" i="5" s="1"/>
  <c r="R567" i="5"/>
  <c r="N568" i="5"/>
  <c r="P568" i="5" s="1"/>
  <c r="O568" i="5"/>
  <c r="Q568" i="5"/>
  <c r="S568" i="5" s="1"/>
  <c r="R568" i="5"/>
  <c r="N569" i="5"/>
  <c r="O569" i="5"/>
  <c r="P569" i="5"/>
  <c r="Q569" i="5"/>
  <c r="R569" i="5"/>
  <c r="S569" i="5"/>
  <c r="N570" i="5"/>
  <c r="P570" i="5" s="1"/>
  <c r="O570" i="5"/>
  <c r="Q570" i="5"/>
  <c r="S570" i="5" s="1"/>
  <c r="R570" i="5"/>
  <c r="N571" i="5"/>
  <c r="P571" i="5" s="1"/>
  <c r="O571" i="5"/>
  <c r="Q571" i="5"/>
  <c r="S571" i="5" s="1"/>
  <c r="R571" i="5"/>
  <c r="N572" i="5"/>
  <c r="P572" i="5" s="1"/>
  <c r="O572" i="5"/>
  <c r="Q572" i="5"/>
  <c r="S572" i="5" s="1"/>
  <c r="R572" i="5"/>
  <c r="N573" i="5"/>
  <c r="O573" i="5"/>
  <c r="P573" i="5"/>
  <c r="Q573" i="5"/>
  <c r="R573" i="5"/>
  <c r="S573" i="5"/>
  <c r="N574" i="5"/>
  <c r="P574" i="5" s="1"/>
  <c r="O574" i="5"/>
  <c r="Q574" i="5"/>
  <c r="S574" i="5" s="1"/>
  <c r="R574" i="5"/>
  <c r="N575" i="5"/>
  <c r="P575" i="5" s="1"/>
  <c r="O575" i="5"/>
  <c r="Q575" i="5"/>
  <c r="S575" i="5" s="1"/>
  <c r="R575" i="5"/>
  <c r="N576" i="5"/>
  <c r="P576" i="5" s="1"/>
  <c r="O576" i="5"/>
  <c r="Q576" i="5"/>
  <c r="S576" i="5" s="1"/>
  <c r="R576" i="5"/>
  <c r="N577" i="5"/>
  <c r="P577" i="5" s="1"/>
  <c r="O577" i="5"/>
  <c r="Q577" i="5"/>
  <c r="R577" i="5"/>
  <c r="S577" i="5"/>
  <c r="N578" i="5"/>
  <c r="P578" i="5" s="1"/>
  <c r="O578" i="5"/>
  <c r="Q578" i="5"/>
  <c r="S578" i="5" s="1"/>
  <c r="R578" i="5"/>
  <c r="N579" i="5"/>
  <c r="O579" i="5"/>
  <c r="P579" i="5"/>
  <c r="Q579" i="5"/>
  <c r="S579" i="5" s="1"/>
  <c r="R579" i="5"/>
  <c r="N580" i="5"/>
  <c r="P580" i="5" s="1"/>
  <c r="O580" i="5"/>
  <c r="Q580" i="5"/>
  <c r="S580" i="5" s="1"/>
  <c r="R580" i="5"/>
  <c r="N581" i="5"/>
  <c r="P581" i="5" s="1"/>
  <c r="O581" i="5"/>
  <c r="Q581" i="5"/>
  <c r="R581" i="5"/>
  <c r="S581" i="5"/>
  <c r="N582" i="5"/>
  <c r="P582" i="5" s="1"/>
  <c r="O582" i="5"/>
  <c r="Q582" i="5"/>
  <c r="S582" i="5" s="1"/>
  <c r="R582" i="5"/>
  <c r="N583" i="5"/>
  <c r="O583" i="5"/>
  <c r="P583" i="5"/>
  <c r="Q583" i="5"/>
  <c r="S583" i="5" s="1"/>
  <c r="R583" i="5"/>
  <c r="N584" i="5"/>
  <c r="P584" i="5" s="1"/>
  <c r="O584" i="5"/>
  <c r="Q584" i="5"/>
  <c r="S584" i="5" s="1"/>
  <c r="R584" i="5"/>
  <c r="N585" i="5"/>
  <c r="O585" i="5"/>
  <c r="P585" i="5"/>
  <c r="Q585" i="5"/>
  <c r="R585" i="5"/>
  <c r="S585" i="5"/>
  <c r="N586" i="5"/>
  <c r="P586" i="5" s="1"/>
  <c r="O586" i="5"/>
  <c r="Q586" i="5"/>
  <c r="S586" i="5" s="1"/>
  <c r="R586" i="5"/>
  <c r="N587" i="5"/>
  <c r="P587" i="5" s="1"/>
  <c r="O587" i="5"/>
  <c r="Q587" i="5"/>
  <c r="S587" i="5" s="1"/>
  <c r="R587" i="5"/>
  <c r="N588" i="5"/>
  <c r="P588" i="5" s="1"/>
  <c r="O588" i="5"/>
  <c r="Q588" i="5"/>
  <c r="S588" i="5" s="1"/>
  <c r="R588" i="5"/>
  <c r="N589" i="5"/>
  <c r="O589" i="5"/>
  <c r="P589" i="5"/>
  <c r="Q589" i="5"/>
  <c r="R589" i="5"/>
  <c r="S589" i="5"/>
  <c r="N590" i="5"/>
  <c r="P590" i="5" s="1"/>
  <c r="O590" i="5"/>
  <c r="Q590" i="5"/>
  <c r="S590" i="5" s="1"/>
  <c r="R590" i="5"/>
  <c r="N591" i="5"/>
  <c r="P591" i="5" s="1"/>
  <c r="O591" i="5"/>
  <c r="Q591" i="5"/>
  <c r="S591" i="5" s="1"/>
  <c r="R591" i="5"/>
  <c r="N592" i="5"/>
  <c r="P592" i="5" s="1"/>
  <c r="O592" i="5"/>
  <c r="Q592" i="5"/>
  <c r="S592" i="5" s="1"/>
  <c r="R592" i="5"/>
  <c r="N593" i="5"/>
  <c r="P593" i="5" s="1"/>
  <c r="O593" i="5"/>
  <c r="Q593" i="5"/>
  <c r="R593" i="5"/>
  <c r="S593" i="5"/>
  <c r="N594" i="5"/>
  <c r="P594" i="5" s="1"/>
  <c r="O594" i="5"/>
  <c r="Q594" i="5"/>
  <c r="S594" i="5" s="1"/>
  <c r="R594" i="5"/>
  <c r="N595" i="5"/>
  <c r="O595" i="5"/>
  <c r="P595" i="5"/>
  <c r="Q595" i="5"/>
  <c r="S595" i="5" s="1"/>
  <c r="R595" i="5"/>
  <c r="N596" i="5"/>
  <c r="P596" i="5" s="1"/>
  <c r="O596" i="5"/>
  <c r="Q596" i="5"/>
  <c r="S596" i="5" s="1"/>
  <c r="R596" i="5"/>
  <c r="N597" i="5"/>
  <c r="P597" i="5" s="1"/>
  <c r="O597" i="5"/>
  <c r="Q597" i="5"/>
  <c r="R597" i="5"/>
  <c r="S597" i="5"/>
  <c r="N598" i="5"/>
  <c r="P598" i="5" s="1"/>
  <c r="O598" i="5"/>
  <c r="Q598" i="5"/>
  <c r="S598" i="5" s="1"/>
  <c r="R598" i="5"/>
  <c r="N599" i="5"/>
  <c r="O599" i="5"/>
  <c r="P599" i="5"/>
  <c r="Q599" i="5"/>
  <c r="S599" i="5" s="1"/>
  <c r="R599" i="5"/>
  <c r="N600" i="5"/>
  <c r="P600" i="5" s="1"/>
  <c r="O600" i="5"/>
  <c r="Q600" i="5"/>
  <c r="S600" i="5" s="1"/>
  <c r="R600" i="5"/>
  <c r="N601" i="5"/>
  <c r="O601" i="5"/>
  <c r="P601" i="5"/>
  <c r="Q601" i="5"/>
  <c r="R601" i="5"/>
  <c r="S601" i="5"/>
  <c r="N602" i="5"/>
  <c r="P602" i="5" s="1"/>
  <c r="O602" i="5"/>
  <c r="Q602" i="5"/>
  <c r="S602" i="5" s="1"/>
  <c r="R602" i="5"/>
  <c r="N603" i="5"/>
  <c r="P603" i="5" s="1"/>
  <c r="O603" i="5"/>
  <c r="Q603" i="5"/>
  <c r="S603" i="5" s="1"/>
  <c r="R603" i="5"/>
  <c r="N604" i="5"/>
  <c r="P604" i="5" s="1"/>
  <c r="O604" i="5"/>
  <c r="Q604" i="5"/>
  <c r="S604" i="5" s="1"/>
  <c r="R604" i="5"/>
  <c r="N605" i="5"/>
  <c r="O605" i="5"/>
  <c r="P605" i="5"/>
  <c r="Q605" i="5"/>
  <c r="R605" i="5"/>
  <c r="S605" i="5"/>
  <c r="N606" i="5"/>
  <c r="P606" i="5" s="1"/>
  <c r="O606" i="5"/>
  <c r="Q606" i="5"/>
  <c r="S606" i="5" s="1"/>
  <c r="R606" i="5"/>
  <c r="N607" i="5"/>
  <c r="P607" i="5" s="1"/>
  <c r="O607" i="5"/>
  <c r="Q607" i="5"/>
  <c r="S607" i="5" s="1"/>
  <c r="R607" i="5"/>
  <c r="N608" i="5"/>
  <c r="P608" i="5" s="1"/>
  <c r="O608" i="5"/>
  <c r="Q608" i="5"/>
  <c r="S608" i="5" s="1"/>
  <c r="R608" i="5"/>
  <c r="N609" i="5"/>
  <c r="P609" i="5" s="1"/>
  <c r="O609" i="5"/>
  <c r="Q609" i="5"/>
  <c r="R609" i="5"/>
  <c r="S609" i="5"/>
  <c r="N610" i="5"/>
  <c r="P610" i="5" s="1"/>
  <c r="O610" i="5"/>
  <c r="Q610" i="5"/>
  <c r="S610" i="5" s="1"/>
  <c r="R610" i="5"/>
  <c r="N611" i="5"/>
  <c r="O611" i="5"/>
  <c r="P611" i="5"/>
  <c r="Q611" i="5"/>
  <c r="S611" i="5" s="1"/>
  <c r="R611" i="5"/>
  <c r="N612" i="5"/>
  <c r="P612" i="5" s="1"/>
  <c r="O612" i="5"/>
  <c r="Q612" i="5"/>
  <c r="S612" i="5" s="1"/>
  <c r="R612" i="5"/>
  <c r="N613" i="5"/>
  <c r="P613" i="5" s="1"/>
  <c r="O613" i="5"/>
  <c r="Q613" i="5"/>
  <c r="R613" i="5"/>
  <c r="S613" i="5"/>
  <c r="N614" i="5"/>
  <c r="P614" i="5" s="1"/>
  <c r="O614" i="5"/>
  <c r="Q614" i="5"/>
  <c r="S614" i="5" s="1"/>
  <c r="R614" i="5"/>
  <c r="N615" i="5"/>
  <c r="O615" i="5"/>
  <c r="P615" i="5"/>
  <c r="Q615" i="5"/>
  <c r="S615" i="5" s="1"/>
  <c r="R615" i="5"/>
  <c r="N616" i="5"/>
  <c r="P616" i="5" s="1"/>
  <c r="O616" i="5"/>
  <c r="Q616" i="5"/>
  <c r="S616" i="5" s="1"/>
  <c r="R616" i="5"/>
  <c r="N617" i="5"/>
  <c r="O617" i="5"/>
  <c r="P617" i="5"/>
  <c r="Q617" i="5"/>
  <c r="R617" i="5"/>
  <c r="S617" i="5"/>
  <c r="N618" i="5"/>
  <c r="P618" i="5" s="1"/>
  <c r="O618" i="5"/>
  <c r="Q618" i="5"/>
  <c r="S618" i="5" s="1"/>
  <c r="R618" i="5"/>
  <c r="N619" i="5"/>
  <c r="P619" i="5" s="1"/>
  <c r="O619" i="5"/>
  <c r="Q619" i="5"/>
  <c r="S619" i="5" s="1"/>
  <c r="R619" i="5"/>
  <c r="N620" i="5"/>
  <c r="P620" i="5" s="1"/>
  <c r="O620" i="5"/>
  <c r="Q620" i="5"/>
  <c r="S620" i="5" s="1"/>
  <c r="R620" i="5"/>
  <c r="N621" i="5"/>
  <c r="O621" i="5"/>
  <c r="P621" i="5"/>
  <c r="Q621" i="5"/>
  <c r="R621" i="5"/>
  <c r="S621" i="5"/>
  <c r="N622" i="5"/>
  <c r="P622" i="5" s="1"/>
  <c r="O622" i="5"/>
  <c r="Q622" i="5"/>
  <c r="S622" i="5" s="1"/>
  <c r="R622" i="5"/>
  <c r="N623" i="5"/>
  <c r="P623" i="5" s="1"/>
  <c r="O623" i="5"/>
  <c r="Q623" i="5"/>
  <c r="S623" i="5" s="1"/>
  <c r="R623" i="5"/>
  <c r="N624" i="5"/>
  <c r="P624" i="5" s="1"/>
  <c r="O624" i="5"/>
  <c r="Q624" i="5"/>
  <c r="S624" i="5" s="1"/>
  <c r="R624" i="5"/>
  <c r="N625" i="5"/>
  <c r="P625" i="5" s="1"/>
  <c r="O625" i="5"/>
  <c r="Q625" i="5"/>
  <c r="R625" i="5"/>
  <c r="S625" i="5"/>
  <c r="N626" i="5"/>
  <c r="P626" i="5" s="1"/>
  <c r="O626" i="5"/>
  <c r="Q626" i="5"/>
  <c r="S626" i="5" s="1"/>
  <c r="R626" i="5"/>
  <c r="N627" i="5"/>
  <c r="O627" i="5"/>
  <c r="P627" i="5"/>
  <c r="Q627" i="5"/>
  <c r="S627" i="5" s="1"/>
  <c r="R627" i="5"/>
  <c r="N628" i="5"/>
  <c r="P628" i="5" s="1"/>
  <c r="O628" i="5"/>
  <c r="Q628" i="5"/>
  <c r="S628" i="5" s="1"/>
  <c r="R628" i="5"/>
  <c r="N629" i="5"/>
  <c r="P629" i="5" s="1"/>
  <c r="O629" i="5"/>
  <c r="Q629" i="5"/>
  <c r="R629" i="5"/>
  <c r="S629" i="5"/>
  <c r="N630" i="5"/>
  <c r="P630" i="5" s="1"/>
  <c r="O630" i="5"/>
  <c r="Q630" i="5"/>
  <c r="S630" i="5" s="1"/>
  <c r="R630" i="5"/>
  <c r="N631" i="5"/>
  <c r="O631" i="5"/>
  <c r="P631" i="5"/>
  <c r="Q631" i="5"/>
  <c r="S631" i="5" s="1"/>
  <c r="R631" i="5"/>
  <c r="N632" i="5"/>
  <c r="P632" i="5" s="1"/>
  <c r="O632" i="5"/>
  <c r="Q632" i="5"/>
  <c r="S632" i="5" s="1"/>
  <c r="R632" i="5"/>
  <c r="N633" i="5"/>
  <c r="O633" i="5"/>
  <c r="P633" i="5"/>
  <c r="Q633" i="5"/>
  <c r="R633" i="5"/>
  <c r="S633" i="5"/>
  <c r="N634" i="5"/>
  <c r="P634" i="5" s="1"/>
  <c r="O634" i="5"/>
  <c r="Q634" i="5"/>
  <c r="S634" i="5" s="1"/>
  <c r="R634" i="5"/>
  <c r="N635" i="5"/>
  <c r="P635" i="5" s="1"/>
  <c r="O635" i="5"/>
  <c r="Q635" i="5"/>
  <c r="S635" i="5" s="1"/>
  <c r="R635" i="5"/>
  <c r="N636" i="5"/>
  <c r="P636" i="5" s="1"/>
  <c r="O636" i="5"/>
  <c r="Q636" i="5"/>
  <c r="S636" i="5" s="1"/>
  <c r="R636" i="5"/>
  <c r="N637" i="5"/>
  <c r="O637" i="5"/>
  <c r="P637" i="5"/>
  <c r="Q637" i="5"/>
  <c r="R637" i="5"/>
  <c r="S637" i="5"/>
  <c r="N638" i="5"/>
  <c r="P638" i="5" s="1"/>
  <c r="O638" i="5"/>
  <c r="Q638" i="5"/>
  <c r="S638" i="5" s="1"/>
  <c r="R638" i="5"/>
  <c r="N639" i="5"/>
  <c r="P639" i="5" s="1"/>
  <c r="O639" i="5"/>
  <c r="Q639" i="5"/>
  <c r="S639" i="5" s="1"/>
  <c r="R639" i="5"/>
  <c r="N640" i="5"/>
  <c r="P640" i="5" s="1"/>
  <c r="O640" i="5"/>
  <c r="Q640" i="5"/>
  <c r="S640" i="5" s="1"/>
  <c r="R640" i="5"/>
  <c r="N641" i="5"/>
  <c r="P641" i="5" s="1"/>
  <c r="O641" i="5"/>
  <c r="Q641" i="5"/>
  <c r="R641" i="5"/>
  <c r="S641" i="5"/>
  <c r="N642" i="5"/>
  <c r="P642" i="5" s="1"/>
  <c r="O642" i="5"/>
  <c r="Q642" i="5"/>
  <c r="S642" i="5" s="1"/>
  <c r="R642" i="5"/>
  <c r="N643" i="5"/>
  <c r="O643" i="5"/>
  <c r="P643" i="5"/>
  <c r="Q643" i="5"/>
  <c r="S643" i="5" s="1"/>
  <c r="R643" i="5"/>
  <c r="N644" i="5"/>
  <c r="P644" i="5" s="1"/>
  <c r="O644" i="5"/>
  <c r="Q644" i="5"/>
  <c r="S644" i="5" s="1"/>
  <c r="R644" i="5"/>
  <c r="N645" i="5"/>
  <c r="P645" i="5" s="1"/>
  <c r="O645" i="5"/>
  <c r="Q645" i="5"/>
  <c r="R645" i="5"/>
  <c r="S645" i="5"/>
  <c r="N646" i="5"/>
  <c r="P646" i="5" s="1"/>
  <c r="O646" i="5"/>
  <c r="Q646" i="5"/>
  <c r="S646" i="5" s="1"/>
  <c r="R646" i="5"/>
  <c r="N647" i="5"/>
  <c r="O647" i="5"/>
  <c r="P647" i="5"/>
  <c r="Q647" i="5"/>
  <c r="S647" i="5" s="1"/>
  <c r="R647" i="5"/>
  <c r="N648" i="5"/>
  <c r="P648" i="5" s="1"/>
  <c r="O648" i="5"/>
  <c r="Q648" i="5"/>
  <c r="S648" i="5" s="1"/>
  <c r="R648" i="5"/>
  <c r="N649" i="5"/>
  <c r="O649" i="5"/>
  <c r="P649" i="5"/>
  <c r="Q649" i="5"/>
  <c r="R649" i="5"/>
  <c r="S649" i="5"/>
  <c r="N650" i="5"/>
  <c r="P650" i="5" s="1"/>
  <c r="O650" i="5"/>
  <c r="Q650" i="5"/>
  <c r="S650" i="5" s="1"/>
  <c r="R650" i="5"/>
  <c r="N651" i="5"/>
  <c r="P651" i="5" s="1"/>
  <c r="O651" i="5"/>
  <c r="Q651" i="5"/>
  <c r="S651" i="5" s="1"/>
  <c r="R651" i="5"/>
  <c r="N652" i="5"/>
  <c r="P652" i="5" s="1"/>
  <c r="O652" i="5"/>
  <c r="Q652" i="5"/>
  <c r="S652" i="5" s="1"/>
  <c r="R652" i="5"/>
  <c r="N653" i="5"/>
  <c r="O653" i="5"/>
  <c r="P653" i="5"/>
  <c r="Q653" i="5"/>
  <c r="R653" i="5"/>
  <c r="S653" i="5"/>
  <c r="N654" i="5"/>
  <c r="P654" i="5" s="1"/>
  <c r="O654" i="5"/>
  <c r="Q654" i="5"/>
  <c r="S654" i="5" s="1"/>
  <c r="R654" i="5"/>
  <c r="N655" i="5"/>
  <c r="P655" i="5" s="1"/>
  <c r="O655" i="5"/>
  <c r="Q655" i="5"/>
  <c r="S655" i="5" s="1"/>
  <c r="R655" i="5"/>
  <c r="N656" i="5"/>
  <c r="P656" i="5" s="1"/>
  <c r="O656" i="5"/>
  <c r="Q656" i="5"/>
  <c r="S656" i="5" s="1"/>
  <c r="R656" i="5"/>
  <c r="N657" i="5"/>
  <c r="P657" i="5" s="1"/>
  <c r="O657" i="5"/>
  <c r="Q657" i="5"/>
  <c r="R657" i="5"/>
  <c r="S657" i="5"/>
  <c r="N658" i="5"/>
  <c r="P658" i="5" s="1"/>
  <c r="O658" i="5"/>
  <c r="Q658" i="5"/>
  <c r="S658" i="5" s="1"/>
  <c r="R658" i="5"/>
  <c r="N659" i="5"/>
  <c r="O659" i="5"/>
  <c r="P659" i="5"/>
  <c r="Q659" i="5"/>
  <c r="S659" i="5" s="1"/>
  <c r="R659" i="5"/>
  <c r="N660" i="5"/>
  <c r="P660" i="5" s="1"/>
  <c r="O660" i="5"/>
  <c r="Q660" i="5"/>
  <c r="S660" i="5" s="1"/>
  <c r="R660" i="5"/>
  <c r="N661" i="5"/>
  <c r="P661" i="5" s="1"/>
  <c r="O661" i="5"/>
  <c r="Q661" i="5"/>
  <c r="R661" i="5"/>
  <c r="S661" i="5"/>
  <c r="N662" i="5"/>
  <c r="P662" i="5" s="1"/>
  <c r="O662" i="5"/>
  <c r="Q662" i="5"/>
  <c r="S662" i="5" s="1"/>
  <c r="R662" i="5"/>
  <c r="N663" i="5"/>
  <c r="O663" i="5"/>
  <c r="P663" i="5"/>
  <c r="Q663" i="5"/>
  <c r="S663" i="5" s="1"/>
  <c r="R663" i="5"/>
  <c r="N664" i="5"/>
  <c r="P664" i="5" s="1"/>
  <c r="O664" i="5"/>
  <c r="Q664" i="5"/>
  <c r="S664" i="5" s="1"/>
  <c r="R664" i="5"/>
  <c r="N665" i="5"/>
  <c r="O665" i="5"/>
  <c r="P665" i="5"/>
  <c r="Q665" i="5"/>
  <c r="R665" i="5"/>
  <c r="S665" i="5"/>
  <c r="N666" i="5"/>
  <c r="P666" i="5" s="1"/>
  <c r="O666" i="5"/>
  <c r="Q666" i="5"/>
  <c r="S666" i="5" s="1"/>
  <c r="R666" i="5"/>
  <c r="N667" i="5"/>
  <c r="P667" i="5" s="1"/>
  <c r="O667" i="5"/>
  <c r="Q667" i="5"/>
  <c r="S667" i="5" s="1"/>
  <c r="R667" i="5"/>
  <c r="N668" i="5"/>
  <c r="P668" i="5" s="1"/>
  <c r="O668" i="5"/>
  <c r="Q668" i="5"/>
  <c r="S668" i="5" s="1"/>
  <c r="R668" i="5"/>
  <c r="N669" i="5"/>
  <c r="O669" i="5"/>
  <c r="P669" i="5"/>
  <c r="Q669" i="5"/>
  <c r="R669" i="5"/>
  <c r="S669" i="5"/>
  <c r="N670" i="5"/>
  <c r="P670" i="5" s="1"/>
  <c r="O670" i="5"/>
  <c r="Q670" i="5"/>
  <c r="S670" i="5" s="1"/>
  <c r="R670" i="5"/>
  <c r="N671" i="5"/>
  <c r="P671" i="5" s="1"/>
  <c r="O671" i="5"/>
  <c r="Q671" i="5"/>
  <c r="S671" i="5" s="1"/>
  <c r="R671" i="5"/>
  <c r="N672" i="5"/>
  <c r="P672" i="5" s="1"/>
  <c r="O672" i="5"/>
  <c r="Q672" i="5"/>
  <c r="S672" i="5" s="1"/>
  <c r="R672" i="5"/>
  <c r="N673" i="5"/>
  <c r="P673" i="5" s="1"/>
  <c r="O673" i="5"/>
  <c r="Q673" i="5"/>
  <c r="R673" i="5"/>
  <c r="S673" i="5"/>
  <c r="N674" i="5"/>
  <c r="P674" i="5" s="1"/>
  <c r="O674" i="5"/>
  <c r="Q674" i="5"/>
  <c r="S674" i="5" s="1"/>
  <c r="R674" i="5"/>
  <c r="N675" i="5"/>
  <c r="O675" i="5"/>
  <c r="P675" i="5"/>
  <c r="Q675" i="5"/>
  <c r="S675" i="5" s="1"/>
  <c r="R675" i="5"/>
  <c r="N676" i="5"/>
  <c r="P676" i="5" s="1"/>
  <c r="O676" i="5"/>
  <c r="Q676" i="5"/>
  <c r="S676" i="5" s="1"/>
  <c r="R676" i="5"/>
  <c r="N677" i="5"/>
  <c r="P677" i="5" s="1"/>
  <c r="O677" i="5"/>
  <c r="Q677" i="5"/>
  <c r="R677" i="5"/>
  <c r="S677" i="5"/>
  <c r="N678" i="5"/>
  <c r="P678" i="5" s="1"/>
  <c r="O678" i="5"/>
  <c r="Q678" i="5"/>
  <c r="S678" i="5" s="1"/>
  <c r="R678" i="5"/>
  <c r="N679" i="5"/>
  <c r="O679" i="5"/>
  <c r="P679" i="5"/>
  <c r="Q679" i="5"/>
  <c r="S679" i="5" s="1"/>
  <c r="R679" i="5"/>
  <c r="N680" i="5"/>
  <c r="P680" i="5" s="1"/>
  <c r="O680" i="5"/>
  <c r="Q680" i="5"/>
  <c r="S680" i="5" s="1"/>
  <c r="R680" i="5"/>
  <c r="N681" i="5"/>
  <c r="O681" i="5"/>
  <c r="P681" i="5"/>
  <c r="Q681" i="5"/>
  <c r="R681" i="5"/>
  <c r="S681" i="5"/>
  <c r="N682" i="5"/>
  <c r="P682" i="5" s="1"/>
  <c r="O682" i="5"/>
  <c r="Q682" i="5"/>
  <c r="S682" i="5" s="1"/>
  <c r="R682" i="5"/>
  <c r="N683" i="5"/>
  <c r="P683" i="5" s="1"/>
  <c r="O683" i="5"/>
  <c r="Q683" i="5"/>
  <c r="S683" i="5" s="1"/>
  <c r="R683" i="5"/>
  <c r="N684" i="5"/>
  <c r="P684" i="5" s="1"/>
  <c r="O684" i="5"/>
  <c r="Q684" i="5"/>
  <c r="S684" i="5" s="1"/>
  <c r="R684" i="5"/>
  <c r="N685" i="5"/>
  <c r="O685" i="5"/>
  <c r="P685" i="5"/>
  <c r="Q685" i="5"/>
  <c r="R685" i="5"/>
  <c r="S685" i="5"/>
  <c r="N686" i="5"/>
  <c r="P686" i="5" s="1"/>
  <c r="O686" i="5"/>
  <c r="Q686" i="5"/>
  <c r="S686" i="5" s="1"/>
  <c r="R686" i="5"/>
  <c r="N687" i="5"/>
  <c r="P687" i="5" s="1"/>
  <c r="O687" i="5"/>
  <c r="Q687" i="5"/>
  <c r="S687" i="5" s="1"/>
  <c r="R687" i="5"/>
  <c r="N688" i="5"/>
  <c r="P688" i="5" s="1"/>
  <c r="O688" i="5"/>
  <c r="Q688" i="5"/>
  <c r="S688" i="5" s="1"/>
  <c r="R688" i="5"/>
  <c r="N689" i="5"/>
  <c r="P689" i="5" s="1"/>
  <c r="O689" i="5"/>
  <c r="Q689" i="5"/>
  <c r="R689" i="5"/>
  <c r="S689" i="5"/>
  <c r="N690" i="5"/>
  <c r="P690" i="5" s="1"/>
  <c r="O690" i="5"/>
  <c r="Q690" i="5"/>
  <c r="S690" i="5" s="1"/>
  <c r="R690" i="5"/>
  <c r="N691" i="5"/>
  <c r="O691" i="5"/>
  <c r="P691" i="5"/>
  <c r="Q691" i="5"/>
  <c r="S691" i="5" s="1"/>
  <c r="R691" i="5"/>
  <c r="N692" i="5"/>
  <c r="P692" i="5" s="1"/>
  <c r="O692" i="5"/>
  <c r="Q692" i="5"/>
  <c r="S692" i="5" s="1"/>
  <c r="R692" i="5"/>
  <c r="N693" i="5"/>
  <c r="P693" i="5" s="1"/>
  <c r="O693" i="5"/>
  <c r="Q693" i="5"/>
  <c r="R693" i="5"/>
  <c r="S693" i="5"/>
  <c r="N694" i="5"/>
  <c r="P694" i="5" s="1"/>
  <c r="O694" i="5"/>
  <c r="Q694" i="5"/>
  <c r="S694" i="5" s="1"/>
  <c r="R694" i="5"/>
  <c r="N695" i="5"/>
  <c r="O695" i="5"/>
  <c r="P695" i="5"/>
  <c r="Q695" i="5"/>
  <c r="S695" i="5" s="1"/>
  <c r="R695" i="5"/>
  <c r="N696" i="5"/>
  <c r="P696" i="5" s="1"/>
  <c r="O696" i="5"/>
  <c r="Q696" i="5"/>
  <c r="S696" i="5" s="1"/>
  <c r="R696" i="5"/>
  <c r="N697" i="5"/>
  <c r="O697" i="5"/>
  <c r="P697" i="5"/>
  <c r="Q697" i="5"/>
  <c r="R697" i="5"/>
  <c r="S697" i="5"/>
  <c r="N698" i="5"/>
  <c r="P698" i="5" s="1"/>
  <c r="O698" i="5"/>
  <c r="Q698" i="5"/>
  <c r="S698" i="5" s="1"/>
  <c r="R698" i="5"/>
  <c r="N699" i="5"/>
  <c r="P699" i="5" s="1"/>
  <c r="O699" i="5"/>
  <c r="Q699" i="5"/>
  <c r="S699" i="5" s="1"/>
  <c r="R699" i="5"/>
  <c r="N700" i="5"/>
  <c r="P700" i="5" s="1"/>
  <c r="O700" i="5"/>
  <c r="Q700" i="5"/>
  <c r="S700" i="5" s="1"/>
  <c r="R700" i="5"/>
  <c r="N701" i="5"/>
  <c r="O701" i="5"/>
  <c r="P701" i="5"/>
  <c r="Q701" i="5"/>
  <c r="R701" i="5"/>
  <c r="S701" i="5"/>
  <c r="N702" i="5"/>
  <c r="P702" i="5" s="1"/>
  <c r="O702" i="5"/>
  <c r="Q702" i="5"/>
  <c r="S702" i="5" s="1"/>
  <c r="R702" i="5"/>
  <c r="N703" i="5"/>
  <c r="P703" i="5" s="1"/>
  <c r="O703" i="5"/>
  <c r="Q703" i="5"/>
  <c r="S703" i="5" s="1"/>
  <c r="R703" i="5"/>
  <c r="N704" i="5"/>
  <c r="P704" i="5" s="1"/>
  <c r="O704" i="5"/>
  <c r="Q704" i="5"/>
  <c r="S704" i="5" s="1"/>
  <c r="R704" i="5"/>
  <c r="N705" i="5"/>
  <c r="P705" i="5" s="1"/>
  <c r="O705" i="5"/>
  <c r="Q705" i="5"/>
  <c r="R705" i="5"/>
  <c r="S705" i="5"/>
  <c r="N706" i="5"/>
  <c r="P706" i="5" s="1"/>
  <c r="O706" i="5"/>
  <c r="Q706" i="5"/>
  <c r="S706" i="5" s="1"/>
  <c r="R706" i="5"/>
  <c r="N707" i="5"/>
  <c r="O707" i="5"/>
  <c r="P707" i="5"/>
  <c r="Q707" i="5"/>
  <c r="S707" i="5" s="1"/>
  <c r="R707" i="5"/>
  <c r="N708" i="5"/>
  <c r="P708" i="5" s="1"/>
  <c r="O708" i="5"/>
  <c r="Q708" i="5"/>
  <c r="S708" i="5" s="1"/>
  <c r="R708" i="5"/>
  <c r="N709" i="5"/>
  <c r="O709" i="5"/>
  <c r="P709" i="5"/>
  <c r="Q709" i="5"/>
  <c r="R709" i="5"/>
  <c r="S709" i="5"/>
  <c r="N710" i="5"/>
  <c r="P710" i="5" s="1"/>
  <c r="O710" i="5"/>
  <c r="Q710" i="5"/>
  <c r="S710" i="5" s="1"/>
  <c r="R710" i="5"/>
  <c r="N711" i="5"/>
  <c r="P711" i="5" s="1"/>
  <c r="O711" i="5"/>
  <c r="Q711" i="5"/>
  <c r="R711" i="5"/>
  <c r="S711" i="5"/>
  <c r="N712" i="5"/>
  <c r="O712" i="5"/>
  <c r="P712" i="5"/>
  <c r="Q712" i="5"/>
  <c r="S712" i="5" s="1"/>
  <c r="R712" i="5"/>
  <c r="N713" i="5"/>
  <c r="P713" i="5" s="1"/>
  <c r="O713" i="5"/>
  <c r="Q713" i="5"/>
  <c r="S713" i="5" s="1"/>
  <c r="R713" i="5"/>
  <c r="N714" i="5"/>
  <c r="P714" i="5" s="1"/>
  <c r="O714" i="5"/>
  <c r="Q714" i="5"/>
  <c r="S714" i="5" s="1"/>
  <c r="R714" i="5"/>
  <c r="N715" i="5"/>
  <c r="P715" i="5" s="1"/>
  <c r="O715" i="5"/>
  <c r="Q715" i="5"/>
  <c r="S715" i="5" s="1"/>
  <c r="R715" i="5"/>
  <c r="N716" i="5"/>
  <c r="P716" i="5" s="1"/>
  <c r="O716" i="5"/>
  <c r="Q716" i="5"/>
  <c r="S716" i="5" s="1"/>
  <c r="R716" i="5"/>
  <c r="N717" i="5"/>
  <c r="P717" i="5" s="1"/>
  <c r="O717" i="5"/>
  <c r="Q717" i="5"/>
  <c r="R717" i="5"/>
  <c r="S717" i="5"/>
  <c r="N718" i="5"/>
  <c r="P718" i="5" s="1"/>
  <c r="O718" i="5"/>
  <c r="Q718" i="5"/>
  <c r="S718" i="5" s="1"/>
  <c r="R718" i="5"/>
  <c r="N719" i="5"/>
  <c r="P719" i="5" s="1"/>
  <c r="O719" i="5"/>
  <c r="Q719" i="5"/>
  <c r="S719" i="5" s="1"/>
  <c r="R719" i="5"/>
  <c r="N720" i="5"/>
  <c r="O720" i="5"/>
  <c r="P720" i="5"/>
  <c r="Q720" i="5"/>
  <c r="S720" i="5" s="1"/>
  <c r="R720" i="5"/>
  <c r="N721" i="5"/>
  <c r="P721" i="5" s="1"/>
  <c r="O721" i="5"/>
  <c r="Q721" i="5"/>
  <c r="R721" i="5"/>
  <c r="S721" i="5"/>
  <c r="N722" i="5"/>
  <c r="P722" i="5" s="1"/>
  <c r="O722" i="5"/>
  <c r="Q722" i="5"/>
  <c r="S722" i="5" s="1"/>
  <c r="R722" i="5"/>
  <c r="N723" i="5"/>
  <c r="O723" i="5"/>
  <c r="P723" i="5"/>
  <c r="Q723" i="5"/>
  <c r="S723" i="5" s="1"/>
  <c r="R723" i="5"/>
  <c r="N724" i="5"/>
  <c r="P724" i="5" s="1"/>
  <c r="O724" i="5"/>
  <c r="Q724" i="5"/>
  <c r="S724" i="5" s="1"/>
  <c r="R724" i="5"/>
  <c r="N725" i="5"/>
  <c r="O725" i="5"/>
  <c r="P725" i="5"/>
  <c r="Q725" i="5"/>
  <c r="R725" i="5"/>
  <c r="S725" i="5"/>
  <c r="N726" i="5"/>
  <c r="P726" i="5" s="1"/>
  <c r="O726" i="5"/>
  <c r="Q726" i="5"/>
  <c r="S726" i="5" s="1"/>
  <c r="R726" i="5"/>
  <c r="N727" i="5"/>
  <c r="P727" i="5" s="1"/>
  <c r="O727" i="5"/>
  <c r="Q727" i="5"/>
  <c r="R727" i="5"/>
  <c r="S727" i="5"/>
  <c r="N728" i="5"/>
  <c r="O728" i="5"/>
  <c r="P728" i="5"/>
  <c r="Q728" i="5"/>
  <c r="S728" i="5" s="1"/>
  <c r="R728" i="5"/>
  <c r="N729" i="5"/>
  <c r="P729" i="5" s="1"/>
  <c r="O729" i="5"/>
  <c r="Q729" i="5"/>
  <c r="S729" i="5" s="1"/>
  <c r="R729" i="5"/>
  <c r="N730" i="5"/>
  <c r="P730" i="5" s="1"/>
  <c r="O730" i="5"/>
  <c r="Q730" i="5"/>
  <c r="S730" i="5" s="1"/>
  <c r="R730" i="5"/>
  <c r="N731" i="5"/>
  <c r="P731" i="5" s="1"/>
  <c r="O731" i="5"/>
  <c r="Q731" i="5"/>
  <c r="S731" i="5" s="1"/>
  <c r="R731" i="5"/>
  <c r="N732" i="5"/>
  <c r="P732" i="5" s="1"/>
  <c r="O732" i="5"/>
  <c r="Q732" i="5"/>
  <c r="S732" i="5" s="1"/>
  <c r="R732" i="5"/>
  <c r="N733" i="5"/>
  <c r="P733" i="5" s="1"/>
  <c r="O733" i="5"/>
  <c r="Q733" i="5"/>
  <c r="R733" i="5"/>
  <c r="S733" i="5"/>
  <c r="N734" i="5"/>
  <c r="P734" i="5" s="1"/>
  <c r="O734" i="5"/>
  <c r="Q734" i="5"/>
  <c r="S734" i="5" s="1"/>
  <c r="R734" i="5"/>
  <c r="N735" i="5"/>
  <c r="P735" i="5" s="1"/>
  <c r="O735" i="5"/>
  <c r="Q735" i="5"/>
  <c r="S735" i="5" s="1"/>
  <c r="R735" i="5"/>
  <c r="N736" i="5"/>
  <c r="O736" i="5"/>
  <c r="P736" i="5"/>
  <c r="Q736" i="5"/>
  <c r="S736" i="5" s="1"/>
  <c r="R736" i="5"/>
  <c r="N737" i="5"/>
  <c r="P737" i="5" s="1"/>
  <c r="O737" i="5"/>
  <c r="Q737" i="5"/>
  <c r="R737" i="5"/>
  <c r="S737" i="5"/>
  <c r="N738" i="5"/>
  <c r="P738" i="5" s="1"/>
  <c r="O738" i="5"/>
  <c r="Q738" i="5"/>
  <c r="S738" i="5" s="1"/>
  <c r="R738" i="5"/>
  <c r="N739" i="5"/>
  <c r="O739" i="5"/>
  <c r="P739" i="5"/>
  <c r="Q739" i="5"/>
  <c r="S739" i="5" s="1"/>
  <c r="R739" i="5"/>
  <c r="N740" i="5"/>
  <c r="P740" i="5" s="1"/>
  <c r="O740" i="5"/>
  <c r="Q740" i="5"/>
  <c r="S740" i="5" s="1"/>
  <c r="R740" i="5"/>
  <c r="N741" i="5"/>
  <c r="O741" i="5"/>
  <c r="P741" i="5"/>
  <c r="Q741" i="5"/>
  <c r="R741" i="5"/>
  <c r="S741" i="5"/>
  <c r="N742" i="5"/>
  <c r="P742" i="5" s="1"/>
  <c r="O742" i="5"/>
  <c r="Q742" i="5"/>
  <c r="S742" i="5" s="1"/>
  <c r="R742" i="5"/>
  <c r="N743" i="5"/>
  <c r="P743" i="5" s="1"/>
  <c r="O743" i="5"/>
  <c r="Q743" i="5"/>
  <c r="R743" i="5"/>
  <c r="S743" i="5"/>
  <c r="N744" i="5"/>
  <c r="O744" i="5"/>
  <c r="P744" i="5"/>
  <c r="Q744" i="5"/>
  <c r="S744" i="5" s="1"/>
  <c r="R744" i="5"/>
  <c r="N745" i="5"/>
  <c r="P745" i="5" s="1"/>
  <c r="O745" i="5"/>
  <c r="Q745" i="5"/>
  <c r="S745" i="5" s="1"/>
  <c r="R745" i="5"/>
  <c r="N746" i="5"/>
  <c r="P746" i="5" s="1"/>
  <c r="O746" i="5"/>
  <c r="Q746" i="5"/>
  <c r="S746" i="5" s="1"/>
  <c r="R746" i="5"/>
  <c r="N747" i="5"/>
  <c r="P747" i="5" s="1"/>
  <c r="O747" i="5"/>
  <c r="Q747" i="5"/>
  <c r="S747" i="5" s="1"/>
  <c r="R747" i="5"/>
  <c r="N748" i="5"/>
  <c r="P748" i="5" s="1"/>
  <c r="O748" i="5"/>
  <c r="Q748" i="5"/>
  <c r="S748" i="5" s="1"/>
  <c r="R748" i="5"/>
  <c r="N749" i="5"/>
  <c r="P749" i="5" s="1"/>
  <c r="O749" i="5"/>
  <c r="Q749" i="5"/>
  <c r="R749" i="5"/>
  <c r="S749" i="5"/>
  <c r="N750" i="5"/>
  <c r="P750" i="5" s="1"/>
  <c r="O750" i="5"/>
  <c r="Q750" i="5"/>
  <c r="S750" i="5" s="1"/>
  <c r="R750" i="5"/>
  <c r="N751" i="5"/>
  <c r="P751" i="5" s="1"/>
  <c r="O751" i="5"/>
  <c r="Q751" i="5"/>
  <c r="S751" i="5" s="1"/>
  <c r="R751" i="5"/>
  <c r="N752" i="5"/>
  <c r="O752" i="5"/>
  <c r="P752" i="5"/>
  <c r="Q752" i="5"/>
  <c r="S752" i="5" s="1"/>
  <c r="R752" i="5"/>
  <c r="N753" i="5"/>
  <c r="P753" i="5" s="1"/>
  <c r="O753" i="5"/>
  <c r="Q753" i="5"/>
  <c r="R753" i="5"/>
  <c r="S753" i="5"/>
  <c r="N754" i="5"/>
  <c r="P754" i="5" s="1"/>
  <c r="O754" i="5"/>
  <c r="Q754" i="5"/>
  <c r="S754" i="5" s="1"/>
  <c r="R754" i="5"/>
  <c r="N755" i="5"/>
  <c r="O755" i="5"/>
  <c r="P755" i="5"/>
  <c r="Q755" i="5"/>
  <c r="S755" i="5" s="1"/>
  <c r="R755" i="5"/>
  <c r="N756" i="5"/>
  <c r="P756" i="5" s="1"/>
  <c r="O756" i="5"/>
  <c r="Q756" i="5"/>
  <c r="S756" i="5" s="1"/>
  <c r="R756" i="5"/>
  <c r="N757" i="5"/>
  <c r="O757" i="5"/>
  <c r="P757" i="5"/>
  <c r="Q757" i="5"/>
  <c r="R757" i="5"/>
  <c r="S757" i="5"/>
  <c r="N758" i="5"/>
  <c r="P758" i="5" s="1"/>
  <c r="O758" i="5"/>
  <c r="Q758" i="5"/>
  <c r="S758" i="5" s="1"/>
  <c r="R758" i="5"/>
  <c r="N759" i="5"/>
  <c r="P759" i="5" s="1"/>
  <c r="O759" i="5"/>
  <c r="Q759" i="5"/>
  <c r="R759" i="5"/>
  <c r="S759" i="5"/>
  <c r="N760" i="5"/>
  <c r="O760" i="5"/>
  <c r="P760" i="5"/>
  <c r="Q760" i="5"/>
  <c r="S760" i="5" s="1"/>
  <c r="R760" i="5"/>
  <c r="N761" i="5"/>
  <c r="P761" i="5" s="1"/>
  <c r="O761" i="5"/>
  <c r="Q761" i="5"/>
  <c r="S761" i="5" s="1"/>
  <c r="R761" i="5"/>
  <c r="N762" i="5"/>
  <c r="P762" i="5" s="1"/>
  <c r="O762" i="5"/>
  <c r="Q762" i="5"/>
  <c r="S762" i="5" s="1"/>
  <c r="R762" i="5"/>
  <c r="N763" i="5"/>
  <c r="P763" i="5" s="1"/>
  <c r="O763" i="5"/>
  <c r="Q763" i="5"/>
  <c r="S763" i="5" s="1"/>
  <c r="R763" i="5"/>
  <c r="N764" i="5"/>
  <c r="P764" i="5" s="1"/>
  <c r="O764" i="5"/>
  <c r="Q764" i="5"/>
  <c r="S764" i="5" s="1"/>
  <c r="R764" i="5"/>
  <c r="N765" i="5"/>
  <c r="P765" i="5" s="1"/>
  <c r="O765" i="5"/>
  <c r="Q765" i="5"/>
  <c r="R765" i="5"/>
  <c r="S765" i="5"/>
  <c r="N766" i="5"/>
  <c r="P766" i="5" s="1"/>
  <c r="O766" i="5"/>
  <c r="Q766" i="5"/>
  <c r="S766" i="5" s="1"/>
  <c r="R766" i="5"/>
  <c r="N767" i="5"/>
  <c r="P767" i="5" s="1"/>
  <c r="O767" i="5"/>
  <c r="Q767" i="5"/>
  <c r="S767" i="5" s="1"/>
  <c r="R767" i="5"/>
  <c r="N768" i="5"/>
  <c r="O768" i="5"/>
  <c r="P768" i="5"/>
  <c r="Q768" i="5"/>
  <c r="S768" i="5" s="1"/>
  <c r="R768" i="5"/>
  <c r="N769" i="5"/>
  <c r="P769" i="5" s="1"/>
  <c r="O769" i="5"/>
  <c r="Q769" i="5"/>
  <c r="R769" i="5"/>
  <c r="S769" i="5"/>
  <c r="N770" i="5"/>
  <c r="P770" i="5" s="1"/>
  <c r="O770" i="5"/>
  <c r="Q770" i="5"/>
  <c r="S770" i="5" s="1"/>
  <c r="R770" i="5"/>
  <c r="N771" i="5"/>
  <c r="O771" i="5"/>
  <c r="P771" i="5"/>
  <c r="Q771" i="5"/>
  <c r="S771" i="5" s="1"/>
  <c r="R771" i="5"/>
  <c r="N772" i="5"/>
  <c r="P772" i="5" s="1"/>
  <c r="O772" i="5"/>
  <c r="Q772" i="5"/>
  <c r="S772" i="5" s="1"/>
  <c r="R772" i="5"/>
  <c r="N773" i="5"/>
  <c r="O773" i="5"/>
  <c r="P773" i="5"/>
  <c r="Q773" i="5"/>
  <c r="R773" i="5"/>
  <c r="S773" i="5"/>
  <c r="N774" i="5"/>
  <c r="P774" i="5" s="1"/>
  <c r="O774" i="5"/>
  <c r="Q774" i="5"/>
  <c r="S774" i="5" s="1"/>
  <c r="R774" i="5"/>
  <c r="N775" i="5"/>
  <c r="P775" i="5" s="1"/>
  <c r="O775" i="5"/>
  <c r="Q775" i="5"/>
  <c r="R775" i="5"/>
  <c r="S775" i="5"/>
  <c r="N776" i="5"/>
  <c r="O776" i="5"/>
  <c r="P776" i="5"/>
  <c r="Q776" i="5"/>
  <c r="S776" i="5" s="1"/>
  <c r="R776" i="5"/>
  <c r="N777" i="5"/>
  <c r="P777" i="5" s="1"/>
  <c r="O777" i="5"/>
  <c r="Q777" i="5"/>
  <c r="S777" i="5" s="1"/>
  <c r="R777" i="5"/>
  <c r="N778" i="5"/>
  <c r="P778" i="5" s="1"/>
  <c r="O778" i="5"/>
  <c r="Q778" i="5"/>
  <c r="S778" i="5" s="1"/>
  <c r="R778" i="5"/>
  <c r="N779" i="5"/>
  <c r="P779" i="5" s="1"/>
  <c r="O779" i="5"/>
  <c r="Q779" i="5"/>
  <c r="S779" i="5" s="1"/>
  <c r="R779" i="5"/>
  <c r="N780" i="5"/>
  <c r="P780" i="5" s="1"/>
  <c r="O780" i="5"/>
  <c r="Q780" i="5"/>
  <c r="S780" i="5" s="1"/>
  <c r="R780" i="5"/>
  <c r="N781" i="5"/>
  <c r="P781" i="5" s="1"/>
  <c r="O781" i="5"/>
  <c r="Q781" i="5"/>
  <c r="R781" i="5"/>
  <c r="S781" i="5"/>
  <c r="N782" i="5"/>
  <c r="P782" i="5" s="1"/>
  <c r="O782" i="5"/>
  <c r="Q782" i="5"/>
  <c r="S782" i="5" s="1"/>
  <c r="R782" i="5"/>
  <c r="N783" i="5"/>
  <c r="P783" i="5" s="1"/>
  <c r="O783" i="5"/>
  <c r="Q783" i="5"/>
  <c r="S783" i="5" s="1"/>
  <c r="R783" i="5"/>
  <c r="N784" i="5"/>
  <c r="O784" i="5"/>
  <c r="P784" i="5"/>
  <c r="Q784" i="5"/>
  <c r="S784" i="5" s="1"/>
  <c r="R784" i="5"/>
  <c r="N785" i="5"/>
  <c r="P785" i="5" s="1"/>
  <c r="O785" i="5"/>
  <c r="Q785" i="5"/>
  <c r="R785" i="5"/>
  <c r="S785" i="5"/>
  <c r="N786" i="5"/>
  <c r="P786" i="5" s="1"/>
  <c r="O786" i="5"/>
  <c r="Q786" i="5"/>
  <c r="S786" i="5" s="1"/>
  <c r="R786" i="5"/>
  <c r="N787" i="5"/>
  <c r="O787" i="5"/>
  <c r="P787" i="5"/>
  <c r="Q787" i="5"/>
  <c r="S787" i="5" s="1"/>
  <c r="R787" i="5"/>
  <c r="N788" i="5"/>
  <c r="P788" i="5" s="1"/>
  <c r="O788" i="5"/>
  <c r="Q788" i="5"/>
  <c r="S788" i="5" s="1"/>
  <c r="R788" i="5"/>
  <c r="N789" i="5"/>
  <c r="P789" i="5" s="1"/>
  <c r="O789" i="5"/>
  <c r="Q789" i="5"/>
  <c r="R789" i="5"/>
  <c r="S789" i="5"/>
  <c r="N790" i="5"/>
  <c r="P790" i="5" s="1"/>
  <c r="O790" i="5"/>
  <c r="Q790" i="5"/>
  <c r="S790" i="5" s="1"/>
  <c r="R790" i="5"/>
  <c r="N791" i="5"/>
  <c r="P791" i="5" s="1"/>
  <c r="O791" i="5"/>
  <c r="Q791" i="5"/>
  <c r="S791" i="5" s="1"/>
  <c r="R791" i="5"/>
  <c r="N792" i="5"/>
  <c r="O792" i="5"/>
  <c r="P792" i="5"/>
  <c r="Q792" i="5"/>
  <c r="S792" i="5" s="1"/>
  <c r="R792" i="5"/>
  <c r="N793" i="5"/>
  <c r="P793" i="5" s="1"/>
  <c r="O793" i="5"/>
  <c r="Q793" i="5"/>
  <c r="R793" i="5"/>
  <c r="S793" i="5"/>
  <c r="N794" i="5"/>
  <c r="P794" i="5" s="1"/>
  <c r="O794" i="5"/>
  <c r="Q794" i="5"/>
  <c r="S794" i="5" s="1"/>
  <c r="R794" i="5"/>
  <c r="N795" i="5"/>
  <c r="O795" i="5"/>
  <c r="P795" i="5"/>
  <c r="Q795" i="5"/>
  <c r="S795" i="5" s="1"/>
  <c r="R795" i="5"/>
  <c r="N796" i="5"/>
  <c r="P796" i="5" s="1"/>
  <c r="O796" i="5"/>
  <c r="Q796" i="5"/>
  <c r="S796" i="5" s="1"/>
  <c r="R796" i="5"/>
  <c r="N797" i="5"/>
  <c r="P797" i="5" s="1"/>
  <c r="O797" i="5"/>
  <c r="Q797" i="5"/>
  <c r="R797" i="5"/>
  <c r="S797" i="5"/>
  <c r="N798" i="5"/>
  <c r="P798" i="5" s="1"/>
  <c r="O798" i="5"/>
  <c r="Q798" i="5"/>
  <c r="S798" i="5" s="1"/>
  <c r="R798" i="5"/>
  <c r="N799" i="5"/>
  <c r="P799" i="5" s="1"/>
  <c r="O799" i="5"/>
  <c r="Q799" i="5"/>
  <c r="S799" i="5" s="1"/>
  <c r="R799" i="5"/>
  <c r="N800" i="5"/>
  <c r="O800" i="5"/>
  <c r="P800" i="5"/>
  <c r="Q800" i="5"/>
  <c r="S800" i="5" s="1"/>
  <c r="R800" i="5"/>
  <c r="N801" i="5"/>
  <c r="P801" i="5" s="1"/>
  <c r="O801" i="5"/>
  <c r="Q801" i="5"/>
  <c r="R801" i="5"/>
  <c r="S801" i="5"/>
  <c r="N802" i="5"/>
  <c r="P802" i="5" s="1"/>
  <c r="O802" i="5"/>
  <c r="Q802" i="5"/>
  <c r="S802" i="5" s="1"/>
  <c r="R802" i="5"/>
  <c r="N803" i="5"/>
  <c r="O803" i="5"/>
  <c r="P803" i="5"/>
  <c r="Q803" i="5"/>
  <c r="S803" i="5" s="1"/>
  <c r="R803" i="5"/>
  <c r="N804" i="5"/>
  <c r="P804" i="5" s="1"/>
  <c r="O804" i="5"/>
  <c r="Q804" i="5"/>
  <c r="S804" i="5" s="1"/>
  <c r="R804" i="5"/>
  <c r="N805" i="5"/>
  <c r="P805" i="5" s="1"/>
  <c r="O805" i="5"/>
  <c r="Q805" i="5"/>
  <c r="R805" i="5"/>
  <c r="S805" i="5"/>
  <c r="N806" i="5"/>
  <c r="P806" i="5" s="1"/>
  <c r="O806" i="5"/>
  <c r="Q806" i="5"/>
  <c r="S806" i="5" s="1"/>
  <c r="R806" i="5"/>
  <c r="N807" i="5"/>
  <c r="P807" i="5" s="1"/>
  <c r="O807" i="5"/>
  <c r="Q807" i="5"/>
  <c r="S807" i="5" s="1"/>
  <c r="R807" i="5"/>
  <c r="N808" i="5"/>
  <c r="O808" i="5"/>
  <c r="P808" i="5"/>
  <c r="Q808" i="5"/>
  <c r="S808" i="5" s="1"/>
  <c r="R808" i="5"/>
  <c r="N809" i="5"/>
  <c r="P809" i="5" s="1"/>
  <c r="O809" i="5"/>
  <c r="Q809" i="5"/>
  <c r="R809" i="5"/>
  <c r="S809" i="5"/>
  <c r="N810" i="5"/>
  <c r="P810" i="5" s="1"/>
  <c r="O810" i="5"/>
  <c r="Q810" i="5"/>
  <c r="S810" i="5" s="1"/>
  <c r="R810" i="5"/>
  <c r="N811" i="5"/>
  <c r="O811" i="5"/>
  <c r="P811" i="5"/>
  <c r="Q811" i="5"/>
  <c r="S811" i="5" s="1"/>
  <c r="R811" i="5"/>
  <c r="N812" i="5"/>
  <c r="P812" i="5" s="1"/>
  <c r="O812" i="5"/>
  <c r="Q812" i="5"/>
  <c r="S812" i="5" s="1"/>
  <c r="R812" i="5"/>
  <c r="N813" i="5"/>
  <c r="P813" i="5" s="1"/>
  <c r="O813" i="5"/>
  <c r="Q813" i="5"/>
  <c r="R813" i="5"/>
  <c r="S813" i="5"/>
  <c r="N814" i="5"/>
  <c r="P814" i="5" s="1"/>
  <c r="O814" i="5"/>
  <c r="Q814" i="5"/>
  <c r="S814" i="5" s="1"/>
  <c r="R814" i="5"/>
  <c r="N815" i="5"/>
  <c r="P815" i="5" s="1"/>
  <c r="O815" i="5"/>
  <c r="Q815" i="5"/>
  <c r="S815" i="5" s="1"/>
  <c r="R815" i="5"/>
  <c r="N816" i="5"/>
  <c r="O816" i="5"/>
  <c r="P816" i="5"/>
  <c r="Q816" i="5"/>
  <c r="S816" i="5" s="1"/>
  <c r="R816" i="5"/>
  <c r="N817" i="5"/>
  <c r="P817" i="5" s="1"/>
  <c r="O817" i="5"/>
  <c r="Q817" i="5"/>
  <c r="R817" i="5"/>
  <c r="S817" i="5"/>
  <c r="N818" i="5"/>
  <c r="P818" i="5" s="1"/>
  <c r="O818" i="5"/>
  <c r="Q818" i="5"/>
  <c r="S818" i="5" s="1"/>
  <c r="R818" i="5"/>
  <c r="N819" i="5"/>
  <c r="O819" i="5"/>
  <c r="P819" i="5"/>
  <c r="Q819" i="5"/>
  <c r="S819" i="5" s="1"/>
  <c r="R819" i="5"/>
  <c r="N820" i="5"/>
  <c r="P820" i="5" s="1"/>
  <c r="O820" i="5"/>
  <c r="Q820" i="5"/>
  <c r="S820" i="5" s="1"/>
  <c r="R820" i="5"/>
  <c r="N821" i="5"/>
  <c r="P821" i="5" s="1"/>
  <c r="O821" i="5"/>
  <c r="Q821" i="5"/>
  <c r="R821" i="5"/>
  <c r="S821" i="5"/>
  <c r="N822" i="5"/>
  <c r="P822" i="5" s="1"/>
  <c r="O822" i="5"/>
  <c r="Q822" i="5"/>
  <c r="S822" i="5" s="1"/>
  <c r="R822" i="5"/>
  <c r="N823" i="5"/>
  <c r="P823" i="5" s="1"/>
  <c r="O823" i="5"/>
  <c r="Q823" i="5"/>
  <c r="S823" i="5" s="1"/>
  <c r="R823" i="5"/>
  <c r="N824" i="5"/>
  <c r="O824" i="5"/>
  <c r="P824" i="5"/>
  <c r="Q824" i="5"/>
  <c r="S824" i="5" s="1"/>
  <c r="R824" i="5"/>
  <c r="N825" i="5"/>
  <c r="P825" i="5" s="1"/>
  <c r="O825" i="5"/>
  <c r="Q825" i="5"/>
  <c r="R825" i="5"/>
  <c r="S825" i="5"/>
  <c r="N826" i="5"/>
  <c r="P826" i="5" s="1"/>
  <c r="O826" i="5"/>
  <c r="Q826" i="5"/>
  <c r="S826" i="5" s="1"/>
  <c r="R826" i="5"/>
  <c r="N827" i="5"/>
  <c r="O827" i="5"/>
  <c r="P827" i="5"/>
  <c r="Q827" i="5"/>
  <c r="S827" i="5" s="1"/>
  <c r="R827" i="5"/>
  <c r="N828" i="5"/>
  <c r="P828" i="5" s="1"/>
  <c r="O828" i="5"/>
  <c r="Q828" i="5"/>
  <c r="S828" i="5" s="1"/>
  <c r="R828" i="5"/>
  <c r="N829" i="5"/>
  <c r="P829" i="5" s="1"/>
  <c r="O829" i="5"/>
  <c r="Q829" i="5"/>
  <c r="R829" i="5"/>
  <c r="S829" i="5"/>
  <c r="N830" i="5"/>
  <c r="P830" i="5" s="1"/>
  <c r="O830" i="5"/>
  <c r="Q830" i="5"/>
  <c r="S830" i="5" s="1"/>
  <c r="R830" i="5"/>
  <c r="N831" i="5"/>
  <c r="P831" i="5" s="1"/>
  <c r="O831" i="5"/>
  <c r="Q831" i="5"/>
  <c r="S831" i="5" s="1"/>
  <c r="R831" i="5"/>
  <c r="N832" i="5"/>
  <c r="O832" i="5"/>
  <c r="P832" i="5"/>
  <c r="Q832" i="5"/>
  <c r="S832" i="5" s="1"/>
  <c r="R832" i="5"/>
  <c r="N833" i="5"/>
  <c r="P833" i="5" s="1"/>
  <c r="O833" i="5"/>
  <c r="Q833" i="5"/>
  <c r="R833" i="5"/>
  <c r="S833" i="5"/>
  <c r="N834" i="5"/>
  <c r="P834" i="5" s="1"/>
  <c r="O834" i="5"/>
  <c r="Q834" i="5"/>
  <c r="S834" i="5" s="1"/>
  <c r="R834" i="5"/>
  <c r="N835" i="5"/>
  <c r="O835" i="5"/>
  <c r="P835" i="5"/>
  <c r="Q835" i="5"/>
  <c r="S835" i="5" s="1"/>
  <c r="R835" i="5"/>
  <c r="N836" i="5"/>
  <c r="P836" i="5" s="1"/>
  <c r="O836" i="5"/>
  <c r="Q836" i="5"/>
  <c r="S836" i="5" s="1"/>
  <c r="R836" i="5"/>
  <c r="N837" i="5"/>
  <c r="P837" i="5" s="1"/>
  <c r="O837" i="5"/>
  <c r="Q837" i="5"/>
  <c r="R837" i="5"/>
  <c r="S837" i="5"/>
  <c r="N838" i="5"/>
  <c r="P838" i="5" s="1"/>
  <c r="O838" i="5"/>
  <c r="Q838" i="5"/>
  <c r="S838" i="5" s="1"/>
  <c r="R838" i="5"/>
  <c r="N839" i="5"/>
  <c r="P839" i="5" s="1"/>
  <c r="O839" i="5"/>
  <c r="Q839" i="5"/>
  <c r="S839" i="5" s="1"/>
  <c r="R839" i="5"/>
  <c r="N840" i="5"/>
  <c r="O840" i="5"/>
  <c r="P840" i="5"/>
  <c r="Q840" i="5"/>
  <c r="S840" i="5" s="1"/>
  <c r="R840" i="5"/>
  <c r="N841" i="5"/>
  <c r="P841" i="5" s="1"/>
  <c r="O841" i="5"/>
  <c r="Q841" i="5"/>
  <c r="R841" i="5"/>
  <c r="S841" i="5"/>
  <c r="N842" i="5"/>
  <c r="P842" i="5" s="1"/>
  <c r="O842" i="5"/>
  <c r="Q842" i="5"/>
  <c r="S842" i="5" s="1"/>
  <c r="R842" i="5"/>
  <c r="N843" i="5"/>
  <c r="O843" i="5"/>
  <c r="P843" i="5"/>
  <c r="Q843" i="5"/>
  <c r="S843" i="5" s="1"/>
  <c r="R843" i="5"/>
  <c r="N844" i="5"/>
  <c r="P844" i="5" s="1"/>
  <c r="O844" i="5"/>
  <c r="Q844" i="5"/>
  <c r="S844" i="5" s="1"/>
  <c r="R844" i="5"/>
  <c r="N845" i="5"/>
  <c r="P845" i="5" s="1"/>
  <c r="O845" i="5"/>
  <c r="Q845" i="5"/>
  <c r="R845" i="5"/>
  <c r="S845" i="5"/>
  <c r="N846" i="5"/>
  <c r="P846" i="5" s="1"/>
  <c r="O846" i="5"/>
  <c r="Q846" i="5"/>
  <c r="S846" i="5" s="1"/>
  <c r="R846" i="5"/>
  <c r="N847" i="5"/>
  <c r="P847" i="5" s="1"/>
  <c r="O847" i="5"/>
  <c r="Q847" i="5"/>
  <c r="S847" i="5" s="1"/>
  <c r="R847" i="5"/>
  <c r="N848" i="5"/>
  <c r="O848" i="5"/>
  <c r="P848" i="5"/>
  <c r="Q848" i="5"/>
  <c r="S848" i="5" s="1"/>
  <c r="R848" i="5"/>
  <c r="N849" i="5"/>
  <c r="P849" i="5" s="1"/>
  <c r="O849" i="5"/>
  <c r="Q849" i="5"/>
  <c r="R849" i="5"/>
  <c r="S849" i="5"/>
  <c r="N850" i="5"/>
  <c r="P850" i="5" s="1"/>
  <c r="O850" i="5"/>
  <c r="Q850" i="5"/>
  <c r="S850" i="5" s="1"/>
  <c r="R850" i="5"/>
  <c r="N851" i="5"/>
  <c r="O851" i="5"/>
  <c r="P851" i="5"/>
  <c r="Q851" i="5"/>
  <c r="S851" i="5" s="1"/>
  <c r="R851" i="5"/>
  <c r="N852" i="5"/>
  <c r="P852" i="5" s="1"/>
  <c r="O852" i="5"/>
  <c r="Q852" i="5"/>
  <c r="S852" i="5" s="1"/>
  <c r="R852" i="5"/>
  <c r="N853" i="5"/>
  <c r="P853" i="5" s="1"/>
  <c r="O853" i="5"/>
  <c r="Q853" i="5"/>
  <c r="R853" i="5"/>
  <c r="S853" i="5"/>
  <c r="N854" i="5"/>
  <c r="P854" i="5" s="1"/>
  <c r="O854" i="5"/>
  <c r="Q854" i="5"/>
  <c r="S854" i="5" s="1"/>
  <c r="R854" i="5"/>
  <c r="N855" i="5"/>
  <c r="P855" i="5" s="1"/>
  <c r="O855" i="5"/>
  <c r="Q855" i="5"/>
  <c r="S855" i="5" s="1"/>
  <c r="R855" i="5"/>
  <c r="N856" i="5"/>
  <c r="O856" i="5"/>
  <c r="P856" i="5"/>
  <c r="Q856" i="5"/>
  <c r="S856" i="5" s="1"/>
  <c r="R856" i="5"/>
  <c r="N857" i="5"/>
  <c r="P857" i="5" s="1"/>
  <c r="O857" i="5"/>
  <c r="Q857" i="5"/>
  <c r="R857" i="5"/>
  <c r="S857" i="5"/>
  <c r="N858" i="5"/>
  <c r="P858" i="5" s="1"/>
  <c r="O858" i="5"/>
  <c r="Q858" i="5"/>
  <c r="S858" i="5" s="1"/>
  <c r="R858" i="5"/>
  <c r="N859" i="5"/>
  <c r="O859" i="5"/>
  <c r="P859" i="5"/>
  <c r="Q859" i="5"/>
  <c r="S859" i="5" s="1"/>
  <c r="R859" i="5"/>
  <c r="N860" i="5"/>
  <c r="P860" i="5" s="1"/>
  <c r="O860" i="5"/>
  <c r="Q860" i="5"/>
  <c r="S860" i="5" s="1"/>
  <c r="R860" i="5"/>
  <c r="N861" i="5"/>
  <c r="P861" i="5" s="1"/>
  <c r="O861" i="5"/>
  <c r="Q861" i="5"/>
  <c r="R861" i="5"/>
  <c r="S861" i="5"/>
  <c r="N862" i="5"/>
  <c r="P862" i="5" s="1"/>
  <c r="O862" i="5"/>
  <c r="Q862" i="5"/>
  <c r="S862" i="5" s="1"/>
  <c r="R862" i="5"/>
  <c r="N863" i="5"/>
  <c r="P863" i="5" s="1"/>
  <c r="O863" i="5"/>
  <c r="Q863" i="5"/>
  <c r="S863" i="5" s="1"/>
  <c r="R863" i="5"/>
  <c r="N864" i="5"/>
  <c r="O864" i="5"/>
  <c r="P864" i="5"/>
  <c r="Q864" i="5"/>
  <c r="S864" i="5" s="1"/>
  <c r="R864" i="5"/>
  <c r="N865" i="5"/>
  <c r="P865" i="5" s="1"/>
  <c r="O865" i="5"/>
  <c r="Q865" i="5"/>
  <c r="R865" i="5"/>
  <c r="S865" i="5"/>
  <c r="N866" i="5"/>
  <c r="P866" i="5" s="1"/>
  <c r="O866" i="5"/>
  <c r="Q866" i="5"/>
  <c r="S866" i="5" s="1"/>
  <c r="R866" i="5"/>
  <c r="N867" i="5"/>
  <c r="O867" i="5"/>
  <c r="P867" i="5"/>
  <c r="Q867" i="5"/>
  <c r="S867" i="5" s="1"/>
  <c r="R867" i="5"/>
  <c r="N868" i="5"/>
  <c r="P868" i="5" s="1"/>
  <c r="O868" i="5"/>
  <c r="Q868" i="5"/>
  <c r="S868" i="5" s="1"/>
  <c r="R868" i="5"/>
  <c r="N869" i="5"/>
  <c r="P869" i="5" s="1"/>
  <c r="O869" i="5"/>
  <c r="Q869" i="5"/>
  <c r="R869" i="5"/>
  <c r="S869" i="5"/>
  <c r="N870" i="5"/>
  <c r="P870" i="5" s="1"/>
  <c r="O870" i="5"/>
  <c r="Q870" i="5"/>
  <c r="S870" i="5" s="1"/>
  <c r="R870" i="5"/>
  <c r="N871" i="5"/>
  <c r="P871" i="5" s="1"/>
  <c r="O871" i="5"/>
  <c r="Q871" i="5"/>
  <c r="S871" i="5" s="1"/>
  <c r="R871" i="5"/>
  <c r="N872" i="5"/>
  <c r="O872" i="5"/>
  <c r="P872" i="5"/>
  <c r="Q872" i="5"/>
  <c r="S872" i="5" s="1"/>
  <c r="R872" i="5"/>
  <c r="N873" i="5"/>
  <c r="P873" i="5" s="1"/>
  <c r="O873" i="5"/>
  <c r="Q873" i="5"/>
  <c r="R873" i="5"/>
  <c r="S873" i="5"/>
  <c r="N874" i="5"/>
  <c r="P874" i="5" s="1"/>
  <c r="O874" i="5"/>
  <c r="Q874" i="5"/>
  <c r="S874" i="5" s="1"/>
  <c r="R874" i="5"/>
  <c r="N875" i="5"/>
  <c r="O875" i="5"/>
  <c r="P875" i="5"/>
  <c r="Q875" i="5"/>
  <c r="S875" i="5" s="1"/>
  <c r="R875" i="5"/>
  <c r="N876" i="5"/>
  <c r="P876" i="5" s="1"/>
  <c r="O876" i="5"/>
  <c r="Q876" i="5"/>
  <c r="S876" i="5" s="1"/>
  <c r="R876" i="5"/>
  <c r="N877" i="5"/>
  <c r="P877" i="5" s="1"/>
  <c r="O877" i="5"/>
  <c r="Q877" i="5"/>
  <c r="R877" i="5"/>
  <c r="S877" i="5"/>
  <c r="N878" i="5"/>
  <c r="P878" i="5" s="1"/>
  <c r="O878" i="5"/>
  <c r="Q878" i="5"/>
  <c r="S878" i="5" s="1"/>
  <c r="R878" i="5"/>
  <c r="N879" i="5"/>
  <c r="P879" i="5" s="1"/>
  <c r="O879" i="5"/>
  <c r="Q879" i="5"/>
  <c r="S879" i="5" s="1"/>
  <c r="R879" i="5"/>
  <c r="N880" i="5"/>
  <c r="O880" i="5"/>
  <c r="P880" i="5"/>
  <c r="Q880" i="5"/>
  <c r="S880" i="5" s="1"/>
  <c r="R880" i="5"/>
  <c r="N881" i="5"/>
  <c r="P881" i="5" s="1"/>
  <c r="O881" i="5"/>
  <c r="Q881" i="5"/>
  <c r="R881" i="5"/>
  <c r="S881" i="5"/>
  <c r="N882" i="5"/>
  <c r="P882" i="5" s="1"/>
  <c r="O882" i="5"/>
  <c r="Q882" i="5"/>
  <c r="S882" i="5" s="1"/>
  <c r="R882" i="5"/>
  <c r="N883" i="5"/>
  <c r="O883" i="5"/>
  <c r="P883" i="5"/>
  <c r="Q883" i="5"/>
  <c r="S883" i="5" s="1"/>
  <c r="R883" i="5"/>
  <c r="N884" i="5"/>
  <c r="P884" i="5" s="1"/>
  <c r="O884" i="5"/>
  <c r="Q884" i="5"/>
  <c r="S884" i="5" s="1"/>
  <c r="R884" i="5"/>
  <c r="N885" i="5"/>
  <c r="P885" i="5" s="1"/>
  <c r="O885" i="5"/>
  <c r="Q885" i="5"/>
  <c r="R885" i="5"/>
  <c r="S885" i="5"/>
  <c r="N886" i="5"/>
  <c r="P886" i="5" s="1"/>
  <c r="O886" i="5"/>
  <c r="Q886" i="5"/>
  <c r="S886" i="5" s="1"/>
  <c r="R886" i="5"/>
  <c r="N887" i="5"/>
  <c r="P887" i="5" s="1"/>
  <c r="O887" i="5"/>
  <c r="Q887" i="5"/>
  <c r="S887" i="5" s="1"/>
  <c r="R887" i="5"/>
  <c r="N888" i="5"/>
  <c r="O888" i="5"/>
  <c r="P888" i="5"/>
  <c r="Q888" i="5"/>
  <c r="S888" i="5" s="1"/>
  <c r="R888" i="5"/>
  <c r="N889" i="5"/>
  <c r="P889" i="5" s="1"/>
  <c r="O889" i="5"/>
  <c r="Q889" i="5"/>
  <c r="R889" i="5"/>
  <c r="S889" i="5"/>
  <c r="N890" i="5"/>
  <c r="P890" i="5" s="1"/>
  <c r="O890" i="5"/>
  <c r="Q890" i="5"/>
  <c r="S890" i="5" s="1"/>
  <c r="R890" i="5"/>
  <c r="N891" i="5"/>
  <c r="O891" i="5"/>
  <c r="P891" i="5"/>
  <c r="Q891" i="5"/>
  <c r="S891" i="5" s="1"/>
  <c r="R891" i="5"/>
  <c r="N892" i="5"/>
  <c r="P892" i="5" s="1"/>
  <c r="O892" i="5"/>
  <c r="Q892" i="5"/>
  <c r="S892" i="5" s="1"/>
  <c r="R892" i="5"/>
  <c r="N893" i="5"/>
  <c r="P893" i="5" s="1"/>
  <c r="O893" i="5"/>
  <c r="Q893" i="5"/>
  <c r="R893" i="5"/>
  <c r="S893" i="5"/>
  <c r="N894" i="5"/>
  <c r="P894" i="5" s="1"/>
  <c r="O894" i="5"/>
  <c r="Q894" i="5"/>
  <c r="S894" i="5" s="1"/>
  <c r="R894" i="5"/>
  <c r="N895" i="5"/>
  <c r="P895" i="5" s="1"/>
  <c r="O895" i="5"/>
  <c r="Q895" i="5"/>
  <c r="S895" i="5" s="1"/>
  <c r="R895" i="5"/>
  <c r="N896" i="5"/>
  <c r="O896" i="5"/>
  <c r="P896" i="5"/>
  <c r="Q896" i="5"/>
  <c r="S896" i="5" s="1"/>
  <c r="R896" i="5"/>
  <c r="N897" i="5"/>
  <c r="P897" i="5" s="1"/>
  <c r="O897" i="5"/>
  <c r="Q897" i="5"/>
  <c r="R897" i="5"/>
  <c r="S897" i="5"/>
  <c r="N898" i="5"/>
  <c r="P898" i="5" s="1"/>
  <c r="O898" i="5"/>
  <c r="Q898" i="5"/>
  <c r="S898" i="5" s="1"/>
  <c r="R898" i="5"/>
  <c r="N899" i="5"/>
  <c r="O899" i="5"/>
  <c r="P899" i="5"/>
  <c r="Q899" i="5"/>
  <c r="S899" i="5" s="1"/>
  <c r="R899" i="5"/>
  <c r="N900" i="5"/>
  <c r="P900" i="5" s="1"/>
  <c r="O900" i="5"/>
  <c r="Q900" i="5"/>
  <c r="S900" i="5" s="1"/>
  <c r="R900" i="5"/>
  <c r="N901" i="5"/>
  <c r="P901" i="5" s="1"/>
  <c r="O901" i="5"/>
  <c r="Q901" i="5"/>
  <c r="R901" i="5"/>
  <c r="S901" i="5"/>
  <c r="N902" i="5"/>
  <c r="P902" i="5" s="1"/>
  <c r="O902" i="5"/>
  <c r="Q902" i="5"/>
  <c r="S902" i="5" s="1"/>
  <c r="R902" i="5"/>
  <c r="N903" i="5"/>
  <c r="P903" i="5" s="1"/>
  <c r="O903" i="5"/>
  <c r="Q903" i="5"/>
  <c r="S903" i="5" s="1"/>
  <c r="R903" i="5"/>
  <c r="N904" i="5"/>
  <c r="O904" i="5"/>
  <c r="P904" i="5"/>
  <c r="Q904" i="5"/>
  <c r="S904" i="5" s="1"/>
  <c r="R904" i="5"/>
  <c r="N905" i="5"/>
  <c r="P905" i="5" s="1"/>
  <c r="O905" i="5"/>
  <c r="Q905" i="5"/>
  <c r="R905" i="5"/>
  <c r="S905" i="5"/>
  <c r="N906" i="5"/>
  <c r="P906" i="5" s="1"/>
  <c r="O906" i="5"/>
  <c r="Q906" i="5"/>
  <c r="S906" i="5" s="1"/>
  <c r="R906" i="5"/>
  <c r="N907" i="5"/>
  <c r="O907" i="5"/>
  <c r="P907" i="5"/>
  <c r="Q907" i="5"/>
  <c r="S907" i="5" s="1"/>
  <c r="R907" i="5"/>
  <c r="N908" i="5"/>
  <c r="P908" i="5" s="1"/>
  <c r="O908" i="5"/>
  <c r="Q908" i="5"/>
  <c r="S908" i="5" s="1"/>
  <c r="R908" i="5"/>
  <c r="N909" i="5"/>
  <c r="P909" i="5" s="1"/>
  <c r="O909" i="5"/>
  <c r="Q909" i="5"/>
  <c r="R909" i="5"/>
  <c r="S909" i="5"/>
  <c r="N910" i="5"/>
  <c r="P910" i="5" s="1"/>
  <c r="O910" i="5"/>
  <c r="Q910" i="5"/>
  <c r="S910" i="5" s="1"/>
  <c r="R910" i="5"/>
  <c r="N911" i="5"/>
  <c r="P911" i="5" s="1"/>
  <c r="O911" i="5"/>
  <c r="Q911" i="5"/>
  <c r="S911" i="5" s="1"/>
  <c r="R911" i="5"/>
  <c r="N912" i="5"/>
  <c r="O912" i="5"/>
  <c r="P912" i="5"/>
  <c r="Q912" i="5"/>
  <c r="S912" i="5" s="1"/>
  <c r="R912" i="5"/>
  <c r="N913" i="5"/>
  <c r="P913" i="5" s="1"/>
  <c r="O913" i="5"/>
  <c r="Q913" i="5"/>
  <c r="R913" i="5"/>
  <c r="S913" i="5"/>
  <c r="N914" i="5"/>
  <c r="P914" i="5" s="1"/>
  <c r="O914" i="5"/>
  <c r="Q914" i="5"/>
  <c r="S914" i="5" s="1"/>
  <c r="R914" i="5"/>
  <c r="N915" i="5"/>
  <c r="O915" i="5"/>
  <c r="P915" i="5"/>
  <c r="Q915" i="5"/>
  <c r="S915" i="5" s="1"/>
  <c r="R915" i="5"/>
  <c r="N916" i="5"/>
  <c r="P916" i="5" s="1"/>
  <c r="O916" i="5"/>
  <c r="Q916" i="5"/>
  <c r="S916" i="5" s="1"/>
  <c r="R916" i="5"/>
  <c r="N917" i="5"/>
  <c r="P917" i="5" s="1"/>
  <c r="O917" i="5"/>
  <c r="Q917" i="5"/>
  <c r="R917" i="5"/>
  <c r="S917" i="5"/>
  <c r="N918" i="5"/>
  <c r="P918" i="5" s="1"/>
  <c r="O918" i="5"/>
  <c r="Q918" i="5"/>
  <c r="S918" i="5" s="1"/>
  <c r="R918" i="5"/>
  <c r="N919" i="5"/>
  <c r="P919" i="5" s="1"/>
  <c r="O919" i="5"/>
  <c r="Q919" i="5"/>
  <c r="S919" i="5" s="1"/>
  <c r="R919" i="5"/>
  <c r="N920" i="5"/>
  <c r="O920" i="5"/>
  <c r="P920" i="5"/>
  <c r="Q920" i="5"/>
  <c r="S920" i="5" s="1"/>
  <c r="R920" i="5"/>
  <c r="N921" i="5"/>
  <c r="P921" i="5" s="1"/>
  <c r="O921" i="5"/>
  <c r="Q921" i="5"/>
  <c r="R921" i="5"/>
  <c r="S921" i="5"/>
  <c r="N922" i="5"/>
  <c r="P922" i="5" s="1"/>
  <c r="O922" i="5"/>
  <c r="Q922" i="5"/>
  <c r="S922" i="5" s="1"/>
  <c r="R922" i="5"/>
  <c r="N923" i="5"/>
  <c r="O923" i="5"/>
  <c r="P923" i="5"/>
  <c r="Q923" i="5"/>
  <c r="S923" i="5" s="1"/>
  <c r="R923" i="5"/>
  <c r="N924" i="5"/>
  <c r="P924" i="5" s="1"/>
  <c r="O924" i="5"/>
  <c r="Q924" i="5"/>
  <c r="S924" i="5" s="1"/>
  <c r="R924" i="5"/>
  <c r="N925" i="5"/>
  <c r="P925" i="5" s="1"/>
  <c r="O925" i="5"/>
  <c r="Q925" i="5"/>
  <c r="R925" i="5"/>
  <c r="S925" i="5"/>
  <c r="N926" i="5"/>
  <c r="P926" i="5" s="1"/>
  <c r="O926" i="5"/>
  <c r="Q926" i="5"/>
  <c r="S926" i="5" s="1"/>
  <c r="R926" i="5"/>
  <c r="N927" i="5"/>
  <c r="P927" i="5" s="1"/>
  <c r="O927" i="5"/>
  <c r="Q927" i="5"/>
  <c r="S927" i="5" s="1"/>
  <c r="R927" i="5"/>
  <c r="N928" i="5"/>
  <c r="O928" i="5"/>
  <c r="P928" i="5"/>
  <c r="Q928" i="5"/>
  <c r="S928" i="5" s="1"/>
  <c r="R928" i="5"/>
  <c r="N929" i="5"/>
  <c r="P929" i="5" s="1"/>
  <c r="O929" i="5"/>
  <c r="Q929" i="5"/>
  <c r="R929" i="5"/>
  <c r="S929" i="5"/>
  <c r="N930" i="5"/>
  <c r="P930" i="5" s="1"/>
  <c r="O930" i="5"/>
  <c r="Q930" i="5"/>
  <c r="S930" i="5" s="1"/>
  <c r="R930" i="5"/>
  <c r="N931" i="5"/>
  <c r="O931" i="5"/>
  <c r="P931" i="5"/>
  <c r="Q931" i="5"/>
  <c r="S931" i="5" s="1"/>
  <c r="R931" i="5"/>
  <c r="N932" i="5"/>
  <c r="P932" i="5" s="1"/>
  <c r="O932" i="5"/>
  <c r="Q932" i="5"/>
  <c r="S932" i="5" s="1"/>
  <c r="R932" i="5"/>
  <c r="N933" i="5"/>
  <c r="P933" i="5" s="1"/>
  <c r="O933" i="5"/>
  <c r="Q933" i="5"/>
  <c r="R933" i="5"/>
  <c r="S933" i="5"/>
  <c r="N934" i="5"/>
  <c r="P934" i="5" s="1"/>
  <c r="O934" i="5"/>
  <c r="Q934" i="5"/>
  <c r="S934" i="5" s="1"/>
  <c r="R934" i="5"/>
  <c r="N935" i="5"/>
  <c r="P935" i="5" s="1"/>
  <c r="O935" i="5"/>
  <c r="Q935" i="5"/>
  <c r="S935" i="5" s="1"/>
  <c r="R935" i="5"/>
  <c r="N936" i="5"/>
  <c r="O936" i="5"/>
  <c r="P936" i="5"/>
  <c r="Q936" i="5"/>
  <c r="S936" i="5" s="1"/>
  <c r="R936" i="5"/>
  <c r="N937" i="5"/>
  <c r="P937" i="5" s="1"/>
  <c r="O937" i="5"/>
  <c r="Q937" i="5"/>
  <c r="R937" i="5"/>
  <c r="S937" i="5"/>
  <c r="N938" i="5"/>
  <c r="P938" i="5" s="1"/>
  <c r="O938" i="5"/>
  <c r="Q938" i="5"/>
  <c r="S938" i="5" s="1"/>
  <c r="R938" i="5"/>
  <c r="N939" i="5"/>
  <c r="O939" i="5"/>
  <c r="P939" i="5"/>
  <c r="Q939" i="5"/>
  <c r="S939" i="5" s="1"/>
  <c r="R939" i="5"/>
  <c r="N940" i="5"/>
  <c r="P940" i="5" s="1"/>
  <c r="O940" i="5"/>
  <c r="Q940" i="5"/>
  <c r="S940" i="5" s="1"/>
  <c r="R940" i="5"/>
  <c r="N941" i="5"/>
  <c r="P941" i="5" s="1"/>
  <c r="O941" i="5"/>
  <c r="Q941" i="5"/>
  <c r="R941" i="5"/>
  <c r="S941" i="5"/>
  <c r="N942" i="5"/>
  <c r="P942" i="5" s="1"/>
  <c r="O942" i="5"/>
  <c r="Q942" i="5"/>
  <c r="S942" i="5" s="1"/>
  <c r="R942" i="5"/>
  <c r="N943" i="5"/>
  <c r="P943" i="5" s="1"/>
  <c r="O943" i="5"/>
  <c r="Q943" i="5"/>
  <c r="S943" i="5" s="1"/>
  <c r="R943" i="5"/>
  <c r="N944" i="5"/>
  <c r="O944" i="5"/>
  <c r="P944" i="5"/>
  <c r="Q944" i="5"/>
  <c r="S944" i="5" s="1"/>
  <c r="R944" i="5"/>
  <c r="N945" i="5"/>
  <c r="P945" i="5" s="1"/>
  <c r="O945" i="5"/>
  <c r="Q945" i="5"/>
  <c r="R945" i="5"/>
  <c r="S945" i="5"/>
  <c r="N946" i="5"/>
  <c r="P946" i="5" s="1"/>
  <c r="O946" i="5"/>
  <c r="Q946" i="5"/>
  <c r="S946" i="5" s="1"/>
  <c r="R946" i="5"/>
  <c r="N947" i="5"/>
  <c r="O947" i="5"/>
  <c r="P947" i="5"/>
  <c r="Q947" i="5"/>
  <c r="S947" i="5" s="1"/>
  <c r="R947" i="5"/>
  <c r="N948" i="5"/>
  <c r="P948" i="5" s="1"/>
  <c r="O948" i="5"/>
  <c r="Q948" i="5"/>
  <c r="S948" i="5" s="1"/>
  <c r="R948" i="5"/>
  <c r="N949" i="5"/>
  <c r="P949" i="5" s="1"/>
  <c r="O949" i="5"/>
  <c r="Q949" i="5"/>
  <c r="R949" i="5"/>
  <c r="S949" i="5"/>
  <c r="N950" i="5"/>
  <c r="P950" i="5" s="1"/>
  <c r="O950" i="5"/>
  <c r="Q950" i="5"/>
  <c r="S950" i="5" s="1"/>
  <c r="R950" i="5"/>
  <c r="N951" i="5"/>
  <c r="P951" i="5" s="1"/>
  <c r="O951" i="5"/>
  <c r="Q951" i="5"/>
  <c r="S951" i="5" s="1"/>
  <c r="R951" i="5"/>
  <c r="N952" i="5"/>
  <c r="O952" i="5"/>
  <c r="P952" i="5"/>
  <c r="Q952" i="5"/>
  <c r="S952" i="5" s="1"/>
  <c r="R952" i="5"/>
  <c r="N953" i="5"/>
  <c r="P953" i="5" s="1"/>
  <c r="O953" i="5"/>
  <c r="Q953" i="5"/>
  <c r="R953" i="5"/>
  <c r="S953" i="5"/>
  <c r="N954" i="5"/>
  <c r="P954" i="5" s="1"/>
  <c r="O954" i="5"/>
  <c r="Q954" i="5"/>
  <c r="S954" i="5" s="1"/>
  <c r="R954" i="5"/>
  <c r="N955" i="5"/>
  <c r="P955" i="5" s="1"/>
  <c r="O955" i="5"/>
  <c r="Q955" i="5"/>
  <c r="S955" i="5" s="1"/>
  <c r="R955" i="5"/>
  <c r="N956" i="5"/>
  <c r="P956" i="5" s="1"/>
  <c r="O956" i="5"/>
  <c r="Q956" i="5"/>
  <c r="S956" i="5" s="1"/>
  <c r="R956" i="5"/>
  <c r="N957" i="5"/>
  <c r="P957" i="5" s="1"/>
  <c r="O957" i="5"/>
  <c r="Q957" i="5"/>
  <c r="S957" i="5" s="1"/>
  <c r="R957" i="5"/>
  <c r="N958" i="5"/>
  <c r="P958" i="5" s="1"/>
  <c r="O958" i="5"/>
  <c r="Q958" i="5"/>
  <c r="S958" i="5" s="1"/>
  <c r="R958" i="5"/>
  <c r="N959" i="5"/>
  <c r="P959" i="5" s="1"/>
  <c r="O959" i="5"/>
  <c r="Q959" i="5"/>
  <c r="S959" i="5" s="1"/>
  <c r="R959" i="5"/>
  <c r="N960" i="5"/>
  <c r="O960" i="5"/>
  <c r="P960" i="5"/>
  <c r="Q960" i="5"/>
  <c r="S960" i="5" s="1"/>
  <c r="R960" i="5"/>
  <c r="N961" i="5"/>
  <c r="P961" i="5" s="1"/>
  <c r="O961" i="5"/>
  <c r="Q961" i="5"/>
  <c r="R961" i="5"/>
  <c r="S961" i="5"/>
  <c r="N962" i="5"/>
  <c r="P962" i="5" s="1"/>
  <c r="O962" i="5"/>
  <c r="Q962" i="5"/>
  <c r="S962" i="5" s="1"/>
  <c r="R962" i="5"/>
  <c r="N963" i="5"/>
  <c r="O963" i="5"/>
  <c r="P963" i="5"/>
  <c r="Q963" i="5"/>
  <c r="S963" i="5" s="1"/>
  <c r="R963" i="5"/>
  <c r="N964" i="5"/>
  <c r="P964" i="5" s="1"/>
  <c r="O964" i="5"/>
  <c r="Q964" i="5"/>
  <c r="S964" i="5" s="1"/>
  <c r="R964" i="5"/>
  <c r="N965" i="5"/>
  <c r="P965" i="5" s="1"/>
  <c r="O965" i="5"/>
  <c r="Q965" i="5"/>
  <c r="R965" i="5"/>
  <c r="S965" i="5"/>
  <c r="N966" i="5"/>
  <c r="P966" i="5" s="1"/>
  <c r="O966" i="5"/>
  <c r="Q966" i="5"/>
  <c r="S966" i="5" s="1"/>
  <c r="R966" i="5"/>
  <c r="N967" i="5"/>
  <c r="P967" i="5" s="1"/>
  <c r="O967" i="5"/>
  <c r="Q967" i="5"/>
  <c r="S967" i="5" s="1"/>
  <c r="R967" i="5"/>
  <c r="N968" i="5"/>
  <c r="O968" i="5"/>
  <c r="P968" i="5"/>
  <c r="Q968" i="5"/>
  <c r="S968" i="5" s="1"/>
  <c r="R968" i="5"/>
  <c r="N969" i="5"/>
  <c r="P969" i="5" s="1"/>
  <c r="O969" i="5"/>
  <c r="Q969" i="5"/>
  <c r="R969" i="5"/>
  <c r="S969" i="5"/>
  <c r="N970" i="5"/>
  <c r="P970" i="5" s="1"/>
  <c r="O970" i="5"/>
  <c r="Q970" i="5"/>
  <c r="S970" i="5" s="1"/>
  <c r="R970" i="5"/>
  <c r="N971" i="5"/>
  <c r="P971" i="5" s="1"/>
  <c r="O971" i="5"/>
  <c r="Q971" i="5"/>
  <c r="S971" i="5" s="1"/>
  <c r="R971" i="5"/>
  <c r="N972" i="5"/>
  <c r="P972" i="5" s="1"/>
  <c r="O972" i="5"/>
  <c r="Q972" i="5"/>
  <c r="S972" i="5" s="1"/>
  <c r="R972" i="5"/>
  <c r="N973" i="5"/>
  <c r="O973" i="5"/>
  <c r="P973" i="5"/>
  <c r="Q973" i="5"/>
  <c r="R973" i="5"/>
  <c r="S973" i="5"/>
  <c r="N974" i="5"/>
  <c r="P974" i="5" s="1"/>
  <c r="O974" i="5"/>
  <c r="Q974" i="5"/>
  <c r="S974" i="5" s="1"/>
  <c r="R974" i="5"/>
  <c r="N975" i="5"/>
  <c r="P975" i="5" s="1"/>
  <c r="O975" i="5"/>
  <c r="Q975" i="5"/>
  <c r="R975" i="5"/>
  <c r="S975" i="5"/>
  <c r="N976" i="5"/>
  <c r="O976" i="5"/>
  <c r="P976" i="5"/>
  <c r="Q976" i="5"/>
  <c r="S976" i="5" s="1"/>
  <c r="R976" i="5"/>
  <c r="N977" i="5"/>
  <c r="P977" i="5" s="1"/>
  <c r="O977" i="5"/>
  <c r="Q977" i="5"/>
  <c r="S977" i="5" s="1"/>
  <c r="R977" i="5"/>
  <c r="N978" i="5"/>
  <c r="P978" i="5" s="1"/>
  <c r="O978" i="5"/>
  <c r="Q978" i="5"/>
  <c r="S978" i="5" s="1"/>
  <c r="R978" i="5"/>
  <c r="N979" i="5"/>
  <c r="O979" i="5"/>
  <c r="P979" i="5"/>
  <c r="Q979" i="5"/>
  <c r="S979" i="5" s="1"/>
  <c r="R979" i="5"/>
  <c r="N980" i="5"/>
  <c r="P980" i="5" s="1"/>
  <c r="O980" i="5"/>
  <c r="Q980" i="5"/>
  <c r="S980" i="5" s="1"/>
  <c r="R980" i="5"/>
  <c r="N981" i="5"/>
  <c r="P981" i="5" s="1"/>
  <c r="O981" i="5"/>
  <c r="Q981" i="5"/>
  <c r="R981" i="5"/>
  <c r="S981" i="5"/>
  <c r="N982" i="5"/>
  <c r="P982" i="5" s="1"/>
  <c r="O982" i="5"/>
  <c r="Q982" i="5"/>
  <c r="S982" i="5" s="1"/>
  <c r="R982" i="5"/>
  <c r="N983" i="5"/>
  <c r="P983" i="5" s="1"/>
  <c r="O983" i="5"/>
  <c r="Q983" i="5"/>
  <c r="S983" i="5" s="1"/>
  <c r="R983" i="5"/>
  <c r="N984" i="5"/>
  <c r="O984" i="5"/>
  <c r="P984" i="5"/>
  <c r="Q984" i="5"/>
  <c r="S984" i="5" s="1"/>
  <c r="R984" i="5"/>
  <c r="N985" i="5"/>
  <c r="P985" i="5" s="1"/>
  <c r="O985" i="5"/>
  <c r="Q985" i="5"/>
  <c r="R985" i="5"/>
  <c r="S985" i="5"/>
  <c r="N986" i="5"/>
  <c r="P986" i="5" s="1"/>
  <c r="O986" i="5"/>
  <c r="Q986" i="5"/>
  <c r="S986" i="5" s="1"/>
  <c r="R986" i="5"/>
  <c r="N987" i="5"/>
  <c r="P987" i="5" s="1"/>
  <c r="O987" i="5"/>
  <c r="Q987" i="5"/>
  <c r="S987" i="5" s="1"/>
  <c r="R987" i="5"/>
  <c r="N988" i="5"/>
  <c r="P988" i="5" s="1"/>
  <c r="O988" i="5"/>
  <c r="Q988" i="5"/>
  <c r="S988" i="5" s="1"/>
  <c r="R988" i="5"/>
  <c r="N989" i="5"/>
  <c r="O989" i="5"/>
  <c r="P989" i="5"/>
  <c r="Q989" i="5"/>
  <c r="R989" i="5"/>
  <c r="S989" i="5"/>
  <c r="N990" i="5"/>
  <c r="P990" i="5" s="1"/>
  <c r="O990" i="5"/>
  <c r="Q990" i="5"/>
  <c r="S990" i="5" s="1"/>
  <c r="R990" i="5"/>
  <c r="N991" i="5"/>
  <c r="P991" i="5" s="1"/>
  <c r="O991" i="5"/>
  <c r="Q991" i="5"/>
  <c r="R991" i="5"/>
  <c r="S991" i="5"/>
  <c r="N992" i="5"/>
  <c r="O992" i="5"/>
  <c r="P992" i="5"/>
  <c r="Q992" i="5"/>
  <c r="S992" i="5" s="1"/>
  <c r="R992" i="5"/>
  <c r="N993" i="5"/>
  <c r="P993" i="5" s="1"/>
  <c r="O993" i="5"/>
  <c r="Q993" i="5"/>
  <c r="S993" i="5" s="1"/>
  <c r="R993" i="5"/>
  <c r="N994" i="5"/>
  <c r="P994" i="5" s="1"/>
  <c r="O994" i="5"/>
  <c r="Q994" i="5"/>
  <c r="S994" i="5" s="1"/>
  <c r="R994" i="5"/>
  <c r="N995" i="5"/>
  <c r="O995" i="5"/>
  <c r="P995" i="5"/>
  <c r="Q995" i="5"/>
  <c r="S995" i="5" s="1"/>
  <c r="R995" i="5"/>
  <c r="N996" i="5"/>
  <c r="P996" i="5" s="1"/>
  <c r="O996" i="5"/>
  <c r="Q996" i="5"/>
  <c r="S996" i="5" s="1"/>
  <c r="R996" i="5"/>
  <c r="N997" i="5"/>
  <c r="P997" i="5" s="1"/>
  <c r="O997" i="5"/>
  <c r="Q997" i="5"/>
  <c r="R997" i="5"/>
  <c r="S997" i="5"/>
  <c r="N998" i="5"/>
  <c r="P998" i="5" s="1"/>
  <c r="O998" i="5"/>
  <c r="Q998" i="5"/>
  <c r="S998" i="5" s="1"/>
  <c r="R998" i="5"/>
  <c r="N999" i="5"/>
  <c r="P999" i="5" s="1"/>
  <c r="O999" i="5"/>
  <c r="Q999" i="5"/>
  <c r="S999" i="5" s="1"/>
  <c r="R999" i="5"/>
  <c r="N1000" i="5"/>
  <c r="O1000" i="5"/>
  <c r="P1000" i="5"/>
  <c r="Q1000" i="5"/>
  <c r="S1000" i="5" s="1"/>
  <c r="R1000" i="5"/>
  <c r="N1001" i="5"/>
  <c r="P1001" i="5" s="1"/>
  <c r="O1001" i="5"/>
  <c r="Q1001" i="5"/>
  <c r="R1001" i="5"/>
  <c r="S1001" i="5"/>
  <c r="N1002" i="5"/>
  <c r="P1002" i="5" s="1"/>
  <c r="O1002" i="5"/>
  <c r="Q1002" i="5"/>
  <c r="S1002" i="5" s="1"/>
  <c r="R1002" i="5"/>
  <c r="N1003" i="5"/>
  <c r="P1003" i="5" s="1"/>
  <c r="O1003" i="5"/>
  <c r="Q1003" i="5"/>
  <c r="S1003" i="5" s="1"/>
  <c r="R1003" i="5"/>
  <c r="N1004" i="5"/>
  <c r="P1004" i="5" s="1"/>
  <c r="O1004" i="5"/>
  <c r="Q1004" i="5"/>
  <c r="S1004" i="5" s="1"/>
  <c r="R1004" i="5"/>
  <c r="N1005" i="5"/>
  <c r="O1005" i="5"/>
  <c r="P1005" i="5"/>
  <c r="Q1005" i="5"/>
  <c r="R1005" i="5"/>
  <c r="S1005" i="5"/>
  <c r="N1006" i="5"/>
  <c r="P1006" i="5" s="1"/>
  <c r="O1006" i="5"/>
  <c r="Q1006" i="5"/>
  <c r="S1006" i="5" s="1"/>
  <c r="R1006" i="5"/>
  <c r="N1007" i="5"/>
  <c r="P1007" i="5" s="1"/>
  <c r="O1007" i="5"/>
  <c r="Q1007" i="5"/>
  <c r="R1007" i="5"/>
  <c r="S1007" i="5"/>
  <c r="N1008" i="5"/>
  <c r="O1008" i="5"/>
  <c r="P1008" i="5"/>
  <c r="Q1008" i="5"/>
  <c r="S1008" i="5" s="1"/>
  <c r="R1008" i="5"/>
  <c r="N1009" i="5"/>
  <c r="P1009" i="5" s="1"/>
  <c r="O1009" i="5"/>
  <c r="Q1009" i="5"/>
  <c r="S1009" i="5" s="1"/>
  <c r="R1009" i="5"/>
  <c r="N1010" i="5"/>
  <c r="P1010" i="5" s="1"/>
  <c r="O1010" i="5"/>
  <c r="Q1010" i="5"/>
  <c r="S1010" i="5" s="1"/>
  <c r="R1010" i="5"/>
  <c r="N1011" i="5"/>
  <c r="O1011" i="5"/>
  <c r="P1011" i="5"/>
  <c r="Q1011" i="5"/>
  <c r="S1011" i="5" s="1"/>
  <c r="R1011" i="5"/>
  <c r="N1012" i="5"/>
  <c r="P1012" i="5" s="1"/>
  <c r="O1012" i="5"/>
  <c r="Q1012" i="5"/>
  <c r="S1012" i="5" s="1"/>
  <c r="R1012" i="5"/>
  <c r="N1013" i="5"/>
  <c r="P1013" i="5" s="1"/>
  <c r="O1013" i="5"/>
  <c r="Q1013" i="5"/>
  <c r="R1013" i="5"/>
  <c r="S1013" i="5"/>
  <c r="N1014" i="5"/>
  <c r="P1014" i="5" s="1"/>
  <c r="O1014" i="5"/>
  <c r="Q1014" i="5"/>
  <c r="S1014" i="5" s="1"/>
  <c r="R1014" i="5"/>
  <c r="N1015" i="5"/>
  <c r="P1015" i="5" s="1"/>
  <c r="O1015" i="5"/>
  <c r="Q1015" i="5"/>
  <c r="S1015" i="5" s="1"/>
  <c r="R1015" i="5"/>
  <c r="N1016" i="5"/>
  <c r="O1016" i="5"/>
  <c r="P1016" i="5"/>
  <c r="Q1016" i="5"/>
  <c r="S1016" i="5" s="1"/>
  <c r="R1016" i="5"/>
  <c r="N1017" i="5"/>
  <c r="P1017" i="5" s="1"/>
  <c r="O1017" i="5"/>
  <c r="Q1017" i="5"/>
  <c r="R1017" i="5"/>
  <c r="S1017" i="5"/>
  <c r="N1018" i="5"/>
  <c r="P1018" i="5" s="1"/>
  <c r="O1018" i="5"/>
  <c r="Q1018" i="5"/>
  <c r="S1018" i="5" s="1"/>
  <c r="R1018" i="5"/>
  <c r="N1019" i="5"/>
  <c r="P1019" i="5" s="1"/>
  <c r="O1019" i="5"/>
  <c r="Q1019" i="5"/>
  <c r="S1019" i="5" s="1"/>
  <c r="R1019" i="5"/>
  <c r="N1020" i="5"/>
  <c r="P1020" i="5" s="1"/>
  <c r="O1020" i="5"/>
  <c r="Q1020" i="5"/>
  <c r="S1020" i="5" s="1"/>
  <c r="R1020" i="5"/>
  <c r="N1021" i="5"/>
  <c r="O1021" i="5"/>
  <c r="P1021" i="5"/>
  <c r="Q1021" i="5"/>
  <c r="R1021" i="5"/>
  <c r="S1021" i="5"/>
  <c r="N1022" i="5"/>
  <c r="P1022" i="5" s="1"/>
  <c r="O1022" i="5"/>
  <c r="Q1022" i="5"/>
  <c r="S1022" i="5" s="1"/>
  <c r="R1022" i="5"/>
  <c r="N1023" i="5"/>
  <c r="P1023" i="5" s="1"/>
  <c r="O1023" i="5"/>
  <c r="Q1023" i="5"/>
  <c r="R1023" i="5"/>
  <c r="S1023" i="5"/>
  <c r="N1024" i="5"/>
  <c r="O1024" i="5"/>
  <c r="P1024" i="5"/>
  <c r="Q1024" i="5"/>
  <c r="S1024" i="5" s="1"/>
  <c r="R1024" i="5"/>
  <c r="N1025" i="5"/>
  <c r="P1025" i="5" s="1"/>
  <c r="O1025" i="5"/>
  <c r="Q1025" i="5"/>
  <c r="S1025" i="5" s="1"/>
  <c r="R1025" i="5"/>
  <c r="N1026" i="5"/>
  <c r="P1026" i="5" s="1"/>
  <c r="O1026" i="5"/>
  <c r="Q1026" i="5"/>
  <c r="S1026" i="5" s="1"/>
  <c r="R1026" i="5"/>
  <c r="N1027" i="5"/>
  <c r="O1027" i="5"/>
  <c r="P1027" i="5"/>
  <c r="Q1027" i="5"/>
  <c r="S1027" i="5" s="1"/>
  <c r="R1027" i="5"/>
  <c r="N1028" i="5"/>
  <c r="P1028" i="5" s="1"/>
  <c r="O1028" i="5"/>
  <c r="Q1028" i="5"/>
  <c r="S1028" i="5" s="1"/>
  <c r="R1028" i="5"/>
  <c r="N1029" i="5"/>
  <c r="P1029" i="5" s="1"/>
  <c r="O1029" i="5"/>
  <c r="Q1029" i="5"/>
  <c r="R1029" i="5"/>
  <c r="S1029" i="5"/>
  <c r="N1030" i="5"/>
  <c r="P1030" i="5" s="1"/>
  <c r="O1030" i="5"/>
  <c r="Q1030" i="5"/>
  <c r="S1030" i="5" s="1"/>
  <c r="R1030" i="5"/>
  <c r="N1031" i="5"/>
  <c r="P1031" i="5" s="1"/>
  <c r="O1031" i="5"/>
  <c r="Q1031" i="5"/>
  <c r="S1031" i="5" s="1"/>
  <c r="R1031" i="5"/>
  <c r="N1032" i="5"/>
  <c r="O1032" i="5"/>
  <c r="P1032" i="5"/>
  <c r="Q1032" i="5"/>
  <c r="S1032" i="5" s="1"/>
  <c r="R1032" i="5"/>
  <c r="N1033" i="5"/>
  <c r="P1033" i="5" s="1"/>
  <c r="O1033" i="5"/>
  <c r="Q1033" i="5"/>
  <c r="R1033" i="5"/>
  <c r="S1033" i="5"/>
  <c r="N1034" i="5"/>
  <c r="P1034" i="5" s="1"/>
  <c r="O1034" i="5"/>
  <c r="Q1034" i="5"/>
  <c r="S1034" i="5" s="1"/>
  <c r="R1034" i="5"/>
  <c r="N1035" i="5"/>
  <c r="P1035" i="5" s="1"/>
  <c r="O1035" i="5"/>
  <c r="Q1035" i="5"/>
  <c r="S1035" i="5" s="1"/>
  <c r="R1035" i="5"/>
  <c r="N1036" i="5"/>
  <c r="P1036" i="5" s="1"/>
  <c r="O1036" i="5"/>
  <c r="Q1036" i="5"/>
  <c r="S1036" i="5" s="1"/>
  <c r="R1036" i="5"/>
  <c r="N1037" i="5"/>
  <c r="O1037" i="5"/>
  <c r="P1037" i="5"/>
  <c r="Q1037" i="5"/>
  <c r="R1037" i="5"/>
  <c r="S1037" i="5"/>
  <c r="N1038" i="5"/>
  <c r="P1038" i="5" s="1"/>
  <c r="O1038" i="5"/>
  <c r="Q1038" i="5"/>
  <c r="S1038" i="5" s="1"/>
  <c r="R1038" i="5"/>
  <c r="N1039" i="5"/>
  <c r="P1039" i="5" s="1"/>
  <c r="O1039" i="5"/>
  <c r="Q1039" i="5"/>
  <c r="R1039" i="5"/>
  <c r="S1039" i="5"/>
  <c r="N1040" i="5"/>
  <c r="O1040" i="5"/>
  <c r="P1040" i="5"/>
  <c r="Q1040" i="5"/>
  <c r="S1040" i="5" s="1"/>
  <c r="R1040" i="5"/>
  <c r="N1041" i="5"/>
  <c r="P1041" i="5" s="1"/>
  <c r="O1041" i="5"/>
  <c r="Q1041" i="5"/>
  <c r="S1041" i="5" s="1"/>
  <c r="R1041" i="5"/>
  <c r="N1042" i="5"/>
  <c r="P1042" i="5" s="1"/>
  <c r="O1042" i="5"/>
  <c r="Q1042" i="5"/>
  <c r="S1042" i="5" s="1"/>
  <c r="R1042" i="5"/>
  <c r="N1043" i="5"/>
  <c r="O1043" i="5"/>
  <c r="P1043" i="5"/>
  <c r="Q1043" i="5"/>
  <c r="S1043" i="5" s="1"/>
  <c r="R1043" i="5"/>
  <c r="N1044" i="5"/>
  <c r="P1044" i="5" s="1"/>
  <c r="O1044" i="5"/>
  <c r="Q1044" i="5"/>
  <c r="S1044" i="5" s="1"/>
  <c r="R1044" i="5"/>
  <c r="N1045" i="5"/>
  <c r="P1045" i="5" s="1"/>
  <c r="O1045" i="5"/>
  <c r="Q1045" i="5"/>
  <c r="R1045" i="5"/>
  <c r="S1045" i="5"/>
  <c r="N1046" i="5"/>
  <c r="P1046" i="5" s="1"/>
  <c r="O1046" i="5"/>
  <c r="Q1046" i="5"/>
  <c r="S1046" i="5" s="1"/>
  <c r="R1046" i="5"/>
  <c r="N1047" i="5"/>
  <c r="P1047" i="5" s="1"/>
  <c r="O1047" i="5"/>
  <c r="Q1047" i="5"/>
  <c r="S1047" i="5" s="1"/>
  <c r="R1047" i="5"/>
  <c r="N1048" i="5"/>
  <c r="O1048" i="5"/>
  <c r="P1048" i="5"/>
  <c r="Q1048" i="5"/>
  <c r="S1048" i="5" s="1"/>
  <c r="R1048" i="5"/>
  <c r="N1049" i="5"/>
  <c r="P1049" i="5" s="1"/>
  <c r="O1049" i="5"/>
  <c r="Q1049" i="5"/>
  <c r="R1049" i="5"/>
  <c r="S1049" i="5"/>
  <c r="N1050" i="5"/>
  <c r="P1050" i="5" s="1"/>
  <c r="O1050" i="5"/>
  <c r="Q1050" i="5"/>
  <c r="S1050" i="5" s="1"/>
  <c r="R1050" i="5"/>
  <c r="N1051" i="5"/>
  <c r="P1051" i="5" s="1"/>
  <c r="O1051" i="5"/>
  <c r="Q1051" i="5"/>
  <c r="S1051" i="5" s="1"/>
  <c r="R1051" i="5"/>
  <c r="N1052" i="5"/>
  <c r="P1052" i="5" s="1"/>
  <c r="O1052" i="5"/>
  <c r="Q1052" i="5"/>
  <c r="S1052" i="5" s="1"/>
  <c r="R1052" i="5"/>
  <c r="N1053" i="5"/>
  <c r="O1053" i="5"/>
  <c r="P1053" i="5"/>
  <c r="Q1053" i="5"/>
  <c r="R1053" i="5"/>
  <c r="S1053" i="5"/>
  <c r="N1054" i="5"/>
  <c r="P1054" i="5" s="1"/>
  <c r="O1054" i="5"/>
  <c r="Q1054" i="5"/>
  <c r="S1054" i="5" s="1"/>
  <c r="R1054" i="5"/>
  <c r="N1055" i="5"/>
  <c r="P1055" i="5" s="1"/>
  <c r="O1055" i="5"/>
  <c r="Q1055" i="5"/>
  <c r="R1055" i="5"/>
  <c r="S1055" i="5"/>
  <c r="N1056" i="5"/>
  <c r="O1056" i="5"/>
  <c r="P1056" i="5"/>
  <c r="Q1056" i="5"/>
  <c r="S1056" i="5" s="1"/>
  <c r="R1056" i="5"/>
  <c r="N1057" i="5"/>
  <c r="P1057" i="5" s="1"/>
  <c r="O1057" i="5"/>
  <c r="Q1057" i="5"/>
  <c r="S1057" i="5" s="1"/>
  <c r="R1057" i="5"/>
  <c r="N1058" i="5"/>
  <c r="P1058" i="5" s="1"/>
  <c r="O1058" i="5"/>
  <c r="Q1058" i="5"/>
  <c r="S1058" i="5" s="1"/>
  <c r="R1058" i="5"/>
  <c r="N1059" i="5"/>
  <c r="O1059" i="5"/>
  <c r="P1059" i="5"/>
  <c r="Q1059" i="5"/>
  <c r="S1059" i="5" s="1"/>
  <c r="R1059" i="5"/>
  <c r="N1060" i="5"/>
  <c r="P1060" i="5" s="1"/>
  <c r="O1060" i="5"/>
  <c r="Q1060" i="5"/>
  <c r="S1060" i="5" s="1"/>
  <c r="R1060" i="5"/>
  <c r="N1061" i="5"/>
  <c r="P1061" i="5" s="1"/>
  <c r="O1061" i="5"/>
  <c r="Q1061" i="5"/>
  <c r="R1061" i="5"/>
  <c r="S1061" i="5"/>
  <c r="N1062" i="5"/>
  <c r="P1062" i="5" s="1"/>
  <c r="O1062" i="5"/>
  <c r="Q1062" i="5"/>
  <c r="S1062" i="5" s="1"/>
  <c r="R1062" i="5"/>
  <c r="N1063" i="5"/>
  <c r="P1063" i="5" s="1"/>
  <c r="O1063" i="5"/>
  <c r="Q1063" i="5"/>
  <c r="S1063" i="5" s="1"/>
  <c r="R1063" i="5"/>
  <c r="N1064" i="5"/>
  <c r="O1064" i="5"/>
  <c r="P1064" i="5"/>
  <c r="Q1064" i="5"/>
  <c r="S1064" i="5" s="1"/>
  <c r="R1064" i="5"/>
  <c r="N1065" i="5"/>
  <c r="P1065" i="5" s="1"/>
  <c r="O1065" i="5"/>
  <c r="Q1065" i="5"/>
  <c r="R1065" i="5"/>
  <c r="S1065" i="5"/>
  <c r="N1066" i="5"/>
  <c r="P1066" i="5" s="1"/>
  <c r="O1066" i="5"/>
  <c r="Q1066" i="5"/>
  <c r="S1066" i="5" s="1"/>
  <c r="R1066" i="5"/>
  <c r="N1067" i="5"/>
  <c r="P1067" i="5" s="1"/>
  <c r="O1067" i="5"/>
  <c r="Q1067" i="5"/>
  <c r="S1067" i="5" s="1"/>
  <c r="R1067" i="5"/>
  <c r="N1068" i="5"/>
  <c r="P1068" i="5" s="1"/>
  <c r="O1068" i="5"/>
  <c r="Q1068" i="5"/>
  <c r="S1068" i="5" s="1"/>
  <c r="R1068" i="5"/>
  <c r="N1069" i="5"/>
  <c r="O1069" i="5"/>
  <c r="P1069" i="5"/>
  <c r="Q1069" i="5"/>
  <c r="R1069" i="5"/>
  <c r="S1069" i="5"/>
  <c r="N1070" i="5"/>
  <c r="P1070" i="5" s="1"/>
  <c r="O1070" i="5"/>
  <c r="Q1070" i="5"/>
  <c r="S1070" i="5" s="1"/>
  <c r="R1070" i="5"/>
  <c r="N1071" i="5"/>
  <c r="P1071" i="5" s="1"/>
  <c r="O1071" i="5"/>
  <c r="Q1071" i="5"/>
  <c r="R1071" i="5"/>
  <c r="S1071" i="5"/>
  <c r="N1072" i="5"/>
  <c r="O1072" i="5"/>
  <c r="P1072" i="5"/>
  <c r="Q1072" i="5"/>
  <c r="S1072" i="5" s="1"/>
  <c r="R1072" i="5"/>
  <c r="N1073" i="5"/>
  <c r="P1073" i="5" s="1"/>
  <c r="O1073" i="5"/>
  <c r="Q1073" i="5"/>
  <c r="S1073" i="5" s="1"/>
  <c r="R1073" i="5"/>
  <c r="N1074" i="5"/>
  <c r="P1074" i="5" s="1"/>
  <c r="O1074" i="5"/>
  <c r="Q1074" i="5"/>
  <c r="S1074" i="5" s="1"/>
  <c r="R1074" i="5"/>
  <c r="N1075" i="5"/>
  <c r="O1075" i="5"/>
  <c r="P1075" i="5"/>
  <c r="Q1075" i="5"/>
  <c r="S1075" i="5" s="1"/>
  <c r="R1075" i="5"/>
  <c r="N1076" i="5"/>
  <c r="P1076" i="5" s="1"/>
  <c r="O1076" i="5"/>
  <c r="Q1076" i="5"/>
  <c r="S1076" i="5" s="1"/>
  <c r="R1076" i="5"/>
  <c r="N1077" i="5"/>
  <c r="P1077" i="5" s="1"/>
  <c r="O1077" i="5"/>
  <c r="Q1077" i="5"/>
  <c r="R1077" i="5"/>
  <c r="S1077" i="5"/>
  <c r="N1078" i="5"/>
  <c r="P1078" i="5" s="1"/>
  <c r="O1078" i="5"/>
  <c r="Q1078" i="5"/>
  <c r="S1078" i="5" s="1"/>
  <c r="R1078" i="5"/>
  <c r="N1079" i="5"/>
  <c r="P1079" i="5" s="1"/>
  <c r="O1079" i="5"/>
  <c r="Q1079" i="5"/>
  <c r="S1079" i="5" s="1"/>
  <c r="R1079" i="5"/>
  <c r="N1080" i="5"/>
  <c r="O1080" i="5"/>
  <c r="P1080" i="5"/>
  <c r="Q1080" i="5"/>
  <c r="S1080" i="5" s="1"/>
  <c r="R1080" i="5"/>
  <c r="N1081" i="5"/>
  <c r="P1081" i="5" s="1"/>
  <c r="O1081" i="5"/>
  <c r="Q1081" i="5"/>
  <c r="R1081" i="5"/>
  <c r="S1081" i="5"/>
  <c r="N1082" i="5"/>
  <c r="P1082" i="5" s="1"/>
  <c r="O1082" i="5"/>
  <c r="Q1082" i="5"/>
  <c r="S1082" i="5" s="1"/>
  <c r="R1082" i="5"/>
  <c r="N1083" i="5"/>
  <c r="P1083" i="5" s="1"/>
  <c r="O1083" i="5"/>
  <c r="Q1083" i="5"/>
  <c r="S1083" i="5" s="1"/>
  <c r="R1083" i="5"/>
  <c r="N1084" i="5"/>
  <c r="P1084" i="5" s="1"/>
  <c r="O1084" i="5"/>
  <c r="Q1084" i="5"/>
  <c r="S1084" i="5" s="1"/>
  <c r="R1084" i="5"/>
  <c r="N1085" i="5"/>
  <c r="O1085" i="5"/>
  <c r="P1085" i="5"/>
  <c r="Q1085" i="5"/>
  <c r="R1085" i="5"/>
  <c r="S1085" i="5"/>
  <c r="N1086" i="5"/>
  <c r="P1086" i="5" s="1"/>
  <c r="O1086" i="5"/>
  <c r="Q1086" i="5"/>
  <c r="S1086" i="5" s="1"/>
  <c r="R1086" i="5"/>
  <c r="N1087" i="5"/>
  <c r="P1087" i="5" s="1"/>
  <c r="O1087" i="5"/>
  <c r="Q1087" i="5"/>
  <c r="R1087" i="5"/>
  <c r="S1087" i="5"/>
  <c r="N1088" i="5"/>
  <c r="O1088" i="5"/>
  <c r="P1088" i="5"/>
  <c r="Q1088" i="5"/>
  <c r="S1088" i="5" s="1"/>
  <c r="R1088" i="5"/>
  <c r="N1089" i="5"/>
  <c r="P1089" i="5" s="1"/>
  <c r="O1089" i="5"/>
  <c r="Q1089" i="5"/>
  <c r="S1089" i="5" s="1"/>
  <c r="R1089" i="5"/>
  <c r="N1090" i="5"/>
  <c r="P1090" i="5" s="1"/>
  <c r="O1090" i="5"/>
  <c r="Q1090" i="5"/>
  <c r="S1090" i="5" s="1"/>
  <c r="R1090" i="5"/>
  <c r="N1091" i="5"/>
  <c r="O1091" i="5"/>
  <c r="P1091" i="5"/>
  <c r="Q1091" i="5"/>
  <c r="S1091" i="5" s="1"/>
  <c r="R1091" i="5"/>
  <c r="N1092" i="5"/>
  <c r="P1092" i="5" s="1"/>
  <c r="O1092" i="5"/>
  <c r="Q1092" i="5"/>
  <c r="S1092" i="5" s="1"/>
  <c r="R1092" i="5"/>
  <c r="N1093" i="5"/>
  <c r="P1093" i="5" s="1"/>
  <c r="O1093" i="5"/>
  <c r="Q1093" i="5"/>
  <c r="R1093" i="5"/>
  <c r="S1093" i="5"/>
  <c r="N1094" i="5"/>
  <c r="P1094" i="5" s="1"/>
  <c r="O1094" i="5"/>
  <c r="Q1094" i="5"/>
  <c r="S1094" i="5" s="1"/>
  <c r="R1094" i="5"/>
  <c r="N1095" i="5"/>
  <c r="P1095" i="5" s="1"/>
  <c r="O1095" i="5"/>
  <c r="Q1095" i="5"/>
  <c r="S1095" i="5" s="1"/>
  <c r="R1095" i="5"/>
  <c r="N1096" i="5"/>
  <c r="O1096" i="5"/>
  <c r="P1096" i="5"/>
  <c r="Q1096" i="5"/>
  <c r="S1096" i="5" s="1"/>
  <c r="R1096" i="5"/>
  <c r="N1097" i="5"/>
  <c r="P1097" i="5" s="1"/>
  <c r="O1097" i="5"/>
  <c r="Q1097" i="5"/>
  <c r="R1097" i="5"/>
  <c r="S1097" i="5"/>
  <c r="N1098" i="5"/>
  <c r="P1098" i="5" s="1"/>
  <c r="O1098" i="5"/>
  <c r="Q1098" i="5"/>
  <c r="S1098" i="5" s="1"/>
  <c r="R1098" i="5"/>
  <c r="N1099" i="5"/>
  <c r="P1099" i="5" s="1"/>
  <c r="O1099" i="5"/>
  <c r="Q1099" i="5"/>
  <c r="S1099" i="5" s="1"/>
  <c r="R1099" i="5"/>
  <c r="N1100" i="5"/>
  <c r="P1100" i="5" s="1"/>
  <c r="O1100" i="5"/>
  <c r="Q1100" i="5"/>
  <c r="S1100" i="5" s="1"/>
  <c r="R1100" i="5"/>
  <c r="N1101" i="5"/>
  <c r="O1101" i="5"/>
  <c r="P1101" i="5"/>
  <c r="Q1101" i="5"/>
  <c r="R1101" i="5"/>
  <c r="S1101" i="5"/>
  <c r="N1102" i="5"/>
  <c r="P1102" i="5" s="1"/>
  <c r="O1102" i="5"/>
  <c r="Q1102" i="5"/>
  <c r="S1102" i="5" s="1"/>
  <c r="R1102" i="5"/>
  <c r="N1103" i="5"/>
  <c r="P1103" i="5" s="1"/>
  <c r="O1103" i="5"/>
  <c r="Q1103" i="5"/>
  <c r="R1103" i="5"/>
  <c r="S1103" i="5"/>
  <c r="N1104" i="5"/>
  <c r="O1104" i="5"/>
  <c r="P1104" i="5"/>
  <c r="Q1104" i="5"/>
  <c r="S1104" i="5" s="1"/>
  <c r="R1104" i="5"/>
  <c r="N1105" i="5"/>
  <c r="P1105" i="5" s="1"/>
  <c r="O1105" i="5"/>
  <c r="Q1105" i="5"/>
  <c r="S1105" i="5" s="1"/>
  <c r="R1105" i="5"/>
  <c r="N1106" i="5"/>
  <c r="P1106" i="5" s="1"/>
  <c r="O1106" i="5"/>
  <c r="Q1106" i="5"/>
  <c r="S1106" i="5" s="1"/>
  <c r="R1106" i="5"/>
  <c r="N1107" i="5"/>
  <c r="O1107" i="5"/>
  <c r="P1107" i="5"/>
  <c r="Q1107" i="5"/>
  <c r="S1107" i="5" s="1"/>
  <c r="R1107" i="5"/>
  <c r="N1108" i="5"/>
  <c r="P1108" i="5" s="1"/>
  <c r="O1108" i="5"/>
  <c r="Q1108" i="5"/>
  <c r="S1108" i="5" s="1"/>
  <c r="R1108" i="5"/>
  <c r="N1109" i="5"/>
  <c r="P1109" i="5" s="1"/>
  <c r="O1109" i="5"/>
  <c r="Q1109" i="5"/>
  <c r="R1109" i="5"/>
  <c r="S1109" i="5"/>
  <c r="N1110" i="5"/>
  <c r="P1110" i="5" s="1"/>
  <c r="O1110" i="5"/>
  <c r="Q1110" i="5"/>
  <c r="S1110" i="5" s="1"/>
  <c r="R1110" i="5"/>
  <c r="N1111" i="5"/>
  <c r="P1111" i="5" s="1"/>
  <c r="O1111" i="5"/>
  <c r="Q1111" i="5"/>
  <c r="S1111" i="5" s="1"/>
  <c r="R1111" i="5"/>
  <c r="N1112" i="5"/>
  <c r="O1112" i="5"/>
  <c r="P1112" i="5"/>
  <c r="Q1112" i="5"/>
  <c r="S1112" i="5" s="1"/>
  <c r="R1112" i="5"/>
  <c r="N1113" i="5"/>
  <c r="P1113" i="5" s="1"/>
  <c r="O1113" i="5"/>
  <c r="Q1113" i="5"/>
  <c r="R1113" i="5"/>
  <c r="S1113" i="5"/>
  <c r="N1114" i="5"/>
  <c r="P1114" i="5" s="1"/>
  <c r="O1114" i="5"/>
  <c r="Q1114" i="5"/>
  <c r="S1114" i="5" s="1"/>
  <c r="R1114" i="5"/>
  <c r="N1115" i="5"/>
  <c r="P1115" i="5" s="1"/>
  <c r="O1115" i="5"/>
  <c r="Q1115" i="5"/>
  <c r="S1115" i="5" s="1"/>
  <c r="R1115" i="5"/>
  <c r="N1116" i="5"/>
  <c r="P1116" i="5" s="1"/>
  <c r="O1116" i="5"/>
  <c r="Q1116" i="5"/>
  <c r="S1116" i="5" s="1"/>
  <c r="R1116" i="5"/>
  <c r="N1117" i="5"/>
  <c r="O1117" i="5"/>
  <c r="P1117" i="5"/>
  <c r="Q1117" i="5"/>
  <c r="R1117" i="5"/>
  <c r="S1117" i="5"/>
  <c r="N1118" i="5"/>
  <c r="P1118" i="5" s="1"/>
  <c r="O1118" i="5"/>
  <c r="Q1118" i="5"/>
  <c r="S1118" i="5" s="1"/>
  <c r="R1118" i="5"/>
  <c r="N1119" i="5"/>
  <c r="P1119" i="5" s="1"/>
  <c r="O1119" i="5"/>
  <c r="Q1119" i="5"/>
  <c r="R1119" i="5"/>
  <c r="S1119" i="5"/>
  <c r="N1120" i="5"/>
  <c r="O1120" i="5"/>
  <c r="P1120" i="5"/>
  <c r="Q1120" i="5"/>
  <c r="S1120" i="5" s="1"/>
  <c r="R1120" i="5"/>
  <c r="N1121" i="5"/>
  <c r="P1121" i="5" s="1"/>
  <c r="O1121" i="5"/>
  <c r="Q1121" i="5"/>
  <c r="S1121" i="5" s="1"/>
  <c r="R1121" i="5"/>
  <c r="N1122" i="5"/>
  <c r="P1122" i="5" s="1"/>
  <c r="O1122" i="5"/>
  <c r="Q1122" i="5"/>
  <c r="S1122" i="5" s="1"/>
  <c r="R1122" i="5"/>
  <c r="N1123" i="5"/>
  <c r="O1123" i="5"/>
  <c r="P1123" i="5"/>
  <c r="Q1123" i="5"/>
  <c r="S1123" i="5" s="1"/>
  <c r="R1123" i="5"/>
  <c r="N1124" i="5"/>
  <c r="P1124" i="5" s="1"/>
  <c r="O1124" i="5"/>
  <c r="Q1124" i="5"/>
  <c r="S1124" i="5" s="1"/>
  <c r="R1124" i="5"/>
  <c r="N1125" i="5"/>
  <c r="P1125" i="5" s="1"/>
  <c r="O1125" i="5"/>
  <c r="Q1125" i="5"/>
  <c r="R1125" i="5"/>
  <c r="S1125" i="5"/>
  <c r="N1126" i="5"/>
  <c r="P1126" i="5" s="1"/>
  <c r="O1126" i="5"/>
  <c r="Q1126" i="5"/>
  <c r="S1126" i="5" s="1"/>
  <c r="R1126" i="5"/>
  <c r="N1127" i="5"/>
  <c r="P1127" i="5" s="1"/>
  <c r="O1127" i="5"/>
  <c r="Q1127" i="5"/>
  <c r="S1127" i="5" s="1"/>
  <c r="R1127" i="5"/>
  <c r="N1128" i="5"/>
  <c r="O1128" i="5"/>
  <c r="P1128" i="5"/>
  <c r="Q1128" i="5"/>
  <c r="S1128" i="5" s="1"/>
  <c r="R1128" i="5"/>
  <c r="N1129" i="5"/>
  <c r="P1129" i="5" s="1"/>
  <c r="O1129" i="5"/>
  <c r="Q1129" i="5"/>
  <c r="R1129" i="5"/>
  <c r="S1129" i="5"/>
  <c r="N1130" i="5"/>
  <c r="P1130" i="5" s="1"/>
  <c r="O1130" i="5"/>
  <c r="Q1130" i="5"/>
  <c r="S1130" i="5" s="1"/>
  <c r="R1130" i="5"/>
  <c r="N1131" i="5"/>
  <c r="P1131" i="5" s="1"/>
  <c r="O1131" i="5"/>
  <c r="Q1131" i="5"/>
  <c r="S1131" i="5" s="1"/>
  <c r="R1131" i="5"/>
  <c r="N1132" i="5"/>
  <c r="P1132" i="5" s="1"/>
  <c r="O1132" i="5"/>
  <c r="Q1132" i="5"/>
  <c r="S1132" i="5" s="1"/>
  <c r="R1132" i="5"/>
  <c r="N1133" i="5"/>
  <c r="O1133" i="5"/>
  <c r="P1133" i="5"/>
  <c r="Q1133" i="5"/>
  <c r="R1133" i="5"/>
  <c r="S1133" i="5"/>
  <c r="N1134" i="5"/>
  <c r="P1134" i="5" s="1"/>
  <c r="O1134" i="5"/>
  <c r="Q1134" i="5"/>
  <c r="S1134" i="5" s="1"/>
  <c r="R1134" i="5"/>
  <c r="N1135" i="5"/>
  <c r="P1135" i="5" s="1"/>
  <c r="O1135" i="5"/>
  <c r="Q1135" i="5"/>
  <c r="R1135" i="5"/>
  <c r="S1135" i="5"/>
  <c r="N1136" i="5"/>
  <c r="O1136" i="5"/>
  <c r="P1136" i="5"/>
  <c r="Q1136" i="5"/>
  <c r="S1136" i="5" s="1"/>
  <c r="R1136" i="5"/>
  <c r="N1137" i="5"/>
  <c r="P1137" i="5" s="1"/>
  <c r="O1137" i="5"/>
  <c r="Q1137" i="5"/>
  <c r="S1137" i="5" s="1"/>
  <c r="R1137" i="5"/>
  <c r="N1138" i="5"/>
  <c r="P1138" i="5" s="1"/>
  <c r="O1138" i="5"/>
  <c r="Q1138" i="5"/>
  <c r="S1138" i="5" s="1"/>
  <c r="R1138" i="5"/>
  <c r="N1139" i="5"/>
  <c r="O1139" i="5"/>
  <c r="P1139" i="5"/>
  <c r="Q1139" i="5"/>
  <c r="S1139" i="5" s="1"/>
  <c r="R1139" i="5"/>
  <c r="N1140" i="5"/>
  <c r="P1140" i="5" s="1"/>
  <c r="O1140" i="5"/>
  <c r="Q1140" i="5"/>
  <c r="S1140" i="5" s="1"/>
  <c r="R1140" i="5"/>
  <c r="N1141" i="5"/>
  <c r="P1141" i="5" s="1"/>
  <c r="O1141" i="5"/>
  <c r="Q1141" i="5"/>
  <c r="R1141" i="5"/>
  <c r="S1141" i="5"/>
  <c r="N1142" i="5"/>
  <c r="P1142" i="5" s="1"/>
  <c r="O1142" i="5"/>
  <c r="Q1142" i="5"/>
  <c r="S1142" i="5" s="1"/>
  <c r="R1142" i="5"/>
  <c r="N1143" i="5"/>
  <c r="P1143" i="5" s="1"/>
  <c r="O1143" i="5"/>
  <c r="Q1143" i="5"/>
  <c r="S1143" i="5" s="1"/>
  <c r="R1143" i="5"/>
  <c r="N1144" i="5"/>
  <c r="O1144" i="5"/>
  <c r="P1144" i="5"/>
  <c r="Q1144" i="5"/>
  <c r="S1144" i="5" s="1"/>
  <c r="R1144" i="5"/>
  <c r="N1145" i="5"/>
  <c r="P1145" i="5" s="1"/>
  <c r="O1145" i="5"/>
  <c r="Q1145" i="5"/>
  <c r="R1145" i="5"/>
  <c r="S1145" i="5"/>
  <c r="N1146" i="5"/>
  <c r="P1146" i="5" s="1"/>
  <c r="O1146" i="5"/>
  <c r="Q1146" i="5"/>
  <c r="S1146" i="5" s="1"/>
  <c r="R1146" i="5"/>
  <c r="N1147" i="5"/>
  <c r="P1147" i="5" s="1"/>
  <c r="O1147" i="5"/>
  <c r="Q1147" i="5"/>
  <c r="S1147" i="5" s="1"/>
  <c r="R1147" i="5"/>
  <c r="N1148" i="5"/>
  <c r="P1148" i="5" s="1"/>
  <c r="O1148" i="5"/>
  <c r="Q1148" i="5"/>
  <c r="S1148" i="5" s="1"/>
  <c r="R1148" i="5"/>
  <c r="N1149" i="5"/>
  <c r="O1149" i="5"/>
  <c r="P1149" i="5"/>
  <c r="Q1149" i="5"/>
  <c r="R1149" i="5"/>
  <c r="S1149" i="5"/>
  <c r="N1150" i="5"/>
  <c r="P1150" i="5" s="1"/>
  <c r="O1150" i="5"/>
  <c r="Q1150" i="5"/>
  <c r="S1150" i="5" s="1"/>
  <c r="R1150" i="5"/>
  <c r="N1151" i="5"/>
  <c r="P1151" i="5" s="1"/>
  <c r="O1151" i="5"/>
  <c r="Q1151" i="5"/>
  <c r="R1151" i="5"/>
  <c r="S1151" i="5"/>
  <c r="N1152" i="5"/>
  <c r="O1152" i="5"/>
  <c r="P1152" i="5"/>
  <c r="Q1152" i="5"/>
  <c r="S1152" i="5" s="1"/>
  <c r="R1152" i="5"/>
  <c r="N1153" i="5"/>
  <c r="P1153" i="5" s="1"/>
  <c r="O1153" i="5"/>
  <c r="Q1153" i="5"/>
  <c r="S1153" i="5" s="1"/>
  <c r="R1153" i="5"/>
  <c r="N1154" i="5"/>
  <c r="P1154" i="5" s="1"/>
  <c r="O1154" i="5"/>
  <c r="Q1154" i="5"/>
  <c r="S1154" i="5" s="1"/>
  <c r="R1154" i="5"/>
  <c r="N1155" i="5"/>
  <c r="O1155" i="5"/>
  <c r="P1155" i="5"/>
  <c r="Q1155" i="5"/>
  <c r="S1155" i="5" s="1"/>
  <c r="R1155" i="5"/>
  <c r="N1156" i="5"/>
  <c r="P1156" i="5" s="1"/>
  <c r="O1156" i="5"/>
  <c r="Q1156" i="5"/>
  <c r="S1156" i="5" s="1"/>
  <c r="R1156" i="5"/>
  <c r="N1157" i="5"/>
  <c r="P1157" i="5" s="1"/>
  <c r="O1157" i="5"/>
  <c r="Q1157" i="5"/>
  <c r="R1157" i="5"/>
  <c r="S1157" i="5"/>
  <c r="N1158" i="5"/>
  <c r="P1158" i="5" s="1"/>
  <c r="O1158" i="5"/>
  <c r="Q1158" i="5"/>
  <c r="S1158" i="5" s="1"/>
  <c r="R1158" i="5"/>
  <c r="N1159" i="5"/>
  <c r="P1159" i="5" s="1"/>
  <c r="O1159" i="5"/>
  <c r="Q1159" i="5"/>
  <c r="S1159" i="5" s="1"/>
  <c r="R1159" i="5"/>
  <c r="N1160" i="5"/>
  <c r="O1160" i="5"/>
  <c r="P1160" i="5"/>
  <c r="Q1160" i="5"/>
  <c r="S1160" i="5" s="1"/>
  <c r="R1160" i="5"/>
  <c r="N1161" i="5"/>
  <c r="P1161" i="5" s="1"/>
  <c r="O1161" i="5"/>
  <c r="Q1161" i="5"/>
  <c r="R1161" i="5"/>
  <c r="S1161" i="5"/>
  <c r="N1162" i="5"/>
  <c r="P1162" i="5" s="1"/>
  <c r="O1162" i="5"/>
  <c r="Q1162" i="5"/>
  <c r="S1162" i="5" s="1"/>
  <c r="R1162" i="5"/>
  <c r="N1163" i="5"/>
  <c r="P1163" i="5" s="1"/>
  <c r="O1163" i="5"/>
  <c r="Q1163" i="5"/>
  <c r="S1163" i="5" s="1"/>
  <c r="R1163" i="5"/>
  <c r="N1164" i="5"/>
  <c r="P1164" i="5" s="1"/>
  <c r="O1164" i="5"/>
  <c r="Q1164" i="5"/>
  <c r="S1164" i="5" s="1"/>
  <c r="R1164" i="5"/>
  <c r="N1165" i="5"/>
  <c r="O1165" i="5"/>
  <c r="P1165" i="5"/>
  <c r="Q1165" i="5"/>
  <c r="R1165" i="5"/>
  <c r="S1165" i="5"/>
  <c r="N1166" i="5"/>
  <c r="P1166" i="5" s="1"/>
  <c r="O1166" i="5"/>
  <c r="Q1166" i="5"/>
  <c r="S1166" i="5" s="1"/>
  <c r="R1166" i="5"/>
  <c r="N1167" i="5"/>
  <c r="P1167" i="5" s="1"/>
  <c r="O1167" i="5"/>
  <c r="Q1167" i="5"/>
  <c r="R1167" i="5"/>
  <c r="S1167" i="5"/>
  <c r="N1168" i="5"/>
  <c r="O1168" i="5"/>
  <c r="P1168" i="5"/>
  <c r="Q1168" i="5"/>
  <c r="S1168" i="5" s="1"/>
  <c r="R1168" i="5"/>
  <c r="N1169" i="5"/>
  <c r="P1169" i="5" s="1"/>
  <c r="O1169" i="5"/>
  <c r="Q1169" i="5"/>
  <c r="S1169" i="5" s="1"/>
  <c r="R1169" i="5"/>
  <c r="N1170" i="5"/>
  <c r="P1170" i="5" s="1"/>
  <c r="O1170" i="5"/>
  <c r="Q1170" i="5"/>
  <c r="S1170" i="5" s="1"/>
  <c r="R1170" i="5"/>
  <c r="N1171" i="5"/>
  <c r="O1171" i="5"/>
  <c r="P1171" i="5"/>
  <c r="Q1171" i="5"/>
  <c r="S1171" i="5" s="1"/>
  <c r="R1171" i="5"/>
  <c r="N1172" i="5"/>
  <c r="P1172" i="5" s="1"/>
  <c r="O1172" i="5"/>
  <c r="Q1172" i="5"/>
  <c r="S1172" i="5" s="1"/>
  <c r="R1172" i="5"/>
  <c r="N1173" i="5"/>
  <c r="P1173" i="5" s="1"/>
  <c r="O1173" i="5"/>
  <c r="Q1173" i="5"/>
  <c r="R1173" i="5"/>
  <c r="S1173" i="5"/>
  <c r="N1174" i="5"/>
  <c r="P1174" i="5" s="1"/>
  <c r="O1174" i="5"/>
  <c r="Q1174" i="5"/>
  <c r="S1174" i="5" s="1"/>
  <c r="R1174" i="5"/>
  <c r="N1175" i="5"/>
  <c r="P1175" i="5" s="1"/>
  <c r="O1175" i="5"/>
  <c r="Q1175" i="5"/>
  <c r="S1175" i="5" s="1"/>
  <c r="R1175" i="5"/>
  <c r="N1176" i="5"/>
  <c r="O1176" i="5"/>
  <c r="P1176" i="5"/>
  <c r="Q1176" i="5"/>
  <c r="S1176" i="5" s="1"/>
  <c r="R1176" i="5"/>
  <c r="N1177" i="5"/>
  <c r="P1177" i="5" s="1"/>
  <c r="O1177" i="5"/>
  <c r="Q1177" i="5"/>
  <c r="R1177" i="5"/>
  <c r="S1177" i="5"/>
  <c r="N1178" i="5"/>
  <c r="P1178" i="5" s="1"/>
  <c r="O1178" i="5"/>
  <c r="Q1178" i="5"/>
  <c r="S1178" i="5" s="1"/>
  <c r="R1178" i="5"/>
  <c r="N1179" i="5"/>
  <c r="P1179" i="5" s="1"/>
  <c r="O1179" i="5"/>
  <c r="Q1179" i="5"/>
  <c r="S1179" i="5" s="1"/>
  <c r="R1179" i="5"/>
  <c r="N1180" i="5"/>
  <c r="P1180" i="5" s="1"/>
  <c r="O1180" i="5"/>
  <c r="Q1180" i="5"/>
  <c r="S1180" i="5" s="1"/>
  <c r="R1180" i="5"/>
  <c r="N1181" i="5"/>
  <c r="O1181" i="5"/>
  <c r="P1181" i="5"/>
  <c r="Q1181" i="5"/>
  <c r="R1181" i="5"/>
  <c r="S1181" i="5"/>
  <c r="N1182" i="5"/>
  <c r="P1182" i="5" s="1"/>
  <c r="O1182" i="5"/>
  <c r="Q1182" i="5"/>
  <c r="S1182" i="5" s="1"/>
  <c r="R1182" i="5"/>
  <c r="N1183" i="5"/>
  <c r="P1183" i="5" s="1"/>
  <c r="O1183" i="5"/>
  <c r="Q1183" i="5"/>
  <c r="R1183" i="5"/>
  <c r="S1183" i="5"/>
  <c r="N1184" i="5"/>
  <c r="O1184" i="5"/>
  <c r="P1184" i="5"/>
  <c r="Q1184" i="5"/>
  <c r="S1184" i="5" s="1"/>
  <c r="R1184" i="5"/>
  <c r="N1185" i="5"/>
  <c r="P1185" i="5" s="1"/>
  <c r="O1185" i="5"/>
  <c r="Q1185" i="5"/>
  <c r="S1185" i="5" s="1"/>
  <c r="R1185" i="5"/>
  <c r="N1186" i="5"/>
  <c r="P1186" i="5" s="1"/>
  <c r="O1186" i="5"/>
  <c r="Q1186" i="5"/>
  <c r="S1186" i="5" s="1"/>
  <c r="R1186" i="5"/>
  <c r="N1187" i="5"/>
  <c r="O1187" i="5"/>
  <c r="P1187" i="5"/>
  <c r="Q1187" i="5"/>
  <c r="S1187" i="5" s="1"/>
  <c r="R1187" i="5"/>
  <c r="N1188" i="5"/>
  <c r="P1188" i="5" s="1"/>
  <c r="O1188" i="5"/>
  <c r="Q1188" i="5"/>
  <c r="S1188" i="5" s="1"/>
  <c r="R1188" i="5"/>
  <c r="N1189" i="5"/>
  <c r="P1189" i="5" s="1"/>
  <c r="O1189" i="5"/>
  <c r="Q1189" i="5"/>
  <c r="R1189" i="5"/>
  <c r="S1189" i="5"/>
  <c r="N1190" i="5"/>
  <c r="P1190" i="5" s="1"/>
  <c r="O1190" i="5"/>
  <c r="Q1190" i="5"/>
  <c r="S1190" i="5" s="1"/>
  <c r="R1190" i="5"/>
  <c r="N1191" i="5"/>
  <c r="P1191" i="5" s="1"/>
  <c r="O1191" i="5"/>
  <c r="Q1191" i="5"/>
  <c r="S1191" i="5" s="1"/>
  <c r="R1191" i="5"/>
  <c r="N1192" i="5"/>
  <c r="O1192" i="5"/>
  <c r="P1192" i="5"/>
  <c r="Q1192" i="5"/>
  <c r="S1192" i="5" s="1"/>
  <c r="R1192" i="5"/>
  <c r="N1193" i="5"/>
  <c r="P1193" i="5" s="1"/>
  <c r="O1193" i="5"/>
  <c r="Q1193" i="5"/>
  <c r="R1193" i="5"/>
  <c r="S1193" i="5"/>
  <c r="N1194" i="5"/>
  <c r="P1194" i="5" s="1"/>
  <c r="O1194" i="5"/>
  <c r="Q1194" i="5"/>
  <c r="S1194" i="5" s="1"/>
  <c r="R1194" i="5"/>
  <c r="N1195" i="5"/>
  <c r="P1195" i="5" s="1"/>
  <c r="O1195" i="5"/>
  <c r="Q1195" i="5"/>
  <c r="S1195" i="5" s="1"/>
  <c r="R1195" i="5"/>
  <c r="N1196" i="5"/>
  <c r="P1196" i="5" s="1"/>
  <c r="O1196" i="5"/>
  <c r="Q1196" i="5"/>
  <c r="S1196" i="5" s="1"/>
  <c r="R1196" i="5"/>
  <c r="N1197" i="5"/>
  <c r="O1197" i="5"/>
  <c r="P1197" i="5"/>
  <c r="Q1197" i="5"/>
  <c r="R1197" i="5"/>
  <c r="S1197" i="5"/>
  <c r="N1198" i="5"/>
  <c r="P1198" i="5" s="1"/>
  <c r="O1198" i="5"/>
  <c r="Q1198" i="5"/>
  <c r="S1198" i="5" s="1"/>
  <c r="R1198" i="5"/>
  <c r="N1199" i="5"/>
  <c r="P1199" i="5" s="1"/>
  <c r="O1199" i="5"/>
  <c r="Q1199" i="5"/>
  <c r="R1199" i="5"/>
  <c r="S1199" i="5"/>
  <c r="N1200" i="5"/>
  <c r="O1200" i="5"/>
  <c r="P1200" i="5"/>
  <c r="Q1200" i="5"/>
  <c r="S1200" i="5" s="1"/>
  <c r="R1200" i="5"/>
  <c r="N1201" i="5"/>
  <c r="P1201" i="5" s="1"/>
  <c r="O1201" i="5"/>
  <c r="Q1201" i="5"/>
  <c r="S1201" i="5" s="1"/>
  <c r="R1201" i="5"/>
  <c r="N1202" i="5"/>
  <c r="P1202" i="5" s="1"/>
  <c r="O1202" i="5"/>
  <c r="Q1202" i="5"/>
  <c r="S1202" i="5" s="1"/>
  <c r="R1202" i="5"/>
  <c r="N1203" i="5"/>
  <c r="O1203" i="5"/>
  <c r="P1203" i="5"/>
  <c r="Q1203" i="5"/>
  <c r="S1203" i="5" s="1"/>
  <c r="R1203" i="5"/>
  <c r="N1204" i="5"/>
  <c r="P1204" i="5" s="1"/>
  <c r="O1204" i="5"/>
  <c r="Q1204" i="5"/>
  <c r="S1204" i="5" s="1"/>
  <c r="R1204" i="5"/>
  <c r="N1205" i="5"/>
  <c r="P1205" i="5" s="1"/>
  <c r="O1205" i="5"/>
  <c r="Q1205" i="5"/>
  <c r="R1205" i="5"/>
  <c r="S1205" i="5"/>
  <c r="N1206" i="5"/>
  <c r="P1206" i="5" s="1"/>
  <c r="O1206" i="5"/>
  <c r="Q1206" i="5"/>
  <c r="S1206" i="5" s="1"/>
  <c r="R1206" i="5"/>
  <c r="N1207" i="5"/>
  <c r="P1207" i="5" s="1"/>
  <c r="O1207" i="5"/>
  <c r="Q1207" i="5"/>
  <c r="S1207" i="5" s="1"/>
  <c r="R1207" i="5"/>
  <c r="N1208" i="5"/>
  <c r="O1208" i="5"/>
  <c r="P1208" i="5"/>
  <c r="Q1208" i="5"/>
  <c r="S1208" i="5" s="1"/>
  <c r="R1208" i="5"/>
  <c r="N1209" i="5"/>
  <c r="P1209" i="5" s="1"/>
  <c r="O1209" i="5"/>
  <c r="Q1209" i="5"/>
  <c r="R1209" i="5"/>
  <c r="S1209" i="5"/>
  <c r="N1210" i="5"/>
  <c r="P1210" i="5" s="1"/>
  <c r="O1210" i="5"/>
  <c r="Q1210" i="5"/>
  <c r="S1210" i="5" s="1"/>
  <c r="R1210" i="5"/>
  <c r="N1211" i="5"/>
  <c r="P1211" i="5" s="1"/>
  <c r="O1211" i="5"/>
  <c r="Q1211" i="5"/>
  <c r="S1211" i="5" s="1"/>
  <c r="R1211" i="5"/>
  <c r="N1212" i="5"/>
  <c r="P1212" i="5" s="1"/>
  <c r="O1212" i="5"/>
  <c r="Q1212" i="5"/>
  <c r="S1212" i="5" s="1"/>
  <c r="R1212" i="5"/>
  <c r="N1213" i="5"/>
  <c r="O1213" i="5"/>
  <c r="P1213" i="5"/>
  <c r="Q1213" i="5"/>
  <c r="R1213" i="5"/>
  <c r="S1213" i="5"/>
  <c r="N1214" i="5"/>
  <c r="P1214" i="5" s="1"/>
  <c r="O1214" i="5"/>
  <c r="Q1214" i="5"/>
  <c r="S1214" i="5" s="1"/>
  <c r="R1214" i="5"/>
  <c r="N1215" i="5"/>
  <c r="P1215" i="5" s="1"/>
  <c r="O1215" i="5"/>
  <c r="Q1215" i="5"/>
  <c r="R1215" i="5"/>
  <c r="S1215" i="5"/>
  <c r="N1216" i="5"/>
  <c r="O1216" i="5"/>
  <c r="P1216" i="5"/>
  <c r="Q1216" i="5"/>
  <c r="S1216" i="5" s="1"/>
  <c r="R1216" i="5"/>
  <c r="N1217" i="5"/>
  <c r="P1217" i="5" s="1"/>
  <c r="O1217" i="5"/>
  <c r="Q1217" i="5"/>
  <c r="S1217" i="5" s="1"/>
  <c r="R1217" i="5"/>
  <c r="N1218" i="5"/>
  <c r="P1218" i="5" s="1"/>
  <c r="O1218" i="5"/>
  <c r="Q1218" i="5"/>
  <c r="S1218" i="5" s="1"/>
  <c r="R1218" i="5"/>
  <c r="N1219" i="5"/>
  <c r="O1219" i="5"/>
  <c r="P1219" i="5"/>
  <c r="Q1219" i="5"/>
  <c r="S1219" i="5" s="1"/>
  <c r="R1219" i="5"/>
  <c r="N1220" i="5"/>
  <c r="P1220" i="5" s="1"/>
  <c r="O1220" i="5"/>
  <c r="Q1220" i="5"/>
  <c r="S1220" i="5" s="1"/>
  <c r="R1220" i="5"/>
  <c r="N1221" i="5"/>
  <c r="P1221" i="5" s="1"/>
  <c r="O1221" i="5"/>
  <c r="Q1221" i="5"/>
  <c r="R1221" i="5"/>
  <c r="S1221" i="5"/>
  <c r="N1222" i="5"/>
  <c r="P1222" i="5" s="1"/>
  <c r="O1222" i="5"/>
  <c r="Q1222" i="5"/>
  <c r="S1222" i="5" s="1"/>
  <c r="R1222" i="5"/>
  <c r="N1223" i="5"/>
  <c r="P1223" i="5" s="1"/>
  <c r="O1223" i="5"/>
  <c r="Q1223" i="5"/>
  <c r="S1223" i="5" s="1"/>
  <c r="R1223" i="5"/>
  <c r="N1224" i="5"/>
  <c r="O1224" i="5"/>
  <c r="P1224" i="5"/>
  <c r="Q1224" i="5"/>
  <c r="S1224" i="5" s="1"/>
  <c r="R1224" i="5"/>
  <c r="N1225" i="5"/>
  <c r="P1225" i="5" s="1"/>
  <c r="O1225" i="5"/>
  <c r="Q1225" i="5"/>
  <c r="R1225" i="5"/>
  <c r="S1225" i="5"/>
  <c r="N1226" i="5"/>
  <c r="P1226" i="5" s="1"/>
  <c r="O1226" i="5"/>
  <c r="Q1226" i="5"/>
  <c r="S1226" i="5" s="1"/>
  <c r="R1226" i="5"/>
  <c r="N1227" i="5"/>
  <c r="P1227" i="5" s="1"/>
  <c r="O1227" i="5"/>
  <c r="Q1227" i="5"/>
  <c r="S1227" i="5" s="1"/>
  <c r="R1227" i="5"/>
  <c r="N1228" i="5"/>
  <c r="P1228" i="5" s="1"/>
  <c r="O1228" i="5"/>
  <c r="Q1228" i="5"/>
  <c r="S1228" i="5" s="1"/>
  <c r="R1228" i="5"/>
  <c r="N1229" i="5"/>
  <c r="O1229" i="5"/>
  <c r="P1229" i="5"/>
  <c r="Q1229" i="5"/>
  <c r="R1229" i="5"/>
  <c r="S1229" i="5"/>
  <c r="N1230" i="5"/>
  <c r="P1230" i="5" s="1"/>
  <c r="O1230" i="5"/>
  <c r="Q1230" i="5"/>
  <c r="S1230" i="5" s="1"/>
  <c r="R1230" i="5"/>
  <c r="N1231" i="5"/>
  <c r="P1231" i="5" s="1"/>
  <c r="O1231" i="5"/>
  <c r="Q1231" i="5"/>
  <c r="R1231" i="5"/>
  <c r="S1231" i="5"/>
  <c r="N1232" i="5"/>
  <c r="O1232" i="5"/>
  <c r="P1232" i="5"/>
  <c r="Q1232" i="5"/>
  <c r="S1232" i="5" s="1"/>
  <c r="R1232" i="5"/>
  <c r="N1233" i="5"/>
  <c r="P1233" i="5" s="1"/>
  <c r="O1233" i="5"/>
  <c r="Q1233" i="5"/>
  <c r="S1233" i="5" s="1"/>
  <c r="R1233" i="5"/>
  <c r="N1234" i="5"/>
  <c r="P1234" i="5" s="1"/>
  <c r="O1234" i="5"/>
  <c r="Q1234" i="5"/>
  <c r="S1234" i="5" s="1"/>
  <c r="R1234" i="5"/>
  <c r="N1235" i="5"/>
  <c r="O1235" i="5"/>
  <c r="P1235" i="5"/>
  <c r="Q1235" i="5"/>
  <c r="S1235" i="5" s="1"/>
  <c r="R1235" i="5"/>
  <c r="N1236" i="5"/>
  <c r="P1236" i="5" s="1"/>
  <c r="O1236" i="5"/>
  <c r="Q1236" i="5"/>
  <c r="S1236" i="5" s="1"/>
  <c r="R1236" i="5"/>
  <c r="N1237" i="5"/>
  <c r="P1237" i="5" s="1"/>
  <c r="O1237" i="5"/>
  <c r="Q1237" i="5"/>
  <c r="R1237" i="5"/>
  <c r="S1237" i="5"/>
  <c r="N1238" i="5"/>
  <c r="P1238" i="5" s="1"/>
  <c r="O1238" i="5"/>
  <c r="Q1238" i="5"/>
  <c r="S1238" i="5" s="1"/>
  <c r="R1238" i="5"/>
  <c r="N1239" i="5"/>
  <c r="P1239" i="5" s="1"/>
  <c r="O1239" i="5"/>
  <c r="Q1239" i="5"/>
  <c r="S1239" i="5" s="1"/>
  <c r="R1239" i="5"/>
  <c r="N1240" i="5"/>
  <c r="O1240" i="5"/>
  <c r="P1240" i="5"/>
  <c r="Q1240" i="5"/>
  <c r="S1240" i="5" s="1"/>
  <c r="R1240" i="5"/>
  <c r="N1241" i="5"/>
  <c r="P1241" i="5" s="1"/>
  <c r="O1241" i="5"/>
  <c r="Q1241" i="5"/>
  <c r="R1241" i="5"/>
  <c r="S1241" i="5"/>
  <c r="N1242" i="5"/>
  <c r="P1242" i="5" s="1"/>
  <c r="O1242" i="5"/>
  <c r="Q1242" i="5"/>
  <c r="S1242" i="5" s="1"/>
  <c r="R1242" i="5"/>
  <c r="N1243" i="5"/>
  <c r="P1243" i="5" s="1"/>
  <c r="O1243" i="5"/>
  <c r="Q1243" i="5"/>
  <c r="S1243" i="5" s="1"/>
  <c r="R1243" i="5"/>
  <c r="N1244" i="5"/>
  <c r="P1244" i="5" s="1"/>
  <c r="O1244" i="5"/>
  <c r="Q1244" i="5"/>
  <c r="S1244" i="5" s="1"/>
  <c r="R1244" i="5"/>
  <c r="N1245" i="5"/>
  <c r="O1245" i="5"/>
  <c r="P1245" i="5"/>
  <c r="Q1245" i="5"/>
  <c r="R1245" i="5"/>
  <c r="S1245" i="5"/>
  <c r="N1246" i="5"/>
  <c r="P1246" i="5" s="1"/>
  <c r="O1246" i="5"/>
  <c r="Q1246" i="5"/>
  <c r="S1246" i="5" s="1"/>
  <c r="R1246" i="5"/>
  <c r="N1247" i="5"/>
  <c r="P1247" i="5" s="1"/>
  <c r="O1247" i="5"/>
  <c r="Q1247" i="5"/>
  <c r="R1247" i="5"/>
  <c r="S1247" i="5"/>
  <c r="N1248" i="5"/>
  <c r="O1248" i="5"/>
  <c r="P1248" i="5"/>
  <c r="Q1248" i="5"/>
  <c r="S1248" i="5" s="1"/>
  <c r="R1248" i="5"/>
  <c r="N1249" i="5"/>
  <c r="P1249" i="5" s="1"/>
  <c r="O1249" i="5"/>
  <c r="Q1249" i="5"/>
  <c r="S1249" i="5" s="1"/>
  <c r="R1249" i="5"/>
  <c r="N1250" i="5"/>
  <c r="P1250" i="5" s="1"/>
  <c r="O1250" i="5"/>
  <c r="Q1250" i="5"/>
  <c r="S1250" i="5" s="1"/>
  <c r="R1250" i="5"/>
  <c r="N1251" i="5"/>
  <c r="O1251" i="5"/>
  <c r="P1251" i="5"/>
  <c r="Q1251" i="5"/>
  <c r="S1251" i="5" s="1"/>
  <c r="R1251" i="5"/>
  <c r="N1252" i="5"/>
  <c r="P1252" i="5" s="1"/>
  <c r="O1252" i="5"/>
  <c r="Q1252" i="5"/>
  <c r="S1252" i="5" s="1"/>
  <c r="R1252" i="5"/>
  <c r="N1253" i="5"/>
  <c r="P1253" i="5" s="1"/>
  <c r="O1253" i="5"/>
  <c r="Q1253" i="5"/>
  <c r="R1253" i="5"/>
  <c r="S1253" i="5"/>
  <c r="N1254" i="5"/>
  <c r="P1254" i="5" s="1"/>
  <c r="O1254" i="5"/>
  <c r="Q1254" i="5"/>
  <c r="S1254" i="5" s="1"/>
  <c r="R1254" i="5"/>
  <c r="N1255" i="5"/>
  <c r="P1255" i="5" s="1"/>
  <c r="O1255" i="5"/>
  <c r="Q1255" i="5"/>
  <c r="S1255" i="5" s="1"/>
  <c r="R1255" i="5"/>
  <c r="N1256" i="5"/>
  <c r="O1256" i="5"/>
  <c r="P1256" i="5"/>
  <c r="Q1256" i="5"/>
  <c r="S1256" i="5" s="1"/>
  <c r="R1256" i="5"/>
  <c r="N1257" i="5"/>
  <c r="P1257" i="5" s="1"/>
  <c r="O1257" i="5"/>
  <c r="Q1257" i="5"/>
  <c r="R1257" i="5"/>
  <c r="S1257" i="5"/>
  <c r="N1258" i="5"/>
  <c r="P1258" i="5" s="1"/>
  <c r="O1258" i="5"/>
  <c r="Q1258" i="5"/>
  <c r="S1258" i="5" s="1"/>
  <c r="R1258" i="5"/>
  <c r="N1259" i="5"/>
  <c r="P1259" i="5" s="1"/>
  <c r="O1259" i="5"/>
  <c r="Q1259" i="5"/>
  <c r="S1259" i="5" s="1"/>
  <c r="R1259" i="5"/>
  <c r="N1260" i="5"/>
  <c r="P1260" i="5" s="1"/>
  <c r="O1260" i="5"/>
  <c r="Q1260" i="5"/>
  <c r="S1260" i="5" s="1"/>
  <c r="R1260" i="5"/>
  <c r="N1261" i="5"/>
  <c r="O1261" i="5"/>
  <c r="P1261" i="5"/>
  <c r="Q1261" i="5"/>
  <c r="R1261" i="5"/>
  <c r="S1261" i="5"/>
  <c r="N1262" i="5"/>
  <c r="P1262" i="5" s="1"/>
  <c r="O1262" i="5"/>
  <c r="Q1262" i="5"/>
  <c r="S1262" i="5" s="1"/>
  <c r="R1262" i="5"/>
  <c r="N1263" i="5"/>
  <c r="P1263" i="5" s="1"/>
  <c r="O1263" i="5"/>
  <c r="Q1263" i="5"/>
  <c r="R1263" i="5"/>
  <c r="S1263" i="5"/>
  <c r="N1264" i="5"/>
  <c r="O1264" i="5"/>
  <c r="P1264" i="5"/>
  <c r="Q1264" i="5"/>
  <c r="S1264" i="5" s="1"/>
  <c r="R1264" i="5"/>
  <c r="N1265" i="5"/>
  <c r="P1265" i="5" s="1"/>
  <c r="O1265" i="5"/>
  <c r="Q1265" i="5"/>
  <c r="S1265" i="5" s="1"/>
  <c r="R1265" i="5"/>
  <c r="N1266" i="5"/>
  <c r="P1266" i="5" s="1"/>
  <c r="O1266" i="5"/>
  <c r="Q1266" i="5"/>
  <c r="S1266" i="5" s="1"/>
  <c r="R1266" i="5"/>
  <c r="N1267" i="5"/>
  <c r="O1267" i="5"/>
  <c r="P1267" i="5"/>
  <c r="Q1267" i="5"/>
  <c r="S1267" i="5" s="1"/>
  <c r="R1267" i="5"/>
  <c r="N1268" i="5"/>
  <c r="P1268" i="5" s="1"/>
  <c r="O1268" i="5"/>
  <c r="Q1268" i="5"/>
  <c r="S1268" i="5" s="1"/>
  <c r="R1268" i="5"/>
  <c r="N1269" i="5"/>
  <c r="P1269" i="5" s="1"/>
  <c r="O1269" i="5"/>
  <c r="Q1269" i="5"/>
  <c r="R1269" i="5"/>
  <c r="S1269" i="5"/>
  <c r="N1270" i="5"/>
  <c r="P1270" i="5" s="1"/>
  <c r="O1270" i="5"/>
  <c r="Q1270" i="5"/>
  <c r="S1270" i="5" s="1"/>
  <c r="R1270" i="5"/>
  <c r="N1271" i="5"/>
  <c r="P1271" i="5" s="1"/>
  <c r="O1271" i="5"/>
  <c r="Q1271" i="5"/>
  <c r="S1271" i="5" s="1"/>
  <c r="R1271" i="5"/>
  <c r="N1272" i="5"/>
  <c r="O1272" i="5"/>
  <c r="P1272" i="5"/>
  <c r="Q1272" i="5"/>
  <c r="S1272" i="5" s="1"/>
  <c r="R1272" i="5"/>
  <c r="N1273" i="5"/>
  <c r="P1273" i="5" s="1"/>
  <c r="O1273" i="5"/>
  <c r="Q1273" i="5"/>
  <c r="R1273" i="5"/>
  <c r="S1273" i="5"/>
  <c r="N1274" i="5"/>
  <c r="P1274" i="5" s="1"/>
  <c r="O1274" i="5"/>
  <c r="Q1274" i="5"/>
  <c r="S1274" i="5" s="1"/>
  <c r="R1274" i="5"/>
  <c r="N1275" i="5"/>
  <c r="P1275" i="5" s="1"/>
  <c r="O1275" i="5"/>
  <c r="Q1275" i="5"/>
  <c r="S1275" i="5" s="1"/>
  <c r="R1275" i="5"/>
  <c r="N1276" i="5"/>
  <c r="P1276" i="5" s="1"/>
  <c r="O1276" i="5"/>
  <c r="Q1276" i="5"/>
  <c r="S1276" i="5" s="1"/>
  <c r="R1276" i="5"/>
  <c r="N1277" i="5"/>
  <c r="O1277" i="5"/>
  <c r="P1277" i="5"/>
  <c r="Q1277" i="5"/>
  <c r="R1277" i="5"/>
  <c r="S1277" i="5"/>
  <c r="N1278" i="5"/>
  <c r="P1278" i="5" s="1"/>
  <c r="O1278" i="5"/>
  <c r="Q1278" i="5"/>
  <c r="S1278" i="5" s="1"/>
  <c r="R1278" i="5"/>
  <c r="N1279" i="5"/>
  <c r="P1279" i="5" s="1"/>
  <c r="O1279" i="5"/>
  <c r="Q1279" i="5"/>
  <c r="R1279" i="5"/>
  <c r="S1279" i="5"/>
  <c r="N1280" i="5"/>
  <c r="O1280" i="5"/>
  <c r="P1280" i="5"/>
  <c r="Q1280" i="5"/>
  <c r="S1280" i="5" s="1"/>
  <c r="R1280" i="5"/>
  <c r="N1281" i="5"/>
  <c r="P1281" i="5" s="1"/>
  <c r="O1281" i="5"/>
  <c r="Q1281" i="5"/>
  <c r="S1281" i="5" s="1"/>
  <c r="R1281" i="5"/>
  <c r="N1282" i="5"/>
  <c r="P1282" i="5" s="1"/>
  <c r="O1282" i="5"/>
  <c r="Q1282" i="5"/>
  <c r="S1282" i="5" s="1"/>
  <c r="R1282" i="5"/>
  <c r="N1283" i="5"/>
  <c r="O1283" i="5"/>
  <c r="P1283" i="5"/>
  <c r="Q1283" i="5"/>
  <c r="S1283" i="5" s="1"/>
  <c r="R1283" i="5"/>
  <c r="N1284" i="5"/>
  <c r="P1284" i="5" s="1"/>
  <c r="O1284" i="5"/>
  <c r="Q1284" i="5"/>
  <c r="S1284" i="5" s="1"/>
  <c r="R1284" i="5"/>
  <c r="N1285" i="5"/>
  <c r="P1285" i="5" s="1"/>
  <c r="O1285" i="5"/>
  <c r="Q1285" i="5"/>
  <c r="R1285" i="5"/>
  <c r="S1285" i="5"/>
  <c r="N1286" i="5"/>
  <c r="P1286" i="5" s="1"/>
  <c r="O1286" i="5"/>
  <c r="Q1286" i="5"/>
  <c r="S1286" i="5" s="1"/>
  <c r="R1286" i="5"/>
  <c r="N1287" i="5"/>
  <c r="P1287" i="5" s="1"/>
  <c r="O1287" i="5"/>
  <c r="Q1287" i="5"/>
  <c r="S1287" i="5" s="1"/>
  <c r="R1287" i="5"/>
  <c r="N1288" i="5"/>
  <c r="O1288" i="5"/>
  <c r="P1288" i="5"/>
  <c r="Q1288" i="5"/>
  <c r="S1288" i="5" s="1"/>
  <c r="R1288" i="5"/>
  <c r="N1289" i="5"/>
  <c r="P1289" i="5" s="1"/>
  <c r="O1289" i="5"/>
  <c r="Q1289" i="5"/>
  <c r="R1289" i="5"/>
  <c r="S1289" i="5"/>
  <c r="N1290" i="5"/>
  <c r="P1290" i="5" s="1"/>
  <c r="O1290" i="5"/>
  <c r="Q1290" i="5"/>
  <c r="S1290" i="5" s="1"/>
  <c r="R1290" i="5"/>
  <c r="N1291" i="5"/>
  <c r="P1291" i="5" s="1"/>
  <c r="O1291" i="5"/>
  <c r="Q1291" i="5"/>
  <c r="S1291" i="5" s="1"/>
  <c r="R1291" i="5"/>
  <c r="N1292" i="5"/>
  <c r="P1292" i="5" s="1"/>
  <c r="O1292" i="5"/>
  <c r="Q1292" i="5"/>
  <c r="S1292" i="5" s="1"/>
  <c r="R1292" i="5"/>
  <c r="N1293" i="5"/>
  <c r="O1293" i="5"/>
  <c r="P1293" i="5"/>
  <c r="Q1293" i="5"/>
  <c r="R1293" i="5"/>
  <c r="S1293" i="5"/>
  <c r="N1294" i="5"/>
  <c r="P1294" i="5" s="1"/>
  <c r="O1294" i="5"/>
  <c r="Q1294" i="5"/>
  <c r="S1294" i="5" s="1"/>
  <c r="R1294" i="5"/>
  <c r="N1295" i="5"/>
  <c r="P1295" i="5" s="1"/>
  <c r="O1295" i="5"/>
  <c r="Q1295" i="5"/>
  <c r="R1295" i="5"/>
  <c r="S1295" i="5"/>
  <c r="N1296" i="5"/>
  <c r="O1296" i="5"/>
  <c r="P1296" i="5"/>
  <c r="Q1296" i="5"/>
  <c r="S1296" i="5" s="1"/>
  <c r="R1296" i="5"/>
  <c r="N1297" i="5"/>
  <c r="P1297" i="5" s="1"/>
  <c r="O1297" i="5"/>
  <c r="Q1297" i="5"/>
  <c r="S1297" i="5" s="1"/>
  <c r="R1297" i="5"/>
  <c r="N1298" i="5"/>
  <c r="P1298" i="5" s="1"/>
  <c r="O1298" i="5"/>
  <c r="Q1298" i="5"/>
  <c r="S1298" i="5" s="1"/>
  <c r="R1298" i="5"/>
  <c r="N1299" i="5"/>
  <c r="P1299" i="5" s="1"/>
  <c r="O1299" i="5"/>
  <c r="Q1299" i="5"/>
  <c r="S1299" i="5" s="1"/>
  <c r="R1299" i="5"/>
  <c r="N1300" i="5"/>
  <c r="P1300" i="5" s="1"/>
  <c r="O1300" i="5"/>
  <c r="Q1300" i="5"/>
  <c r="S1300" i="5" s="1"/>
  <c r="R1300" i="5"/>
  <c r="N1301" i="5"/>
  <c r="O1301" i="5"/>
  <c r="P1301" i="5"/>
  <c r="Q1301" i="5"/>
  <c r="R1301" i="5"/>
  <c r="S1301" i="5"/>
  <c r="N1302" i="5"/>
  <c r="P1302" i="5" s="1"/>
  <c r="O1302" i="5"/>
  <c r="Q1302" i="5"/>
  <c r="S1302" i="5" s="1"/>
  <c r="R1302" i="5"/>
  <c r="N1303" i="5"/>
  <c r="P1303" i="5" s="1"/>
  <c r="O1303" i="5"/>
  <c r="Q1303" i="5"/>
  <c r="R1303" i="5"/>
  <c r="S1303" i="5"/>
  <c r="N1304" i="5"/>
  <c r="O1304" i="5"/>
  <c r="P1304" i="5"/>
  <c r="Q1304" i="5"/>
  <c r="S1304" i="5" s="1"/>
  <c r="R1304" i="5"/>
  <c r="N1305" i="5"/>
  <c r="P1305" i="5" s="1"/>
  <c r="O1305" i="5"/>
  <c r="Q1305" i="5"/>
  <c r="S1305" i="5" s="1"/>
  <c r="R1305" i="5"/>
  <c r="N1306" i="5"/>
  <c r="P1306" i="5" s="1"/>
  <c r="O1306" i="5"/>
  <c r="Q1306" i="5"/>
  <c r="S1306" i="5" s="1"/>
  <c r="R1306" i="5"/>
  <c r="N1307" i="5"/>
  <c r="P1307" i="5" s="1"/>
  <c r="O1307" i="5"/>
  <c r="Q1307" i="5"/>
  <c r="S1307" i="5" s="1"/>
  <c r="R1307" i="5"/>
  <c r="N1308" i="5"/>
  <c r="P1308" i="5" s="1"/>
  <c r="O1308" i="5"/>
  <c r="Q1308" i="5"/>
  <c r="S1308" i="5" s="1"/>
  <c r="R1308" i="5"/>
  <c r="N1309" i="5"/>
  <c r="O1309" i="5"/>
  <c r="P1309" i="5"/>
  <c r="Q1309" i="5"/>
  <c r="R1309" i="5"/>
  <c r="S1309" i="5"/>
  <c r="N1310" i="5"/>
  <c r="P1310" i="5" s="1"/>
  <c r="O1310" i="5"/>
  <c r="Q1310" i="5"/>
  <c r="S1310" i="5" s="1"/>
  <c r="R1310" i="5"/>
  <c r="N1311" i="5"/>
  <c r="P1311" i="5" s="1"/>
  <c r="O1311" i="5"/>
  <c r="Q1311" i="5"/>
  <c r="R1311" i="5"/>
  <c r="S1311" i="5"/>
  <c r="N1312" i="5"/>
  <c r="O1312" i="5"/>
  <c r="P1312" i="5"/>
  <c r="Q1312" i="5"/>
  <c r="S1312" i="5" s="1"/>
  <c r="R1312" i="5"/>
  <c r="N1313" i="5"/>
  <c r="P1313" i="5" s="1"/>
  <c r="O1313" i="5"/>
  <c r="Q1313" i="5"/>
  <c r="S1313" i="5" s="1"/>
  <c r="R1313" i="5"/>
  <c r="N1314" i="5"/>
  <c r="P1314" i="5" s="1"/>
  <c r="O1314" i="5"/>
  <c r="Q1314" i="5"/>
  <c r="S1314" i="5" s="1"/>
  <c r="R1314" i="5"/>
  <c r="N1315" i="5"/>
  <c r="P1315" i="5" s="1"/>
  <c r="O1315" i="5"/>
  <c r="Q1315" i="5"/>
  <c r="S1315" i="5" s="1"/>
  <c r="R1315" i="5"/>
  <c r="N1316" i="5"/>
  <c r="P1316" i="5" s="1"/>
  <c r="O1316" i="5"/>
  <c r="Q1316" i="5"/>
  <c r="S1316" i="5" s="1"/>
  <c r="R1316" i="5"/>
  <c r="N1317" i="5"/>
  <c r="O1317" i="5"/>
  <c r="P1317" i="5"/>
  <c r="Q1317" i="5"/>
  <c r="R1317" i="5"/>
  <c r="S1317" i="5"/>
  <c r="N1318" i="5"/>
  <c r="P1318" i="5" s="1"/>
  <c r="O1318" i="5"/>
  <c r="Q1318" i="5"/>
  <c r="S1318" i="5" s="1"/>
  <c r="R1318" i="5"/>
  <c r="N1319" i="5"/>
  <c r="P1319" i="5" s="1"/>
  <c r="O1319" i="5"/>
  <c r="Q1319" i="5"/>
  <c r="R1319" i="5"/>
  <c r="S1319" i="5"/>
  <c r="N1320" i="5"/>
  <c r="O1320" i="5"/>
  <c r="P1320" i="5"/>
  <c r="Q1320" i="5"/>
  <c r="S1320" i="5" s="1"/>
  <c r="R1320" i="5"/>
  <c r="N1321" i="5"/>
  <c r="P1321" i="5" s="1"/>
  <c r="O1321" i="5"/>
  <c r="Q1321" i="5"/>
  <c r="S1321" i="5" s="1"/>
  <c r="R1321" i="5"/>
  <c r="N1322" i="5"/>
  <c r="P1322" i="5" s="1"/>
  <c r="O1322" i="5"/>
  <c r="Q1322" i="5"/>
  <c r="S1322" i="5" s="1"/>
  <c r="R1322" i="5"/>
  <c r="N1323" i="5"/>
  <c r="P1323" i="5" s="1"/>
  <c r="O1323" i="5"/>
  <c r="Q1323" i="5"/>
  <c r="S1323" i="5" s="1"/>
  <c r="R1323" i="5"/>
  <c r="N1324" i="5"/>
  <c r="P1324" i="5" s="1"/>
  <c r="O1324" i="5"/>
  <c r="Q1324" i="5"/>
  <c r="S1324" i="5" s="1"/>
  <c r="R1324" i="5"/>
  <c r="N1325" i="5"/>
  <c r="O1325" i="5"/>
  <c r="P1325" i="5"/>
  <c r="Q1325" i="5"/>
  <c r="R1325" i="5"/>
  <c r="S1325" i="5"/>
  <c r="N1326" i="5"/>
  <c r="P1326" i="5" s="1"/>
  <c r="O1326" i="5"/>
  <c r="Q1326" i="5"/>
  <c r="S1326" i="5" s="1"/>
  <c r="R1326" i="5"/>
  <c r="N1327" i="5"/>
  <c r="P1327" i="5" s="1"/>
  <c r="O1327" i="5"/>
  <c r="Q1327" i="5"/>
  <c r="R1327" i="5"/>
  <c r="S1327" i="5"/>
  <c r="N1328" i="5"/>
  <c r="O1328" i="5"/>
  <c r="P1328" i="5"/>
  <c r="Q1328" i="5"/>
  <c r="S1328" i="5" s="1"/>
  <c r="R1328" i="5"/>
  <c r="N1329" i="5"/>
  <c r="P1329" i="5" s="1"/>
  <c r="O1329" i="5"/>
  <c r="Q1329" i="5"/>
  <c r="S1329" i="5" s="1"/>
  <c r="R1329" i="5"/>
  <c r="N1330" i="5"/>
  <c r="P1330" i="5" s="1"/>
  <c r="O1330" i="5"/>
  <c r="Q1330" i="5"/>
  <c r="S1330" i="5" s="1"/>
  <c r="R1330" i="5"/>
  <c r="N1331" i="5"/>
  <c r="P1331" i="5" s="1"/>
  <c r="O1331" i="5"/>
  <c r="Q1331" i="5"/>
  <c r="S1331" i="5" s="1"/>
  <c r="R1331" i="5"/>
  <c r="N1332" i="5"/>
  <c r="P1332" i="5" s="1"/>
  <c r="O1332" i="5"/>
  <c r="Q1332" i="5"/>
  <c r="S1332" i="5" s="1"/>
  <c r="R1332" i="5"/>
  <c r="N1333" i="5"/>
  <c r="O1333" i="5"/>
  <c r="P1333" i="5"/>
  <c r="Q1333" i="5"/>
  <c r="R1333" i="5"/>
  <c r="S1333" i="5"/>
  <c r="N1334" i="5"/>
  <c r="P1334" i="5" s="1"/>
  <c r="O1334" i="5"/>
  <c r="Q1334" i="5"/>
  <c r="S1334" i="5" s="1"/>
  <c r="R1334" i="5"/>
  <c r="N1335" i="5"/>
  <c r="P1335" i="5" s="1"/>
  <c r="O1335" i="5"/>
  <c r="Q1335" i="5"/>
  <c r="R1335" i="5"/>
  <c r="S1335" i="5"/>
  <c r="N1336" i="5"/>
  <c r="O1336" i="5"/>
  <c r="P1336" i="5"/>
  <c r="Q1336" i="5"/>
  <c r="S1336" i="5" s="1"/>
  <c r="R1336" i="5"/>
  <c r="N1337" i="5"/>
  <c r="P1337" i="5" s="1"/>
  <c r="O1337" i="5"/>
  <c r="Q1337" i="5"/>
  <c r="S1337" i="5" s="1"/>
  <c r="R1337" i="5"/>
  <c r="N1338" i="5"/>
  <c r="P1338" i="5" s="1"/>
  <c r="O1338" i="5"/>
  <c r="Q1338" i="5"/>
  <c r="S1338" i="5" s="1"/>
  <c r="R1338" i="5"/>
  <c r="N1339" i="5"/>
  <c r="P1339" i="5" s="1"/>
  <c r="O1339" i="5"/>
  <c r="Q1339" i="5"/>
  <c r="S1339" i="5" s="1"/>
  <c r="R1339" i="5"/>
  <c r="N1340" i="5"/>
  <c r="P1340" i="5" s="1"/>
  <c r="O1340" i="5"/>
  <c r="Q1340" i="5"/>
  <c r="S1340" i="5" s="1"/>
  <c r="R1340" i="5"/>
  <c r="N1341" i="5"/>
  <c r="O1341" i="5"/>
  <c r="P1341" i="5"/>
  <c r="Q1341" i="5"/>
  <c r="R1341" i="5"/>
  <c r="S1341" i="5"/>
  <c r="N1342" i="5"/>
  <c r="P1342" i="5" s="1"/>
  <c r="O1342" i="5"/>
  <c r="Q1342" i="5"/>
  <c r="S1342" i="5" s="1"/>
  <c r="R1342" i="5"/>
  <c r="N1343" i="5"/>
  <c r="P1343" i="5" s="1"/>
  <c r="O1343" i="5"/>
  <c r="Q1343" i="5"/>
  <c r="R1343" i="5"/>
  <c r="S1343" i="5"/>
  <c r="N1344" i="5"/>
  <c r="O1344" i="5"/>
  <c r="P1344" i="5"/>
  <c r="Q1344" i="5"/>
  <c r="S1344" i="5" s="1"/>
  <c r="R1344" i="5"/>
  <c r="N1345" i="5"/>
  <c r="P1345" i="5" s="1"/>
  <c r="O1345" i="5"/>
  <c r="Q1345" i="5"/>
  <c r="S1345" i="5" s="1"/>
  <c r="R1345" i="5"/>
  <c r="N1346" i="5"/>
  <c r="P1346" i="5" s="1"/>
  <c r="O1346" i="5"/>
  <c r="Q1346" i="5"/>
  <c r="S1346" i="5" s="1"/>
  <c r="R1346" i="5"/>
  <c r="N1347" i="5"/>
  <c r="P1347" i="5" s="1"/>
  <c r="O1347" i="5"/>
  <c r="Q1347" i="5"/>
  <c r="S1347" i="5" s="1"/>
  <c r="R1347" i="5"/>
  <c r="N1348" i="5"/>
  <c r="P1348" i="5" s="1"/>
  <c r="O1348" i="5"/>
  <c r="Q1348" i="5"/>
  <c r="S1348" i="5" s="1"/>
  <c r="R1348" i="5"/>
  <c r="N1349" i="5"/>
  <c r="O1349" i="5"/>
  <c r="P1349" i="5"/>
  <c r="Q1349" i="5"/>
  <c r="R1349" i="5"/>
  <c r="S1349" i="5"/>
  <c r="N1350" i="5"/>
  <c r="P1350" i="5" s="1"/>
  <c r="O1350" i="5"/>
  <c r="Q1350" i="5"/>
  <c r="S1350" i="5" s="1"/>
  <c r="R1350" i="5"/>
  <c r="N1351" i="5"/>
  <c r="P1351" i="5" s="1"/>
  <c r="O1351" i="5"/>
  <c r="Q1351" i="5"/>
  <c r="R1351" i="5"/>
  <c r="S1351" i="5"/>
  <c r="N1352" i="5"/>
  <c r="O1352" i="5"/>
  <c r="P1352" i="5"/>
  <c r="Q1352" i="5"/>
  <c r="S1352" i="5" s="1"/>
  <c r="R1352" i="5"/>
  <c r="N1353" i="5"/>
  <c r="P1353" i="5" s="1"/>
  <c r="O1353" i="5"/>
  <c r="Q1353" i="5"/>
  <c r="S1353" i="5" s="1"/>
  <c r="R1353" i="5"/>
  <c r="N1354" i="5"/>
  <c r="P1354" i="5" s="1"/>
  <c r="O1354" i="5"/>
  <c r="Q1354" i="5"/>
  <c r="S1354" i="5" s="1"/>
  <c r="R1354" i="5"/>
  <c r="N1355" i="5"/>
  <c r="P1355" i="5" s="1"/>
  <c r="O1355" i="5"/>
  <c r="Q1355" i="5"/>
  <c r="S1355" i="5" s="1"/>
  <c r="R1355" i="5"/>
  <c r="N1356" i="5"/>
  <c r="P1356" i="5" s="1"/>
  <c r="O1356" i="5"/>
  <c r="Q1356" i="5"/>
  <c r="S1356" i="5" s="1"/>
  <c r="R1356" i="5"/>
  <c r="N1357" i="5"/>
  <c r="O1357" i="5"/>
  <c r="P1357" i="5"/>
  <c r="Q1357" i="5"/>
  <c r="R1357" i="5"/>
  <c r="S1357" i="5"/>
  <c r="N1358" i="5"/>
  <c r="P1358" i="5" s="1"/>
  <c r="O1358" i="5"/>
  <c r="Q1358" i="5"/>
  <c r="S1358" i="5" s="1"/>
  <c r="R1358" i="5"/>
  <c r="N1359" i="5"/>
  <c r="P1359" i="5" s="1"/>
  <c r="O1359" i="5"/>
  <c r="Q1359" i="5"/>
  <c r="R1359" i="5"/>
  <c r="S1359" i="5"/>
  <c r="N1360" i="5"/>
  <c r="O1360" i="5"/>
  <c r="P1360" i="5"/>
  <c r="Q1360" i="5"/>
  <c r="S1360" i="5" s="1"/>
  <c r="R1360" i="5"/>
  <c r="N1361" i="5"/>
  <c r="P1361" i="5" s="1"/>
  <c r="O1361" i="5"/>
  <c r="Q1361" i="5"/>
  <c r="S1361" i="5" s="1"/>
  <c r="R1361" i="5"/>
  <c r="N1362" i="5"/>
  <c r="P1362" i="5" s="1"/>
  <c r="O1362" i="5"/>
  <c r="Q1362" i="5"/>
  <c r="S1362" i="5" s="1"/>
  <c r="R1362" i="5"/>
  <c r="N1363" i="5"/>
  <c r="P1363" i="5" s="1"/>
  <c r="O1363" i="5"/>
  <c r="Q1363" i="5"/>
  <c r="S1363" i="5" s="1"/>
  <c r="R1363" i="5"/>
  <c r="N1364" i="5"/>
  <c r="P1364" i="5" s="1"/>
  <c r="O1364" i="5"/>
  <c r="Q1364" i="5"/>
  <c r="S1364" i="5" s="1"/>
  <c r="R1364" i="5"/>
  <c r="N1365" i="5"/>
  <c r="O1365" i="5"/>
  <c r="P1365" i="5"/>
  <c r="Q1365" i="5"/>
  <c r="R1365" i="5"/>
  <c r="S1365" i="5"/>
  <c r="N1366" i="5"/>
  <c r="P1366" i="5" s="1"/>
  <c r="O1366" i="5"/>
  <c r="Q1366" i="5"/>
  <c r="S1366" i="5" s="1"/>
  <c r="R1366" i="5"/>
  <c r="N1367" i="5"/>
  <c r="P1367" i="5" s="1"/>
  <c r="O1367" i="5"/>
  <c r="Q1367" i="5"/>
  <c r="R1367" i="5"/>
  <c r="S1367" i="5"/>
  <c r="N1368" i="5"/>
  <c r="O1368" i="5"/>
  <c r="P1368" i="5"/>
  <c r="Q1368" i="5"/>
  <c r="S1368" i="5" s="1"/>
  <c r="R1368" i="5"/>
  <c r="N1369" i="5"/>
  <c r="P1369" i="5" s="1"/>
  <c r="O1369" i="5"/>
  <c r="Q1369" i="5"/>
  <c r="S1369" i="5" s="1"/>
  <c r="R1369" i="5"/>
  <c r="N1370" i="5"/>
  <c r="P1370" i="5" s="1"/>
  <c r="O1370" i="5"/>
  <c r="Q1370" i="5"/>
  <c r="S1370" i="5" s="1"/>
  <c r="R1370" i="5"/>
  <c r="N1371" i="5"/>
  <c r="P1371" i="5" s="1"/>
  <c r="O1371" i="5"/>
  <c r="Q1371" i="5"/>
  <c r="S1371" i="5" s="1"/>
  <c r="R1371" i="5"/>
  <c r="N1372" i="5"/>
  <c r="P1372" i="5" s="1"/>
  <c r="O1372" i="5"/>
  <c r="Q1372" i="5"/>
  <c r="S1372" i="5" s="1"/>
  <c r="R1372" i="5"/>
  <c r="N1373" i="5"/>
  <c r="O1373" i="5"/>
  <c r="P1373" i="5"/>
  <c r="Q1373" i="5"/>
  <c r="R1373" i="5"/>
  <c r="S1373" i="5"/>
  <c r="N1374" i="5"/>
  <c r="P1374" i="5" s="1"/>
  <c r="O1374" i="5"/>
  <c r="Q1374" i="5"/>
  <c r="S1374" i="5" s="1"/>
  <c r="R1374" i="5"/>
  <c r="N1375" i="5"/>
  <c r="P1375" i="5" s="1"/>
  <c r="O1375" i="5"/>
  <c r="Q1375" i="5"/>
  <c r="R1375" i="5"/>
  <c r="S1375" i="5"/>
  <c r="N1376" i="5"/>
  <c r="O1376" i="5"/>
  <c r="P1376" i="5"/>
  <c r="Q1376" i="5"/>
  <c r="S1376" i="5" s="1"/>
  <c r="R1376" i="5"/>
  <c r="N1377" i="5"/>
  <c r="P1377" i="5" s="1"/>
  <c r="O1377" i="5"/>
  <c r="Q1377" i="5"/>
  <c r="S1377" i="5" s="1"/>
  <c r="R1377" i="5"/>
  <c r="N1378" i="5"/>
  <c r="P1378" i="5" s="1"/>
  <c r="O1378" i="5"/>
  <c r="Q1378" i="5"/>
  <c r="S1378" i="5" s="1"/>
  <c r="R1378" i="5"/>
  <c r="N1379" i="5"/>
  <c r="P1379" i="5" s="1"/>
  <c r="O1379" i="5"/>
  <c r="Q1379" i="5"/>
  <c r="S1379" i="5" s="1"/>
  <c r="R1379" i="5"/>
  <c r="N1380" i="5"/>
  <c r="P1380" i="5" s="1"/>
  <c r="O1380" i="5"/>
  <c r="Q1380" i="5"/>
  <c r="S1380" i="5" s="1"/>
  <c r="R1380" i="5"/>
  <c r="N1381" i="5"/>
  <c r="O1381" i="5"/>
  <c r="P1381" i="5"/>
  <c r="Q1381" i="5"/>
  <c r="R1381" i="5"/>
  <c r="S1381" i="5"/>
  <c r="N1382" i="5"/>
  <c r="P1382" i="5" s="1"/>
  <c r="O1382" i="5"/>
  <c r="Q1382" i="5"/>
  <c r="S1382" i="5" s="1"/>
  <c r="R1382" i="5"/>
  <c r="N1383" i="5"/>
  <c r="P1383" i="5" s="1"/>
  <c r="O1383" i="5"/>
  <c r="Q1383" i="5"/>
  <c r="R1383" i="5"/>
  <c r="S1383" i="5"/>
  <c r="N1384" i="5"/>
  <c r="O1384" i="5"/>
  <c r="P1384" i="5"/>
  <c r="Q1384" i="5"/>
  <c r="S1384" i="5" s="1"/>
  <c r="R1384" i="5"/>
  <c r="N1385" i="5"/>
  <c r="P1385" i="5" s="1"/>
  <c r="O1385" i="5"/>
  <c r="Q1385" i="5"/>
  <c r="S1385" i="5" s="1"/>
  <c r="R1385" i="5"/>
  <c r="N1386" i="5"/>
  <c r="P1386" i="5" s="1"/>
  <c r="O1386" i="5"/>
  <c r="Q1386" i="5"/>
  <c r="S1386" i="5" s="1"/>
  <c r="R1386" i="5"/>
  <c r="N1387" i="5"/>
  <c r="P1387" i="5" s="1"/>
  <c r="O1387" i="5"/>
  <c r="Q1387" i="5"/>
  <c r="S1387" i="5" s="1"/>
  <c r="R1387" i="5"/>
  <c r="N1388" i="5"/>
  <c r="P1388" i="5" s="1"/>
  <c r="O1388" i="5"/>
  <c r="Q1388" i="5"/>
  <c r="S1388" i="5" s="1"/>
  <c r="R1388" i="5"/>
  <c r="N1389" i="5"/>
  <c r="O1389" i="5"/>
  <c r="P1389" i="5"/>
  <c r="Q1389" i="5"/>
  <c r="R1389" i="5"/>
  <c r="S1389" i="5"/>
  <c r="N1390" i="5"/>
  <c r="P1390" i="5" s="1"/>
  <c r="O1390" i="5"/>
  <c r="Q1390" i="5"/>
  <c r="S1390" i="5" s="1"/>
  <c r="R1390" i="5"/>
  <c r="N1391" i="5"/>
  <c r="P1391" i="5" s="1"/>
  <c r="O1391" i="5"/>
  <c r="Q1391" i="5"/>
  <c r="R1391" i="5"/>
  <c r="S1391" i="5"/>
  <c r="N1392" i="5"/>
  <c r="O1392" i="5"/>
  <c r="P1392" i="5"/>
  <c r="Q1392" i="5"/>
  <c r="S1392" i="5" s="1"/>
  <c r="R1392" i="5"/>
  <c r="N1393" i="5"/>
  <c r="P1393" i="5" s="1"/>
  <c r="O1393" i="5"/>
  <c r="Q1393" i="5"/>
  <c r="S1393" i="5" s="1"/>
  <c r="R1393" i="5"/>
  <c r="N1394" i="5"/>
  <c r="P1394" i="5" s="1"/>
  <c r="O1394" i="5"/>
  <c r="Q1394" i="5"/>
  <c r="S1394" i="5" s="1"/>
  <c r="R1394" i="5"/>
  <c r="N1395" i="5"/>
  <c r="P1395" i="5" s="1"/>
  <c r="O1395" i="5"/>
  <c r="Q1395" i="5"/>
  <c r="S1395" i="5" s="1"/>
  <c r="R1395" i="5"/>
  <c r="N1396" i="5"/>
  <c r="P1396" i="5" s="1"/>
  <c r="O1396" i="5"/>
  <c r="Q1396" i="5"/>
  <c r="S1396" i="5" s="1"/>
  <c r="R1396" i="5"/>
  <c r="N1397" i="5"/>
  <c r="O1397" i="5"/>
  <c r="P1397" i="5"/>
  <c r="Q1397" i="5"/>
  <c r="R1397" i="5"/>
  <c r="S1397" i="5"/>
  <c r="N1398" i="5"/>
  <c r="P1398" i="5" s="1"/>
  <c r="O1398" i="5"/>
  <c r="Q1398" i="5"/>
  <c r="S1398" i="5" s="1"/>
  <c r="R1398" i="5"/>
  <c r="N1399" i="5"/>
  <c r="P1399" i="5" s="1"/>
  <c r="O1399" i="5"/>
  <c r="Q1399" i="5"/>
  <c r="R1399" i="5"/>
  <c r="S1399" i="5"/>
  <c r="N1400" i="5"/>
  <c r="O1400" i="5"/>
  <c r="P1400" i="5"/>
  <c r="Q1400" i="5"/>
  <c r="S1400" i="5" s="1"/>
  <c r="R1400" i="5"/>
  <c r="N1401" i="5"/>
  <c r="P1401" i="5" s="1"/>
  <c r="O1401" i="5"/>
  <c r="Q1401" i="5"/>
  <c r="S1401" i="5" s="1"/>
  <c r="R1401" i="5"/>
  <c r="N1402" i="5"/>
  <c r="P1402" i="5" s="1"/>
  <c r="O1402" i="5"/>
  <c r="Q1402" i="5"/>
  <c r="S1402" i="5" s="1"/>
  <c r="R1402" i="5"/>
  <c r="N1403" i="5"/>
  <c r="P1403" i="5" s="1"/>
  <c r="O1403" i="5"/>
  <c r="Q1403" i="5"/>
  <c r="S1403" i="5" s="1"/>
  <c r="R1403" i="5"/>
  <c r="N1404" i="5"/>
  <c r="P1404" i="5" s="1"/>
  <c r="O1404" i="5"/>
  <c r="Q1404" i="5"/>
  <c r="S1404" i="5" s="1"/>
  <c r="R1404" i="5"/>
  <c r="N1405" i="5"/>
  <c r="O1405" i="5"/>
  <c r="P1405" i="5"/>
  <c r="Q1405" i="5"/>
  <c r="R1405" i="5"/>
  <c r="S1405" i="5"/>
  <c r="N1406" i="5"/>
  <c r="P1406" i="5" s="1"/>
  <c r="O1406" i="5"/>
  <c r="Q1406" i="5"/>
  <c r="S1406" i="5" s="1"/>
  <c r="R1406" i="5"/>
  <c r="N1407" i="5"/>
  <c r="P1407" i="5" s="1"/>
  <c r="O1407" i="5"/>
  <c r="Q1407" i="5"/>
  <c r="R1407" i="5"/>
  <c r="S1407" i="5"/>
  <c r="N1408" i="5"/>
  <c r="O1408" i="5"/>
  <c r="P1408" i="5"/>
  <c r="Q1408" i="5"/>
  <c r="S1408" i="5" s="1"/>
  <c r="R1408" i="5"/>
  <c r="N1409" i="5"/>
  <c r="P1409" i="5" s="1"/>
  <c r="O1409" i="5"/>
  <c r="Q1409" i="5"/>
  <c r="S1409" i="5" s="1"/>
  <c r="R1409" i="5"/>
  <c r="N1410" i="5"/>
  <c r="P1410" i="5" s="1"/>
  <c r="O1410" i="5"/>
  <c r="Q1410" i="5"/>
  <c r="S1410" i="5" s="1"/>
  <c r="R1410" i="5"/>
  <c r="N1411" i="5"/>
  <c r="P1411" i="5" s="1"/>
  <c r="O1411" i="5"/>
  <c r="Q1411" i="5"/>
  <c r="S1411" i="5" s="1"/>
  <c r="R1411" i="5"/>
  <c r="N1412" i="5"/>
  <c r="P1412" i="5" s="1"/>
  <c r="O1412" i="5"/>
  <c r="Q1412" i="5"/>
  <c r="S1412" i="5" s="1"/>
  <c r="R1412" i="5"/>
  <c r="N1413" i="5"/>
  <c r="O1413" i="5"/>
  <c r="P1413" i="5"/>
  <c r="Q1413" i="5"/>
  <c r="R1413" i="5"/>
  <c r="S1413" i="5"/>
  <c r="N1414" i="5"/>
  <c r="P1414" i="5" s="1"/>
  <c r="O1414" i="5"/>
  <c r="Q1414" i="5"/>
  <c r="S1414" i="5" s="1"/>
  <c r="R1414" i="5"/>
  <c r="N1415" i="5"/>
  <c r="P1415" i="5" s="1"/>
  <c r="O1415" i="5"/>
  <c r="Q1415" i="5"/>
  <c r="R1415" i="5"/>
  <c r="S1415" i="5"/>
  <c r="N1416" i="5"/>
  <c r="O1416" i="5"/>
  <c r="P1416" i="5"/>
  <c r="Q1416" i="5"/>
  <c r="S1416" i="5" s="1"/>
  <c r="R1416" i="5"/>
  <c r="N1417" i="5"/>
  <c r="P1417" i="5" s="1"/>
  <c r="O1417" i="5"/>
  <c r="Q1417" i="5"/>
  <c r="S1417" i="5" s="1"/>
  <c r="R1417" i="5"/>
  <c r="N1418" i="5"/>
  <c r="P1418" i="5" s="1"/>
  <c r="O1418" i="5"/>
  <c r="Q1418" i="5"/>
  <c r="S1418" i="5" s="1"/>
  <c r="R1418" i="5"/>
  <c r="N1419" i="5"/>
  <c r="P1419" i="5" s="1"/>
  <c r="O1419" i="5"/>
  <c r="Q1419" i="5"/>
  <c r="S1419" i="5" s="1"/>
  <c r="R1419" i="5"/>
  <c r="N1420" i="5"/>
  <c r="P1420" i="5" s="1"/>
  <c r="O1420" i="5"/>
  <c r="Q1420" i="5"/>
  <c r="S1420" i="5" s="1"/>
  <c r="R1420" i="5"/>
  <c r="N1421" i="5"/>
  <c r="O1421" i="5"/>
  <c r="P1421" i="5"/>
  <c r="Q1421" i="5"/>
  <c r="R1421" i="5"/>
  <c r="S1421" i="5"/>
  <c r="N1422" i="5"/>
  <c r="P1422" i="5" s="1"/>
  <c r="O1422" i="5"/>
  <c r="Q1422" i="5"/>
  <c r="S1422" i="5" s="1"/>
  <c r="R1422" i="5"/>
  <c r="N1423" i="5"/>
  <c r="P1423" i="5" s="1"/>
  <c r="O1423" i="5"/>
  <c r="Q1423" i="5"/>
  <c r="R1423" i="5"/>
  <c r="S1423" i="5"/>
  <c r="N1424" i="5"/>
  <c r="O1424" i="5"/>
  <c r="P1424" i="5"/>
  <c r="Q1424" i="5"/>
  <c r="S1424" i="5" s="1"/>
  <c r="R1424" i="5"/>
  <c r="N1425" i="5"/>
  <c r="P1425" i="5" s="1"/>
  <c r="O1425" i="5"/>
  <c r="Q1425" i="5"/>
  <c r="S1425" i="5" s="1"/>
  <c r="R1425" i="5"/>
  <c r="N1426" i="5"/>
  <c r="P1426" i="5" s="1"/>
  <c r="O1426" i="5"/>
  <c r="Q1426" i="5"/>
  <c r="S1426" i="5" s="1"/>
  <c r="R1426" i="5"/>
  <c r="N1427" i="5"/>
  <c r="P1427" i="5" s="1"/>
  <c r="O1427" i="5"/>
  <c r="Q1427" i="5"/>
  <c r="S1427" i="5" s="1"/>
  <c r="R1427" i="5"/>
  <c r="N1428" i="5"/>
  <c r="P1428" i="5" s="1"/>
  <c r="O1428" i="5"/>
  <c r="Q1428" i="5"/>
  <c r="S1428" i="5" s="1"/>
  <c r="R1428" i="5"/>
  <c r="N1429" i="5"/>
  <c r="O1429" i="5"/>
  <c r="P1429" i="5"/>
  <c r="Q1429" i="5"/>
  <c r="R1429" i="5"/>
  <c r="S1429" i="5"/>
  <c r="N1430" i="5"/>
  <c r="P1430" i="5" s="1"/>
  <c r="O1430" i="5"/>
  <c r="Q1430" i="5"/>
  <c r="S1430" i="5" s="1"/>
  <c r="R1430" i="5"/>
  <c r="N1431" i="5"/>
  <c r="P1431" i="5" s="1"/>
  <c r="O1431" i="5"/>
  <c r="Q1431" i="5"/>
  <c r="R1431" i="5"/>
  <c r="S1431" i="5"/>
  <c r="N1432" i="5"/>
  <c r="O1432" i="5"/>
  <c r="P1432" i="5"/>
  <c r="Q1432" i="5"/>
  <c r="S1432" i="5" s="1"/>
  <c r="R1432" i="5"/>
  <c r="N1433" i="5"/>
  <c r="P1433" i="5" s="1"/>
  <c r="O1433" i="5"/>
  <c r="Q1433" i="5"/>
  <c r="S1433" i="5" s="1"/>
  <c r="R1433" i="5"/>
  <c r="N1434" i="5"/>
  <c r="P1434" i="5" s="1"/>
  <c r="O1434" i="5"/>
  <c r="Q1434" i="5"/>
  <c r="S1434" i="5" s="1"/>
  <c r="R1434" i="5"/>
  <c r="N1435" i="5"/>
  <c r="P1435" i="5" s="1"/>
  <c r="O1435" i="5"/>
  <c r="Q1435" i="5"/>
  <c r="S1435" i="5" s="1"/>
  <c r="R1435" i="5"/>
  <c r="N1436" i="5"/>
  <c r="P1436" i="5" s="1"/>
  <c r="O1436" i="5"/>
  <c r="Q1436" i="5"/>
  <c r="S1436" i="5" s="1"/>
  <c r="R1436" i="5"/>
  <c r="N1437" i="5"/>
  <c r="O1437" i="5"/>
  <c r="P1437" i="5"/>
  <c r="Q1437" i="5"/>
  <c r="R1437" i="5"/>
  <c r="S1437" i="5"/>
  <c r="N1438" i="5"/>
  <c r="P1438" i="5" s="1"/>
  <c r="O1438" i="5"/>
  <c r="Q1438" i="5"/>
  <c r="S1438" i="5" s="1"/>
  <c r="R1438" i="5"/>
  <c r="N1439" i="5"/>
  <c r="P1439" i="5" s="1"/>
  <c r="O1439" i="5"/>
  <c r="Q1439" i="5"/>
  <c r="R1439" i="5"/>
  <c r="S1439" i="5"/>
  <c r="N1440" i="5"/>
  <c r="O1440" i="5"/>
  <c r="P1440" i="5"/>
  <c r="Q1440" i="5"/>
  <c r="S1440" i="5" s="1"/>
  <c r="R1440" i="5"/>
  <c r="N1441" i="5"/>
  <c r="P1441" i="5" s="1"/>
  <c r="O1441" i="5"/>
  <c r="Q1441" i="5"/>
  <c r="S1441" i="5" s="1"/>
  <c r="R1441" i="5"/>
  <c r="N1442" i="5"/>
  <c r="P1442" i="5" s="1"/>
  <c r="O1442" i="5"/>
  <c r="Q1442" i="5"/>
  <c r="S1442" i="5" s="1"/>
  <c r="R1442" i="5"/>
  <c r="N1443" i="5"/>
  <c r="P1443" i="5" s="1"/>
  <c r="O1443" i="5"/>
  <c r="Q1443" i="5"/>
  <c r="S1443" i="5" s="1"/>
  <c r="R1443" i="5"/>
  <c r="N1444" i="5"/>
  <c r="P1444" i="5" s="1"/>
  <c r="O1444" i="5"/>
  <c r="Q1444" i="5"/>
  <c r="S1444" i="5" s="1"/>
  <c r="R1444" i="5"/>
  <c r="N1445" i="5"/>
  <c r="O1445" i="5"/>
  <c r="P1445" i="5"/>
  <c r="Q1445" i="5"/>
  <c r="R1445" i="5"/>
  <c r="S1445" i="5"/>
  <c r="N1446" i="5"/>
  <c r="P1446" i="5" s="1"/>
  <c r="O1446" i="5"/>
  <c r="Q1446" i="5"/>
  <c r="S1446" i="5" s="1"/>
  <c r="R1446" i="5"/>
  <c r="N1447" i="5"/>
  <c r="P1447" i="5" s="1"/>
  <c r="O1447" i="5"/>
  <c r="Q1447" i="5"/>
  <c r="R1447" i="5"/>
  <c r="S1447" i="5"/>
  <c r="N1448" i="5"/>
  <c r="O1448" i="5"/>
  <c r="P1448" i="5"/>
  <c r="Q1448" i="5"/>
  <c r="S1448" i="5" s="1"/>
  <c r="R1448" i="5"/>
  <c r="N1449" i="5"/>
  <c r="P1449" i="5" s="1"/>
  <c r="O1449" i="5"/>
  <c r="Q1449" i="5"/>
  <c r="S1449" i="5" s="1"/>
  <c r="R1449" i="5"/>
  <c r="N1450" i="5"/>
  <c r="P1450" i="5" s="1"/>
  <c r="O1450" i="5"/>
  <c r="Q1450" i="5"/>
  <c r="S1450" i="5" s="1"/>
  <c r="R1450" i="5"/>
  <c r="N1451" i="5"/>
  <c r="P1451" i="5" s="1"/>
  <c r="O1451" i="5"/>
  <c r="Q1451" i="5"/>
  <c r="S1451" i="5" s="1"/>
  <c r="R1451" i="5"/>
  <c r="N1452" i="5"/>
  <c r="P1452" i="5" s="1"/>
  <c r="O1452" i="5"/>
  <c r="Q1452" i="5"/>
  <c r="S1452" i="5" s="1"/>
  <c r="R1452" i="5"/>
  <c r="N1453" i="5"/>
  <c r="O1453" i="5"/>
  <c r="P1453" i="5"/>
  <c r="Q1453" i="5"/>
  <c r="R1453" i="5"/>
  <c r="S1453" i="5"/>
  <c r="N1454" i="5"/>
  <c r="P1454" i="5" s="1"/>
  <c r="O1454" i="5"/>
  <c r="Q1454" i="5"/>
  <c r="S1454" i="5" s="1"/>
  <c r="R1454" i="5"/>
  <c r="N1455" i="5"/>
  <c r="P1455" i="5" s="1"/>
  <c r="O1455" i="5"/>
  <c r="Q1455" i="5"/>
  <c r="R1455" i="5"/>
  <c r="S1455" i="5"/>
  <c r="N1456" i="5"/>
  <c r="O1456" i="5"/>
  <c r="P1456" i="5"/>
  <c r="Q1456" i="5"/>
  <c r="S1456" i="5" s="1"/>
  <c r="R1456" i="5"/>
  <c r="N1457" i="5"/>
  <c r="P1457" i="5" s="1"/>
  <c r="O1457" i="5"/>
  <c r="Q1457" i="5"/>
  <c r="S1457" i="5" s="1"/>
  <c r="R1457" i="5"/>
  <c r="N1458" i="5"/>
  <c r="P1458" i="5" s="1"/>
  <c r="O1458" i="5"/>
  <c r="Q1458" i="5"/>
  <c r="S1458" i="5" s="1"/>
  <c r="R1458" i="5"/>
  <c r="N1459" i="5"/>
  <c r="P1459" i="5" s="1"/>
  <c r="O1459" i="5"/>
  <c r="Q1459" i="5"/>
  <c r="S1459" i="5" s="1"/>
  <c r="R1459" i="5"/>
  <c r="N1460" i="5"/>
  <c r="P1460" i="5" s="1"/>
  <c r="O1460" i="5"/>
  <c r="Q1460" i="5"/>
  <c r="S1460" i="5" s="1"/>
  <c r="R1460" i="5"/>
  <c r="N1461" i="5"/>
  <c r="O1461" i="5"/>
  <c r="P1461" i="5"/>
  <c r="Q1461" i="5"/>
  <c r="R1461" i="5"/>
  <c r="S1461" i="5"/>
  <c r="N1462" i="5"/>
  <c r="P1462" i="5" s="1"/>
  <c r="O1462" i="5"/>
  <c r="Q1462" i="5"/>
  <c r="S1462" i="5" s="1"/>
  <c r="R1462" i="5"/>
  <c r="N1463" i="5"/>
  <c r="P1463" i="5" s="1"/>
  <c r="O1463" i="5"/>
  <c r="Q1463" i="5"/>
  <c r="R1463" i="5"/>
  <c r="S1463" i="5"/>
  <c r="N1464" i="5"/>
  <c r="O1464" i="5"/>
  <c r="P1464" i="5"/>
  <c r="Q1464" i="5"/>
  <c r="S1464" i="5" s="1"/>
  <c r="R1464" i="5"/>
  <c r="N1465" i="5"/>
  <c r="P1465" i="5" s="1"/>
  <c r="O1465" i="5"/>
  <c r="Q1465" i="5"/>
  <c r="S1465" i="5" s="1"/>
  <c r="R1465" i="5"/>
  <c r="N1466" i="5"/>
  <c r="P1466" i="5" s="1"/>
  <c r="O1466" i="5"/>
  <c r="Q1466" i="5"/>
  <c r="S1466" i="5" s="1"/>
  <c r="R1466" i="5"/>
  <c r="N1467" i="5"/>
  <c r="P1467" i="5" s="1"/>
  <c r="O1467" i="5"/>
  <c r="Q1467" i="5"/>
  <c r="S1467" i="5" s="1"/>
  <c r="R1467" i="5"/>
  <c r="N1468" i="5"/>
  <c r="P1468" i="5" s="1"/>
  <c r="O1468" i="5"/>
  <c r="Q1468" i="5"/>
  <c r="S1468" i="5" s="1"/>
  <c r="R1468" i="5"/>
  <c r="N1469" i="5"/>
  <c r="O1469" i="5"/>
  <c r="P1469" i="5"/>
  <c r="Q1469" i="5"/>
  <c r="R1469" i="5"/>
  <c r="S1469" i="5"/>
  <c r="N1470" i="5"/>
  <c r="P1470" i="5" s="1"/>
  <c r="O1470" i="5"/>
  <c r="Q1470" i="5"/>
  <c r="S1470" i="5" s="1"/>
  <c r="R1470" i="5"/>
  <c r="N1471" i="5"/>
  <c r="P1471" i="5" s="1"/>
  <c r="O1471" i="5"/>
  <c r="Q1471" i="5"/>
  <c r="R1471" i="5"/>
  <c r="S1471" i="5"/>
  <c r="N1472" i="5"/>
  <c r="O1472" i="5"/>
  <c r="P1472" i="5"/>
  <c r="Q1472" i="5"/>
  <c r="S1472" i="5" s="1"/>
  <c r="R1472" i="5"/>
  <c r="N1473" i="5"/>
  <c r="P1473" i="5" s="1"/>
  <c r="O1473" i="5"/>
  <c r="Q1473" i="5"/>
  <c r="S1473" i="5" s="1"/>
  <c r="R1473" i="5"/>
  <c r="N1474" i="5"/>
  <c r="P1474" i="5" s="1"/>
  <c r="O1474" i="5"/>
  <c r="Q1474" i="5"/>
  <c r="S1474" i="5" s="1"/>
  <c r="R1474" i="5"/>
  <c r="N1475" i="5"/>
  <c r="P1475" i="5" s="1"/>
  <c r="O1475" i="5"/>
  <c r="Q1475" i="5"/>
  <c r="S1475" i="5" s="1"/>
  <c r="R1475" i="5"/>
  <c r="N1476" i="5"/>
  <c r="P1476" i="5" s="1"/>
  <c r="O1476" i="5"/>
  <c r="Q1476" i="5"/>
  <c r="S1476" i="5" s="1"/>
  <c r="R1476" i="5"/>
  <c r="N1477" i="5"/>
  <c r="O1477" i="5"/>
  <c r="P1477" i="5"/>
  <c r="Q1477" i="5"/>
  <c r="R1477" i="5"/>
  <c r="S1477" i="5"/>
  <c r="N1478" i="5"/>
  <c r="P1478" i="5" s="1"/>
  <c r="O1478" i="5"/>
  <c r="Q1478" i="5"/>
  <c r="S1478" i="5" s="1"/>
  <c r="R1478" i="5"/>
  <c r="N1479" i="5"/>
  <c r="P1479" i="5" s="1"/>
  <c r="O1479" i="5"/>
  <c r="Q1479" i="5"/>
  <c r="R1479" i="5"/>
  <c r="S1479" i="5"/>
  <c r="N1480" i="5"/>
  <c r="O1480" i="5"/>
  <c r="P1480" i="5"/>
  <c r="Q1480" i="5"/>
  <c r="S1480" i="5" s="1"/>
  <c r="R1480" i="5"/>
  <c r="N1481" i="5"/>
  <c r="P1481" i="5" s="1"/>
  <c r="O1481" i="5"/>
  <c r="Q1481" i="5"/>
  <c r="S1481" i="5" s="1"/>
  <c r="R1481" i="5"/>
  <c r="N1482" i="5"/>
  <c r="P1482" i="5" s="1"/>
  <c r="O1482" i="5"/>
  <c r="Q1482" i="5"/>
  <c r="S1482" i="5" s="1"/>
  <c r="R1482" i="5"/>
  <c r="N1483" i="5"/>
  <c r="P1483" i="5" s="1"/>
  <c r="O1483" i="5"/>
  <c r="Q1483" i="5"/>
  <c r="S1483" i="5" s="1"/>
  <c r="R1483" i="5"/>
  <c r="N1484" i="5"/>
  <c r="P1484" i="5" s="1"/>
  <c r="O1484" i="5"/>
  <c r="Q1484" i="5"/>
  <c r="S1484" i="5" s="1"/>
  <c r="R1484" i="5"/>
  <c r="N1485" i="5"/>
  <c r="O1485" i="5"/>
  <c r="P1485" i="5"/>
  <c r="Q1485" i="5"/>
  <c r="R1485" i="5"/>
  <c r="S1485" i="5"/>
  <c r="N1486" i="5"/>
  <c r="P1486" i="5" s="1"/>
  <c r="O1486" i="5"/>
  <c r="Q1486" i="5"/>
  <c r="S1486" i="5" s="1"/>
  <c r="R1486" i="5"/>
  <c r="N1487" i="5"/>
  <c r="P1487" i="5" s="1"/>
  <c r="O1487" i="5"/>
  <c r="Q1487" i="5"/>
  <c r="R1487" i="5"/>
  <c r="S1487" i="5"/>
  <c r="N1488" i="5"/>
  <c r="O1488" i="5"/>
  <c r="P1488" i="5"/>
  <c r="Q1488" i="5"/>
  <c r="S1488" i="5" s="1"/>
  <c r="R1488" i="5"/>
  <c r="N1489" i="5"/>
  <c r="P1489" i="5" s="1"/>
  <c r="O1489" i="5"/>
  <c r="Q1489" i="5"/>
  <c r="S1489" i="5" s="1"/>
  <c r="R1489" i="5"/>
  <c r="N1490" i="5"/>
  <c r="P1490" i="5" s="1"/>
  <c r="O1490" i="5"/>
  <c r="Q1490" i="5"/>
  <c r="S1490" i="5" s="1"/>
  <c r="R1490" i="5"/>
  <c r="N1491" i="5"/>
  <c r="P1491" i="5" s="1"/>
  <c r="O1491" i="5"/>
  <c r="Q1491" i="5"/>
  <c r="S1491" i="5" s="1"/>
  <c r="R1491" i="5"/>
  <c r="N1492" i="5"/>
  <c r="P1492" i="5" s="1"/>
  <c r="O1492" i="5"/>
  <c r="Q1492" i="5"/>
  <c r="S1492" i="5" s="1"/>
  <c r="R1492" i="5"/>
  <c r="N1493" i="5"/>
  <c r="O1493" i="5"/>
  <c r="P1493" i="5"/>
  <c r="Q1493" i="5"/>
  <c r="R1493" i="5"/>
  <c r="S1493" i="5"/>
  <c r="N1494" i="5"/>
  <c r="P1494" i="5" s="1"/>
  <c r="O1494" i="5"/>
  <c r="Q1494" i="5"/>
  <c r="S1494" i="5" s="1"/>
  <c r="R1494" i="5"/>
  <c r="N1495" i="5"/>
  <c r="P1495" i="5" s="1"/>
  <c r="O1495" i="5"/>
  <c r="Q1495" i="5"/>
  <c r="R1495" i="5"/>
  <c r="S1495" i="5"/>
  <c r="N1496" i="5"/>
  <c r="O1496" i="5"/>
  <c r="P1496" i="5"/>
  <c r="Q1496" i="5"/>
  <c r="S1496" i="5" s="1"/>
  <c r="R1496" i="5"/>
  <c r="N1497" i="5"/>
  <c r="P1497" i="5" s="1"/>
  <c r="O1497" i="5"/>
  <c r="Q1497" i="5"/>
  <c r="S1497" i="5" s="1"/>
  <c r="R1497" i="5"/>
  <c r="N1498" i="5"/>
  <c r="P1498" i="5" s="1"/>
  <c r="O1498" i="5"/>
  <c r="Q1498" i="5"/>
  <c r="S1498" i="5" s="1"/>
  <c r="R1498" i="5"/>
  <c r="N1499" i="5"/>
  <c r="P1499" i="5" s="1"/>
  <c r="O1499" i="5"/>
  <c r="Q1499" i="5"/>
  <c r="S1499" i="5" s="1"/>
  <c r="R1499" i="5"/>
  <c r="N1500" i="5"/>
  <c r="P1500" i="5" s="1"/>
  <c r="O1500" i="5"/>
  <c r="Q1500" i="5"/>
  <c r="S1500" i="5" s="1"/>
  <c r="R1500" i="5"/>
  <c r="N1501" i="5"/>
  <c r="O1501" i="5"/>
  <c r="P1501" i="5"/>
  <c r="Q1501" i="5"/>
  <c r="R1501" i="5"/>
  <c r="S1501" i="5"/>
  <c r="N1502" i="5"/>
  <c r="P1502" i="5" s="1"/>
  <c r="O1502" i="5"/>
  <c r="Q1502" i="5"/>
  <c r="S1502" i="5" s="1"/>
  <c r="R1502" i="5"/>
  <c r="N1503" i="5"/>
  <c r="P1503" i="5" s="1"/>
  <c r="O1503" i="5"/>
  <c r="Q1503" i="5"/>
  <c r="R1503" i="5"/>
  <c r="S1503" i="5"/>
  <c r="N1504" i="5"/>
  <c r="O1504" i="5"/>
  <c r="P1504" i="5"/>
  <c r="Q1504" i="5"/>
  <c r="S1504" i="5" s="1"/>
  <c r="R1504" i="5"/>
  <c r="N1505" i="5"/>
  <c r="P1505" i="5" s="1"/>
  <c r="O1505" i="5"/>
  <c r="Q1505" i="5"/>
  <c r="S1505" i="5" s="1"/>
  <c r="R1505" i="5"/>
  <c r="N1506" i="5"/>
  <c r="P1506" i="5" s="1"/>
  <c r="O1506" i="5"/>
  <c r="Q1506" i="5"/>
  <c r="S1506" i="5" s="1"/>
  <c r="R1506" i="5"/>
  <c r="N1507" i="5"/>
  <c r="P1507" i="5" s="1"/>
  <c r="O1507" i="5"/>
  <c r="Q1507" i="5"/>
  <c r="S1507" i="5" s="1"/>
  <c r="R1507" i="5"/>
  <c r="N1508" i="5"/>
  <c r="P1508" i="5" s="1"/>
  <c r="O1508" i="5"/>
  <c r="Q1508" i="5"/>
  <c r="S1508" i="5" s="1"/>
  <c r="R1508" i="5"/>
  <c r="N1509" i="5"/>
  <c r="O1509" i="5"/>
  <c r="P1509" i="5"/>
  <c r="Q1509" i="5"/>
  <c r="R1509" i="5"/>
  <c r="S1509" i="5"/>
  <c r="N1510" i="5"/>
  <c r="P1510" i="5" s="1"/>
  <c r="O1510" i="5"/>
  <c r="Q1510" i="5"/>
  <c r="S1510" i="5" s="1"/>
  <c r="R1510" i="5"/>
  <c r="N1511" i="5"/>
  <c r="P1511" i="5" s="1"/>
  <c r="O1511" i="5"/>
  <c r="Q1511" i="5"/>
  <c r="R1511" i="5"/>
  <c r="S1511" i="5"/>
  <c r="N1512" i="5"/>
  <c r="O1512" i="5"/>
  <c r="P1512" i="5"/>
  <c r="Q1512" i="5"/>
  <c r="S1512" i="5" s="1"/>
  <c r="R1512" i="5"/>
  <c r="N1513" i="5"/>
  <c r="P1513" i="5" s="1"/>
  <c r="O1513" i="5"/>
  <c r="Q1513" i="5"/>
  <c r="S1513" i="5" s="1"/>
  <c r="R1513" i="5"/>
  <c r="N1514" i="5"/>
  <c r="P1514" i="5" s="1"/>
  <c r="O1514" i="5"/>
  <c r="Q1514" i="5"/>
  <c r="S1514" i="5" s="1"/>
  <c r="R1514" i="5"/>
  <c r="N1515" i="5"/>
  <c r="P1515" i="5" s="1"/>
  <c r="O1515" i="5"/>
  <c r="Q1515" i="5"/>
  <c r="S1515" i="5" s="1"/>
  <c r="R1515" i="5"/>
  <c r="N1516" i="5"/>
  <c r="P1516" i="5" s="1"/>
  <c r="O1516" i="5"/>
  <c r="Q1516" i="5"/>
  <c r="S1516" i="5" s="1"/>
  <c r="R1516" i="5"/>
  <c r="N1517" i="5"/>
  <c r="O1517" i="5"/>
  <c r="P1517" i="5"/>
  <c r="Q1517" i="5"/>
  <c r="R1517" i="5"/>
  <c r="S1517" i="5"/>
  <c r="N1518" i="5"/>
  <c r="P1518" i="5" s="1"/>
  <c r="O1518" i="5"/>
  <c r="Q1518" i="5"/>
  <c r="S1518" i="5" s="1"/>
  <c r="R1518" i="5"/>
  <c r="N1519" i="5"/>
  <c r="P1519" i="5" s="1"/>
  <c r="O1519" i="5"/>
  <c r="Q1519" i="5"/>
  <c r="S1519" i="5" s="1"/>
  <c r="R1519" i="5"/>
  <c r="N1520" i="5"/>
  <c r="P1520" i="5" s="1"/>
  <c r="O1520" i="5"/>
  <c r="Q1520" i="5"/>
  <c r="S1520" i="5" s="1"/>
  <c r="R1520" i="5"/>
  <c r="N1521" i="5"/>
  <c r="P1521" i="5" s="1"/>
  <c r="O1521" i="5"/>
  <c r="Q1521" i="5"/>
  <c r="S1521" i="5" s="1"/>
  <c r="R1521" i="5"/>
  <c r="N1522" i="5"/>
  <c r="O1522" i="5"/>
  <c r="P1522" i="5"/>
  <c r="Q1522" i="5"/>
  <c r="R1522" i="5"/>
  <c r="S1522" i="5"/>
  <c r="N1523" i="5"/>
  <c r="P1523" i="5" s="1"/>
  <c r="O1523" i="5"/>
  <c r="Q1523" i="5"/>
  <c r="S1523" i="5" s="1"/>
  <c r="R1523" i="5"/>
  <c r="N1524" i="5"/>
  <c r="P1524" i="5" s="1"/>
  <c r="O1524" i="5"/>
  <c r="Q1524" i="5"/>
  <c r="S1524" i="5" s="1"/>
  <c r="R1524" i="5"/>
  <c r="N1525" i="5"/>
  <c r="P1525" i="5" s="1"/>
  <c r="O1525" i="5"/>
  <c r="Q1525" i="5"/>
  <c r="S1525" i="5" s="1"/>
  <c r="R1525" i="5"/>
  <c r="N1526" i="5"/>
  <c r="O1526" i="5"/>
  <c r="P1526" i="5"/>
  <c r="Q1526" i="5"/>
  <c r="R1526" i="5"/>
  <c r="S1526" i="5"/>
  <c r="N1527" i="5"/>
  <c r="P1527" i="5" s="1"/>
  <c r="O1527" i="5"/>
  <c r="Q1527" i="5"/>
  <c r="S1527" i="5" s="1"/>
  <c r="R1527" i="5"/>
  <c r="N1528" i="5"/>
  <c r="P1528" i="5" s="1"/>
  <c r="O1528" i="5"/>
  <c r="Q1528" i="5"/>
  <c r="S1528" i="5" s="1"/>
  <c r="R1528" i="5"/>
  <c r="N1529" i="5"/>
  <c r="P1529" i="5" s="1"/>
  <c r="O1529" i="5"/>
  <c r="Q1529" i="5"/>
  <c r="S1529" i="5" s="1"/>
  <c r="R1529" i="5"/>
  <c r="N1530" i="5"/>
  <c r="O1530" i="5"/>
  <c r="P1530" i="5"/>
  <c r="Q1530" i="5"/>
  <c r="R1530" i="5"/>
  <c r="S1530" i="5"/>
  <c r="N1531" i="5"/>
  <c r="P1531" i="5" s="1"/>
  <c r="O1531" i="5"/>
  <c r="Q1531" i="5"/>
  <c r="S1531" i="5" s="1"/>
  <c r="R1531" i="5"/>
  <c r="N1532" i="5"/>
  <c r="P1532" i="5" s="1"/>
  <c r="O1532" i="5"/>
  <c r="Q1532" i="5"/>
  <c r="S1532" i="5" s="1"/>
  <c r="R1532" i="5"/>
  <c r="N1533" i="5"/>
  <c r="P1533" i="5" s="1"/>
  <c r="O1533" i="5"/>
  <c r="Q1533" i="5"/>
  <c r="S1533" i="5" s="1"/>
  <c r="R1533" i="5"/>
  <c r="N1534" i="5"/>
  <c r="O1534" i="5"/>
  <c r="P1534" i="5"/>
  <c r="Q1534" i="5"/>
  <c r="R1534" i="5"/>
  <c r="S1534" i="5"/>
  <c r="N1535" i="5"/>
  <c r="P1535" i="5" s="1"/>
  <c r="O1535" i="5"/>
  <c r="Q1535" i="5"/>
  <c r="S1535" i="5" s="1"/>
  <c r="R1535" i="5"/>
  <c r="N1536" i="5"/>
  <c r="P1536" i="5" s="1"/>
  <c r="O1536" i="5"/>
  <c r="Q1536" i="5"/>
  <c r="S1536" i="5" s="1"/>
  <c r="R1536" i="5"/>
  <c r="N1537" i="5"/>
  <c r="P1537" i="5" s="1"/>
  <c r="O1537" i="5"/>
  <c r="Q1537" i="5"/>
  <c r="S1537" i="5" s="1"/>
  <c r="R1537" i="5"/>
  <c r="N1538" i="5"/>
  <c r="P1538" i="5" s="1"/>
  <c r="O1538" i="5"/>
  <c r="Q1538" i="5"/>
  <c r="R1538" i="5"/>
  <c r="S1538" i="5"/>
  <c r="N1539" i="5"/>
  <c r="P1539" i="5" s="1"/>
  <c r="O1539" i="5"/>
  <c r="Q1539" i="5"/>
  <c r="S1539" i="5" s="1"/>
  <c r="R1539" i="5"/>
  <c r="N1540" i="5"/>
  <c r="O1540" i="5"/>
  <c r="P1540" i="5"/>
  <c r="Q1540" i="5"/>
  <c r="S1540" i="5" s="1"/>
  <c r="R1540" i="5"/>
  <c r="N1541" i="5"/>
  <c r="P1541" i="5" s="1"/>
  <c r="O1541" i="5"/>
  <c r="Q1541" i="5"/>
  <c r="S1541" i="5" s="1"/>
  <c r="R1541" i="5"/>
  <c r="N1542" i="5"/>
  <c r="P1542" i="5" s="1"/>
  <c r="O1542" i="5"/>
  <c r="Q1542" i="5"/>
  <c r="R1542" i="5"/>
  <c r="S1542" i="5"/>
  <c r="N1543" i="5"/>
  <c r="P1543" i="5" s="1"/>
  <c r="O1543" i="5"/>
  <c r="Q1543" i="5"/>
  <c r="S1543" i="5" s="1"/>
  <c r="R1543" i="5"/>
  <c r="N1544" i="5"/>
  <c r="O1544" i="5"/>
  <c r="P1544" i="5"/>
  <c r="Q1544" i="5"/>
  <c r="S1544" i="5" s="1"/>
  <c r="R1544" i="5"/>
  <c r="N1545" i="5"/>
  <c r="P1545" i="5" s="1"/>
  <c r="O1545" i="5"/>
  <c r="Q1545" i="5"/>
  <c r="S1545" i="5" s="1"/>
  <c r="R1545" i="5"/>
  <c r="N1546" i="5"/>
  <c r="O1546" i="5"/>
  <c r="P1546" i="5"/>
  <c r="Q1546" i="5"/>
  <c r="R1546" i="5"/>
  <c r="S1546" i="5"/>
  <c r="N1547" i="5"/>
  <c r="P1547" i="5" s="1"/>
  <c r="O1547" i="5"/>
  <c r="Q1547" i="5"/>
  <c r="S1547" i="5" s="1"/>
  <c r="R1547" i="5"/>
  <c r="N1548" i="5"/>
  <c r="P1548" i="5" s="1"/>
  <c r="O1548" i="5"/>
  <c r="Q1548" i="5"/>
  <c r="S1548" i="5" s="1"/>
  <c r="R1548" i="5"/>
  <c r="N1549" i="5"/>
  <c r="P1549" i="5" s="1"/>
  <c r="O1549" i="5"/>
  <c r="Q1549" i="5"/>
  <c r="S1549" i="5" s="1"/>
  <c r="R1549" i="5"/>
  <c r="N1550" i="5"/>
  <c r="O1550" i="5"/>
  <c r="P1550" i="5"/>
  <c r="Q1550" i="5"/>
  <c r="R1550" i="5"/>
  <c r="S1550" i="5"/>
  <c r="N1551" i="5"/>
  <c r="P1551" i="5" s="1"/>
  <c r="O1551" i="5"/>
  <c r="Q1551" i="5"/>
  <c r="S1551" i="5" s="1"/>
  <c r="R1551" i="5"/>
  <c r="N1552" i="5"/>
  <c r="P1552" i="5" s="1"/>
  <c r="O1552" i="5"/>
  <c r="Q1552" i="5"/>
  <c r="S1552" i="5" s="1"/>
  <c r="R1552" i="5"/>
  <c r="N1553" i="5"/>
  <c r="P1553" i="5" s="1"/>
  <c r="O1553" i="5"/>
  <c r="Q1553" i="5"/>
  <c r="S1553" i="5" s="1"/>
  <c r="R1553" i="5"/>
  <c r="N1554" i="5"/>
  <c r="P1554" i="5" s="1"/>
  <c r="O1554" i="5"/>
  <c r="Q1554" i="5"/>
  <c r="R1554" i="5"/>
  <c r="S1554" i="5"/>
  <c r="N1555" i="5"/>
  <c r="P1555" i="5" s="1"/>
  <c r="O1555" i="5"/>
  <c r="Q1555" i="5"/>
  <c r="S1555" i="5" s="1"/>
  <c r="R1555" i="5"/>
  <c r="N1556" i="5"/>
  <c r="O1556" i="5"/>
  <c r="P1556" i="5"/>
  <c r="Q1556" i="5"/>
  <c r="S1556" i="5" s="1"/>
  <c r="R1556" i="5"/>
  <c r="N1557" i="5"/>
  <c r="P1557" i="5" s="1"/>
  <c r="O1557" i="5"/>
  <c r="Q1557" i="5"/>
  <c r="S1557" i="5" s="1"/>
  <c r="R1557" i="5"/>
  <c r="N1558" i="5"/>
  <c r="P1558" i="5" s="1"/>
  <c r="O1558" i="5"/>
  <c r="Q1558" i="5"/>
  <c r="R1558" i="5"/>
  <c r="S1558" i="5"/>
  <c r="N1559" i="5"/>
  <c r="P1559" i="5" s="1"/>
  <c r="O1559" i="5"/>
  <c r="Q1559" i="5"/>
  <c r="S1559" i="5" s="1"/>
  <c r="R1559" i="5"/>
  <c r="N1560" i="5"/>
  <c r="O1560" i="5"/>
  <c r="P1560" i="5"/>
  <c r="Q1560" i="5"/>
  <c r="S1560" i="5" s="1"/>
  <c r="R1560" i="5"/>
  <c r="N1561" i="5"/>
  <c r="P1561" i="5" s="1"/>
  <c r="O1561" i="5"/>
  <c r="Q1561" i="5"/>
  <c r="S1561" i="5" s="1"/>
  <c r="R1561" i="5"/>
  <c r="N1562" i="5"/>
  <c r="O1562" i="5"/>
  <c r="P1562" i="5"/>
  <c r="Q1562" i="5"/>
  <c r="R1562" i="5"/>
  <c r="S1562" i="5"/>
  <c r="N1563" i="5"/>
  <c r="P1563" i="5" s="1"/>
  <c r="O1563" i="5"/>
  <c r="Q1563" i="5"/>
  <c r="S1563" i="5" s="1"/>
  <c r="R1563" i="5"/>
  <c r="N1564" i="5"/>
  <c r="P1564" i="5" s="1"/>
  <c r="O1564" i="5"/>
  <c r="Q1564" i="5"/>
  <c r="S1564" i="5" s="1"/>
  <c r="R1564" i="5"/>
  <c r="N1565" i="5"/>
  <c r="P1565" i="5" s="1"/>
  <c r="O1565" i="5"/>
  <c r="Q1565" i="5"/>
  <c r="S1565" i="5" s="1"/>
  <c r="R1565" i="5"/>
  <c r="N1566" i="5"/>
  <c r="O1566" i="5"/>
  <c r="P1566" i="5"/>
  <c r="Q1566" i="5"/>
  <c r="R1566" i="5"/>
  <c r="S1566" i="5"/>
  <c r="N1567" i="5"/>
  <c r="P1567" i="5" s="1"/>
  <c r="O1567" i="5"/>
  <c r="Q1567" i="5"/>
  <c r="S1567" i="5" s="1"/>
  <c r="R1567" i="5"/>
  <c r="N1568" i="5"/>
  <c r="P1568" i="5" s="1"/>
  <c r="O1568" i="5"/>
  <c r="Q1568" i="5"/>
  <c r="S1568" i="5" s="1"/>
  <c r="R1568" i="5"/>
  <c r="N1569" i="5"/>
  <c r="P1569" i="5" s="1"/>
  <c r="O1569" i="5"/>
  <c r="Q1569" i="5"/>
  <c r="S1569" i="5" s="1"/>
  <c r="R1569" i="5"/>
  <c r="N1570" i="5"/>
  <c r="P1570" i="5" s="1"/>
  <c r="O1570" i="5"/>
  <c r="Q1570" i="5"/>
  <c r="R1570" i="5"/>
  <c r="S1570" i="5"/>
  <c r="N1571" i="5"/>
  <c r="P1571" i="5" s="1"/>
  <c r="O1571" i="5"/>
  <c r="Q1571" i="5"/>
  <c r="S1571" i="5" s="1"/>
  <c r="R1571" i="5"/>
  <c r="N1572" i="5"/>
  <c r="O1572" i="5"/>
  <c r="P1572" i="5"/>
  <c r="Q1572" i="5"/>
  <c r="S1572" i="5" s="1"/>
  <c r="R1572" i="5"/>
  <c r="N1573" i="5"/>
  <c r="P1573" i="5" s="1"/>
  <c r="O1573" i="5"/>
  <c r="Q1573" i="5"/>
  <c r="S1573" i="5" s="1"/>
  <c r="R1573" i="5"/>
  <c r="N1574" i="5"/>
  <c r="P1574" i="5" s="1"/>
  <c r="O1574" i="5"/>
  <c r="Q1574" i="5"/>
  <c r="R1574" i="5"/>
  <c r="S1574" i="5"/>
  <c r="N1575" i="5"/>
  <c r="P1575" i="5" s="1"/>
  <c r="O1575" i="5"/>
  <c r="Q1575" i="5"/>
  <c r="S1575" i="5" s="1"/>
  <c r="R1575" i="5"/>
  <c r="N1576" i="5"/>
  <c r="O1576" i="5"/>
  <c r="P1576" i="5"/>
  <c r="Q1576" i="5"/>
  <c r="S1576" i="5" s="1"/>
  <c r="R1576" i="5"/>
  <c r="N1577" i="5"/>
  <c r="P1577" i="5" s="1"/>
  <c r="O1577" i="5"/>
  <c r="Q1577" i="5"/>
  <c r="S1577" i="5" s="1"/>
  <c r="R1577" i="5"/>
  <c r="N1578" i="5"/>
  <c r="O1578" i="5"/>
  <c r="P1578" i="5"/>
  <c r="Q1578" i="5"/>
  <c r="R1578" i="5"/>
  <c r="S1578" i="5"/>
  <c r="N1579" i="5"/>
  <c r="P1579" i="5" s="1"/>
  <c r="O1579" i="5"/>
  <c r="Q1579" i="5"/>
  <c r="S1579" i="5" s="1"/>
  <c r="R1579" i="5"/>
  <c r="N1580" i="5"/>
  <c r="P1580" i="5" s="1"/>
  <c r="O1580" i="5"/>
  <c r="Q1580" i="5"/>
  <c r="S1580" i="5" s="1"/>
  <c r="R1580" i="5"/>
  <c r="N1581" i="5"/>
  <c r="P1581" i="5" s="1"/>
  <c r="O1581" i="5"/>
  <c r="Q1581" i="5"/>
  <c r="S1581" i="5" s="1"/>
  <c r="R1581" i="5"/>
  <c r="N1582" i="5"/>
  <c r="O1582" i="5"/>
  <c r="P1582" i="5"/>
  <c r="Q1582" i="5"/>
  <c r="R1582" i="5"/>
  <c r="S1582" i="5"/>
  <c r="N1583" i="5"/>
  <c r="P1583" i="5" s="1"/>
  <c r="O1583" i="5"/>
  <c r="Q1583" i="5"/>
  <c r="S1583" i="5" s="1"/>
  <c r="R1583" i="5"/>
  <c r="N1584" i="5"/>
  <c r="P1584" i="5" s="1"/>
  <c r="O1584" i="5"/>
  <c r="Q1584" i="5"/>
  <c r="S1584" i="5" s="1"/>
  <c r="R1584" i="5"/>
  <c r="N1585" i="5"/>
  <c r="P1585" i="5" s="1"/>
  <c r="O1585" i="5"/>
  <c r="Q1585" i="5"/>
  <c r="S1585" i="5" s="1"/>
  <c r="R1585" i="5"/>
  <c r="N1586" i="5"/>
  <c r="P1586" i="5" s="1"/>
  <c r="O1586" i="5"/>
  <c r="Q1586" i="5"/>
  <c r="R1586" i="5"/>
  <c r="S1586" i="5"/>
  <c r="N1587" i="5"/>
  <c r="P1587" i="5" s="1"/>
  <c r="O1587" i="5"/>
  <c r="Q1587" i="5"/>
  <c r="S1587" i="5" s="1"/>
  <c r="R1587" i="5"/>
  <c r="N1588" i="5"/>
  <c r="O1588" i="5"/>
  <c r="P1588" i="5"/>
  <c r="Q1588" i="5"/>
  <c r="S1588" i="5" s="1"/>
  <c r="R1588" i="5"/>
  <c r="N1589" i="5"/>
  <c r="P1589" i="5" s="1"/>
  <c r="O1589" i="5"/>
  <c r="Q1589" i="5"/>
  <c r="S1589" i="5" s="1"/>
  <c r="R1589" i="5"/>
  <c r="N1590" i="5"/>
  <c r="P1590" i="5" s="1"/>
  <c r="O1590" i="5"/>
  <c r="Q1590" i="5"/>
  <c r="R1590" i="5"/>
  <c r="S1590" i="5"/>
  <c r="N1591" i="5"/>
  <c r="P1591" i="5" s="1"/>
  <c r="O1591" i="5"/>
  <c r="Q1591" i="5"/>
  <c r="S1591" i="5" s="1"/>
  <c r="R1591" i="5"/>
  <c r="N1592" i="5"/>
  <c r="O1592" i="5"/>
  <c r="P1592" i="5"/>
  <c r="Q1592" i="5"/>
  <c r="S1592" i="5" s="1"/>
  <c r="R1592" i="5"/>
  <c r="N1593" i="5"/>
  <c r="P1593" i="5" s="1"/>
  <c r="O1593" i="5"/>
  <c r="Q1593" i="5"/>
  <c r="S1593" i="5" s="1"/>
  <c r="R1593" i="5"/>
  <c r="N1594" i="5"/>
  <c r="O1594" i="5"/>
  <c r="P1594" i="5"/>
  <c r="Q1594" i="5"/>
  <c r="R1594" i="5"/>
  <c r="S1594" i="5"/>
  <c r="N1595" i="5"/>
  <c r="P1595" i="5" s="1"/>
  <c r="O1595" i="5"/>
  <c r="Q1595" i="5"/>
  <c r="S1595" i="5" s="1"/>
  <c r="R1595" i="5"/>
  <c r="N1596" i="5"/>
  <c r="P1596" i="5" s="1"/>
  <c r="O1596" i="5"/>
  <c r="Q1596" i="5"/>
  <c r="S1596" i="5" s="1"/>
  <c r="R1596" i="5"/>
  <c r="N1597" i="5"/>
  <c r="P1597" i="5" s="1"/>
  <c r="O1597" i="5"/>
  <c r="Q1597" i="5"/>
  <c r="S1597" i="5" s="1"/>
  <c r="R1597" i="5"/>
  <c r="N1598" i="5"/>
  <c r="O1598" i="5"/>
  <c r="P1598" i="5"/>
  <c r="Q1598" i="5"/>
  <c r="R1598" i="5"/>
  <c r="S1598" i="5"/>
  <c r="N1599" i="5"/>
  <c r="P1599" i="5" s="1"/>
  <c r="O1599" i="5"/>
  <c r="Q1599" i="5"/>
  <c r="S1599" i="5" s="1"/>
  <c r="R1599" i="5"/>
  <c r="N1600" i="5"/>
  <c r="P1600" i="5" s="1"/>
  <c r="O1600" i="5"/>
  <c r="Q1600" i="5"/>
  <c r="S1600" i="5" s="1"/>
  <c r="R1600" i="5"/>
  <c r="N1601" i="5"/>
  <c r="P1601" i="5" s="1"/>
  <c r="O1601" i="5"/>
  <c r="Q1601" i="5"/>
  <c r="S1601" i="5" s="1"/>
  <c r="R1601" i="5"/>
  <c r="N1602" i="5"/>
  <c r="P1602" i="5" s="1"/>
  <c r="O1602" i="5"/>
  <c r="Q1602" i="5"/>
  <c r="R1602" i="5"/>
  <c r="S1602" i="5"/>
  <c r="N1603" i="5"/>
  <c r="P1603" i="5" s="1"/>
  <c r="O1603" i="5"/>
  <c r="Q1603" i="5"/>
  <c r="S1603" i="5" s="1"/>
  <c r="R1603" i="5"/>
  <c r="N1604" i="5"/>
  <c r="O1604" i="5"/>
  <c r="P1604" i="5"/>
  <c r="Q1604" i="5"/>
  <c r="S1604" i="5" s="1"/>
  <c r="R1604" i="5"/>
  <c r="N1605" i="5"/>
  <c r="P1605" i="5" s="1"/>
  <c r="O1605" i="5"/>
  <c r="Q1605" i="5"/>
  <c r="S1605" i="5" s="1"/>
  <c r="R1605" i="5"/>
  <c r="N1606" i="5"/>
  <c r="P1606" i="5" s="1"/>
  <c r="O1606" i="5"/>
  <c r="Q1606" i="5"/>
  <c r="R1606" i="5"/>
  <c r="S1606" i="5"/>
  <c r="N1607" i="5"/>
  <c r="P1607" i="5" s="1"/>
  <c r="O1607" i="5"/>
  <c r="Q1607" i="5"/>
  <c r="S1607" i="5" s="1"/>
  <c r="R1607" i="5"/>
  <c r="N1608" i="5"/>
  <c r="O1608" i="5"/>
  <c r="P1608" i="5"/>
  <c r="Q1608" i="5"/>
  <c r="S1608" i="5" s="1"/>
  <c r="R1608" i="5"/>
  <c r="N1609" i="5"/>
  <c r="P1609" i="5" s="1"/>
  <c r="O1609" i="5"/>
  <c r="Q1609" i="5"/>
  <c r="S1609" i="5" s="1"/>
  <c r="R1609" i="5"/>
  <c r="N1610" i="5"/>
  <c r="O1610" i="5"/>
  <c r="P1610" i="5"/>
  <c r="Q1610" i="5"/>
  <c r="R1610" i="5"/>
  <c r="S1610" i="5"/>
  <c r="N1611" i="5"/>
  <c r="P1611" i="5" s="1"/>
  <c r="O1611" i="5"/>
  <c r="Q1611" i="5"/>
  <c r="S1611" i="5" s="1"/>
  <c r="R1611" i="5"/>
  <c r="N1612" i="5"/>
  <c r="P1612" i="5" s="1"/>
  <c r="O1612" i="5"/>
  <c r="Q1612" i="5"/>
  <c r="S1612" i="5" s="1"/>
  <c r="R1612" i="5"/>
  <c r="N1613" i="5"/>
  <c r="P1613" i="5" s="1"/>
  <c r="O1613" i="5"/>
  <c r="Q1613" i="5"/>
  <c r="S1613" i="5" s="1"/>
  <c r="R1613" i="5"/>
  <c r="N1614" i="5"/>
  <c r="O1614" i="5"/>
  <c r="P1614" i="5"/>
  <c r="Q1614" i="5"/>
  <c r="R1614" i="5"/>
  <c r="S1614" i="5"/>
  <c r="N1615" i="5"/>
  <c r="P1615" i="5" s="1"/>
  <c r="O1615" i="5"/>
  <c r="Q1615" i="5"/>
  <c r="S1615" i="5" s="1"/>
  <c r="R1615" i="5"/>
  <c r="N1616" i="5"/>
  <c r="P1616" i="5" s="1"/>
  <c r="O1616" i="5"/>
  <c r="Q1616" i="5"/>
  <c r="S1616" i="5" s="1"/>
  <c r="R1616" i="5"/>
  <c r="N1617" i="5"/>
  <c r="P1617" i="5" s="1"/>
  <c r="O1617" i="5"/>
  <c r="Q1617" i="5"/>
  <c r="S1617" i="5" s="1"/>
  <c r="R1617" i="5"/>
  <c r="N1618" i="5"/>
  <c r="P1618" i="5" s="1"/>
  <c r="O1618" i="5"/>
  <c r="Q1618" i="5"/>
  <c r="R1618" i="5"/>
  <c r="S1618" i="5"/>
  <c r="N1619" i="5"/>
  <c r="P1619" i="5" s="1"/>
  <c r="O1619" i="5"/>
  <c r="Q1619" i="5"/>
  <c r="S1619" i="5" s="1"/>
  <c r="R1619" i="5"/>
  <c r="N1620" i="5"/>
  <c r="O1620" i="5"/>
  <c r="P1620" i="5"/>
  <c r="Q1620" i="5"/>
  <c r="S1620" i="5" s="1"/>
  <c r="R1620" i="5"/>
  <c r="N1621" i="5"/>
  <c r="P1621" i="5" s="1"/>
  <c r="O1621" i="5"/>
  <c r="Q1621" i="5"/>
  <c r="S1621" i="5" s="1"/>
  <c r="R1621" i="5"/>
  <c r="N1622" i="5"/>
  <c r="P1622" i="5" s="1"/>
  <c r="O1622" i="5"/>
  <c r="Q1622" i="5"/>
  <c r="R1622" i="5"/>
  <c r="S1622" i="5"/>
  <c r="N1623" i="5"/>
  <c r="P1623" i="5" s="1"/>
  <c r="O1623" i="5"/>
  <c r="Q1623" i="5"/>
  <c r="S1623" i="5" s="1"/>
  <c r="R1623" i="5"/>
  <c r="N1624" i="5"/>
  <c r="O1624" i="5"/>
  <c r="P1624" i="5"/>
  <c r="Q1624" i="5"/>
  <c r="S1624" i="5" s="1"/>
  <c r="R1624" i="5"/>
  <c r="N1625" i="5"/>
  <c r="P1625" i="5" s="1"/>
  <c r="O1625" i="5"/>
  <c r="Q1625" i="5"/>
  <c r="S1625" i="5" s="1"/>
  <c r="R1625" i="5"/>
  <c r="N1626" i="5"/>
  <c r="O1626" i="5"/>
  <c r="P1626" i="5"/>
  <c r="Q1626" i="5"/>
  <c r="R1626" i="5"/>
  <c r="S1626" i="5"/>
  <c r="N1627" i="5"/>
  <c r="P1627" i="5" s="1"/>
  <c r="O1627" i="5"/>
  <c r="Q1627" i="5"/>
  <c r="S1627" i="5" s="1"/>
  <c r="R1627" i="5"/>
  <c r="N1628" i="5"/>
  <c r="P1628" i="5" s="1"/>
  <c r="O1628" i="5"/>
  <c r="Q1628" i="5"/>
  <c r="S1628" i="5" s="1"/>
  <c r="R1628" i="5"/>
  <c r="N1629" i="5"/>
  <c r="P1629" i="5" s="1"/>
  <c r="O1629" i="5"/>
  <c r="Q1629" i="5"/>
  <c r="S1629" i="5" s="1"/>
  <c r="R1629" i="5"/>
  <c r="N1630" i="5"/>
  <c r="O1630" i="5"/>
  <c r="P1630" i="5"/>
  <c r="Q1630" i="5"/>
  <c r="R1630" i="5"/>
  <c r="S1630" i="5"/>
  <c r="N1631" i="5"/>
  <c r="P1631" i="5" s="1"/>
  <c r="O1631" i="5"/>
  <c r="Q1631" i="5"/>
  <c r="S1631" i="5" s="1"/>
  <c r="R1631" i="5"/>
  <c r="N1632" i="5"/>
  <c r="P1632" i="5" s="1"/>
  <c r="O1632" i="5"/>
  <c r="Q1632" i="5"/>
  <c r="S1632" i="5" s="1"/>
  <c r="R1632" i="5"/>
  <c r="N1633" i="5"/>
  <c r="P1633" i="5" s="1"/>
  <c r="O1633" i="5"/>
  <c r="Q1633" i="5"/>
  <c r="S1633" i="5" s="1"/>
  <c r="R1633" i="5"/>
  <c r="N1634" i="5"/>
  <c r="P1634" i="5" s="1"/>
  <c r="O1634" i="5"/>
  <c r="Q1634" i="5"/>
  <c r="R1634" i="5"/>
  <c r="S1634" i="5"/>
  <c r="N1635" i="5"/>
  <c r="P1635" i="5" s="1"/>
  <c r="O1635" i="5"/>
  <c r="Q1635" i="5"/>
  <c r="S1635" i="5" s="1"/>
  <c r="R1635" i="5"/>
  <c r="N1636" i="5"/>
  <c r="O1636" i="5"/>
  <c r="P1636" i="5"/>
  <c r="Q1636" i="5"/>
  <c r="S1636" i="5" s="1"/>
  <c r="R1636" i="5"/>
  <c r="N1637" i="5"/>
  <c r="P1637" i="5" s="1"/>
  <c r="O1637" i="5"/>
  <c r="Q1637" i="5"/>
  <c r="S1637" i="5" s="1"/>
  <c r="R1637" i="5"/>
  <c r="N1638" i="5"/>
  <c r="P1638" i="5" s="1"/>
  <c r="O1638" i="5"/>
  <c r="Q1638" i="5"/>
  <c r="R1638" i="5"/>
  <c r="S1638" i="5"/>
  <c r="N1639" i="5"/>
  <c r="P1639" i="5" s="1"/>
  <c r="O1639" i="5"/>
  <c r="Q1639" i="5"/>
  <c r="S1639" i="5" s="1"/>
  <c r="R1639" i="5"/>
  <c r="N1640" i="5"/>
  <c r="O1640" i="5"/>
  <c r="P1640" i="5"/>
  <c r="Q1640" i="5"/>
  <c r="S1640" i="5" s="1"/>
  <c r="R1640" i="5"/>
  <c r="N1641" i="5"/>
  <c r="P1641" i="5" s="1"/>
  <c r="O1641" i="5"/>
  <c r="Q1641" i="5"/>
  <c r="S1641" i="5" s="1"/>
  <c r="R1641" i="5"/>
  <c r="N1642" i="5"/>
  <c r="O1642" i="5"/>
  <c r="P1642" i="5"/>
  <c r="Q1642" i="5"/>
  <c r="R1642" i="5"/>
  <c r="S1642" i="5"/>
  <c r="N1643" i="5"/>
  <c r="P1643" i="5" s="1"/>
  <c r="O1643" i="5"/>
  <c r="Q1643" i="5"/>
  <c r="S1643" i="5" s="1"/>
  <c r="R1643" i="5"/>
  <c r="N1644" i="5"/>
  <c r="P1644" i="5" s="1"/>
  <c r="O1644" i="5"/>
  <c r="Q1644" i="5"/>
  <c r="S1644" i="5" s="1"/>
  <c r="R1644" i="5"/>
  <c r="N1645" i="5"/>
  <c r="P1645" i="5" s="1"/>
  <c r="O1645" i="5"/>
  <c r="Q1645" i="5"/>
  <c r="S1645" i="5" s="1"/>
  <c r="R1645" i="5"/>
  <c r="N1646" i="5"/>
  <c r="O1646" i="5"/>
  <c r="P1646" i="5"/>
  <c r="Q1646" i="5"/>
  <c r="R1646" i="5"/>
  <c r="S1646" i="5"/>
  <c r="N1647" i="5"/>
  <c r="P1647" i="5" s="1"/>
  <c r="O1647" i="5"/>
  <c r="Q1647" i="5"/>
  <c r="S1647" i="5" s="1"/>
  <c r="R1647" i="5"/>
  <c r="N1648" i="5"/>
  <c r="P1648" i="5" s="1"/>
  <c r="O1648" i="5"/>
  <c r="Q1648" i="5"/>
  <c r="S1648" i="5" s="1"/>
  <c r="R1648" i="5"/>
  <c r="N1649" i="5"/>
  <c r="P1649" i="5" s="1"/>
  <c r="O1649" i="5"/>
  <c r="Q1649" i="5"/>
  <c r="S1649" i="5" s="1"/>
  <c r="R1649" i="5"/>
  <c r="N1650" i="5"/>
  <c r="P1650" i="5" s="1"/>
  <c r="O1650" i="5"/>
  <c r="Q1650" i="5"/>
  <c r="R1650" i="5"/>
  <c r="S1650" i="5"/>
  <c r="N1651" i="5"/>
  <c r="P1651" i="5" s="1"/>
  <c r="O1651" i="5"/>
  <c r="Q1651" i="5"/>
  <c r="S1651" i="5" s="1"/>
  <c r="R1651" i="5"/>
  <c r="N1652" i="5"/>
  <c r="O1652" i="5"/>
  <c r="P1652" i="5"/>
  <c r="Q1652" i="5"/>
  <c r="S1652" i="5" s="1"/>
  <c r="R1652" i="5"/>
  <c r="N1653" i="5"/>
  <c r="P1653" i="5" s="1"/>
  <c r="O1653" i="5"/>
  <c r="Q1653" i="5"/>
  <c r="S1653" i="5" s="1"/>
  <c r="R1653" i="5"/>
  <c r="N1654" i="5"/>
  <c r="P1654" i="5" s="1"/>
  <c r="O1654" i="5"/>
  <c r="Q1654" i="5"/>
  <c r="R1654" i="5"/>
  <c r="S1654" i="5"/>
  <c r="N1655" i="5"/>
  <c r="P1655" i="5" s="1"/>
  <c r="O1655" i="5"/>
  <c r="Q1655" i="5"/>
  <c r="S1655" i="5" s="1"/>
  <c r="R1655" i="5"/>
  <c r="N1656" i="5"/>
  <c r="O1656" i="5"/>
  <c r="P1656" i="5"/>
  <c r="Q1656" i="5"/>
  <c r="S1656" i="5" s="1"/>
  <c r="R1656" i="5"/>
  <c r="N1657" i="5"/>
  <c r="P1657" i="5" s="1"/>
  <c r="O1657" i="5"/>
  <c r="Q1657" i="5"/>
  <c r="S1657" i="5" s="1"/>
  <c r="R1657" i="5"/>
  <c r="N1658" i="5"/>
  <c r="O1658" i="5"/>
  <c r="P1658" i="5"/>
  <c r="Q1658" i="5"/>
  <c r="R1658" i="5"/>
  <c r="S1658" i="5"/>
  <c r="N1659" i="5"/>
  <c r="P1659" i="5" s="1"/>
  <c r="O1659" i="5"/>
  <c r="Q1659" i="5"/>
  <c r="S1659" i="5" s="1"/>
  <c r="R1659" i="5"/>
  <c r="N1660" i="5"/>
  <c r="P1660" i="5" s="1"/>
  <c r="O1660" i="5"/>
  <c r="Q1660" i="5"/>
  <c r="S1660" i="5" s="1"/>
  <c r="R1660" i="5"/>
  <c r="N1661" i="5"/>
  <c r="P1661" i="5" s="1"/>
  <c r="O1661" i="5"/>
  <c r="Q1661" i="5"/>
  <c r="S1661" i="5" s="1"/>
  <c r="R1661" i="5"/>
  <c r="N1662" i="5"/>
  <c r="O1662" i="5"/>
  <c r="P1662" i="5"/>
  <c r="Q1662" i="5"/>
  <c r="R1662" i="5"/>
  <c r="S1662" i="5"/>
  <c r="N1663" i="5"/>
  <c r="P1663" i="5" s="1"/>
  <c r="O1663" i="5"/>
  <c r="Q1663" i="5"/>
  <c r="S1663" i="5" s="1"/>
  <c r="R1663" i="5"/>
  <c r="N1664" i="5"/>
  <c r="P1664" i="5" s="1"/>
  <c r="O1664" i="5"/>
  <c r="Q1664" i="5"/>
  <c r="S1664" i="5" s="1"/>
  <c r="R1664" i="5"/>
  <c r="N1665" i="5"/>
  <c r="P1665" i="5" s="1"/>
  <c r="O1665" i="5"/>
  <c r="Q1665" i="5"/>
  <c r="S1665" i="5" s="1"/>
  <c r="R1665" i="5"/>
  <c r="N1666" i="5"/>
  <c r="P1666" i="5" s="1"/>
  <c r="O1666" i="5"/>
  <c r="Q1666" i="5"/>
  <c r="R1666" i="5"/>
  <c r="S1666" i="5"/>
  <c r="N1667" i="5"/>
  <c r="P1667" i="5" s="1"/>
  <c r="O1667" i="5"/>
  <c r="Q1667" i="5"/>
  <c r="S1667" i="5" s="1"/>
  <c r="R1667" i="5"/>
  <c r="N1668" i="5"/>
  <c r="O1668" i="5"/>
  <c r="P1668" i="5"/>
  <c r="Q1668" i="5"/>
  <c r="S1668" i="5" s="1"/>
  <c r="R1668" i="5"/>
  <c r="N1669" i="5"/>
  <c r="P1669" i="5" s="1"/>
  <c r="O1669" i="5"/>
  <c r="Q1669" i="5"/>
  <c r="S1669" i="5" s="1"/>
  <c r="R1669" i="5"/>
  <c r="N1670" i="5"/>
  <c r="P1670" i="5" s="1"/>
  <c r="O1670" i="5"/>
  <c r="Q1670" i="5"/>
  <c r="R1670" i="5"/>
  <c r="S1670" i="5"/>
  <c r="N1671" i="5"/>
  <c r="P1671" i="5" s="1"/>
  <c r="O1671" i="5"/>
  <c r="Q1671" i="5"/>
  <c r="S1671" i="5" s="1"/>
  <c r="R1671" i="5"/>
  <c r="N1672" i="5"/>
  <c r="O1672" i="5"/>
  <c r="P1672" i="5"/>
  <c r="Q1672" i="5"/>
  <c r="S1672" i="5" s="1"/>
  <c r="R1672" i="5"/>
  <c r="N1673" i="5"/>
  <c r="P1673" i="5" s="1"/>
  <c r="O1673" i="5"/>
  <c r="Q1673" i="5"/>
  <c r="S1673" i="5" s="1"/>
  <c r="R1673" i="5"/>
  <c r="N1674" i="5"/>
  <c r="O1674" i="5"/>
  <c r="P1674" i="5"/>
  <c r="Q1674" i="5"/>
  <c r="R1674" i="5"/>
  <c r="S1674" i="5"/>
  <c r="N1675" i="5"/>
  <c r="P1675" i="5" s="1"/>
  <c r="O1675" i="5"/>
  <c r="Q1675" i="5"/>
  <c r="S1675" i="5" s="1"/>
  <c r="R1675" i="5"/>
  <c r="N1676" i="5"/>
  <c r="P1676" i="5" s="1"/>
  <c r="O1676" i="5"/>
  <c r="Q1676" i="5"/>
  <c r="S1676" i="5" s="1"/>
  <c r="R1676" i="5"/>
  <c r="N1677" i="5"/>
  <c r="P1677" i="5" s="1"/>
  <c r="O1677" i="5"/>
  <c r="Q1677" i="5"/>
  <c r="S1677" i="5" s="1"/>
  <c r="R1677" i="5"/>
  <c r="N1678" i="5"/>
  <c r="O1678" i="5"/>
  <c r="P1678" i="5"/>
  <c r="Q1678" i="5"/>
  <c r="R1678" i="5"/>
  <c r="S1678" i="5"/>
  <c r="N1679" i="5"/>
  <c r="P1679" i="5" s="1"/>
  <c r="O1679" i="5"/>
  <c r="Q1679" i="5"/>
  <c r="S1679" i="5" s="1"/>
  <c r="R1679" i="5"/>
  <c r="N1680" i="5"/>
  <c r="P1680" i="5" s="1"/>
  <c r="O1680" i="5"/>
  <c r="Q1680" i="5"/>
  <c r="S1680" i="5" s="1"/>
  <c r="R1680" i="5"/>
  <c r="N1681" i="5"/>
  <c r="P1681" i="5" s="1"/>
  <c r="O1681" i="5"/>
  <c r="Q1681" i="5"/>
  <c r="S1681" i="5" s="1"/>
  <c r="R1681" i="5"/>
  <c r="N1682" i="5"/>
  <c r="P1682" i="5" s="1"/>
  <c r="O1682" i="5"/>
  <c r="Q1682" i="5"/>
  <c r="R1682" i="5"/>
  <c r="S1682" i="5"/>
  <c r="N1683" i="5"/>
  <c r="P1683" i="5" s="1"/>
  <c r="O1683" i="5"/>
  <c r="Q1683" i="5"/>
  <c r="S1683" i="5" s="1"/>
  <c r="R1683" i="5"/>
  <c r="N1684" i="5"/>
  <c r="O1684" i="5"/>
  <c r="P1684" i="5"/>
  <c r="Q1684" i="5"/>
  <c r="S1684" i="5" s="1"/>
  <c r="R1684" i="5"/>
  <c r="N1685" i="5"/>
  <c r="P1685" i="5" s="1"/>
  <c r="O1685" i="5"/>
  <c r="Q1685" i="5"/>
  <c r="S1685" i="5" s="1"/>
  <c r="R1685" i="5"/>
  <c r="N1686" i="5"/>
  <c r="P1686" i="5" s="1"/>
  <c r="O1686" i="5"/>
  <c r="Q1686" i="5"/>
  <c r="R1686" i="5"/>
  <c r="S1686" i="5"/>
  <c r="N1687" i="5"/>
  <c r="P1687" i="5" s="1"/>
  <c r="O1687" i="5"/>
  <c r="Q1687" i="5"/>
  <c r="S1687" i="5" s="1"/>
  <c r="R1687" i="5"/>
  <c r="N1688" i="5"/>
  <c r="O1688" i="5"/>
  <c r="P1688" i="5"/>
  <c r="Q1688" i="5"/>
  <c r="S1688" i="5" s="1"/>
  <c r="R1688" i="5"/>
  <c r="N1689" i="5"/>
  <c r="P1689" i="5" s="1"/>
  <c r="O1689" i="5"/>
  <c r="Q1689" i="5"/>
  <c r="S1689" i="5" s="1"/>
  <c r="R1689" i="5"/>
  <c r="N1690" i="5"/>
  <c r="O1690" i="5"/>
  <c r="P1690" i="5"/>
  <c r="Q1690" i="5"/>
  <c r="R1690" i="5"/>
  <c r="S1690" i="5"/>
  <c r="N1691" i="5"/>
  <c r="P1691" i="5" s="1"/>
  <c r="O1691" i="5"/>
  <c r="Q1691" i="5"/>
  <c r="S1691" i="5" s="1"/>
  <c r="R1691" i="5"/>
  <c r="N1692" i="5"/>
  <c r="P1692" i="5" s="1"/>
  <c r="O1692" i="5"/>
  <c r="Q1692" i="5"/>
  <c r="S1692" i="5" s="1"/>
  <c r="R1692" i="5"/>
  <c r="N1693" i="5"/>
  <c r="P1693" i="5" s="1"/>
  <c r="O1693" i="5"/>
  <c r="Q1693" i="5"/>
  <c r="S1693" i="5" s="1"/>
  <c r="R1693" i="5"/>
  <c r="N1694" i="5"/>
  <c r="O1694" i="5"/>
  <c r="P1694" i="5"/>
  <c r="Q1694" i="5"/>
  <c r="R1694" i="5"/>
  <c r="S1694" i="5"/>
  <c r="N1695" i="5"/>
  <c r="P1695" i="5" s="1"/>
  <c r="O1695" i="5"/>
  <c r="Q1695" i="5"/>
  <c r="S1695" i="5" s="1"/>
  <c r="R1695" i="5"/>
  <c r="N1696" i="5"/>
  <c r="P1696" i="5" s="1"/>
  <c r="O1696" i="5"/>
  <c r="Q1696" i="5"/>
  <c r="S1696" i="5" s="1"/>
  <c r="R1696" i="5"/>
  <c r="N1697" i="5"/>
  <c r="P1697" i="5" s="1"/>
  <c r="O1697" i="5"/>
  <c r="Q1697" i="5"/>
  <c r="S1697" i="5" s="1"/>
  <c r="R1697" i="5"/>
  <c r="N1698" i="5"/>
  <c r="P1698" i="5" s="1"/>
  <c r="O1698" i="5"/>
  <c r="Q1698" i="5"/>
  <c r="R1698" i="5"/>
  <c r="S1698" i="5"/>
  <c r="N1699" i="5"/>
  <c r="P1699" i="5" s="1"/>
  <c r="O1699" i="5"/>
  <c r="Q1699" i="5"/>
  <c r="S1699" i="5" s="1"/>
  <c r="R1699" i="5"/>
  <c r="N1700" i="5"/>
  <c r="O1700" i="5"/>
  <c r="P1700" i="5"/>
  <c r="Q1700" i="5"/>
  <c r="S1700" i="5" s="1"/>
  <c r="R1700" i="5"/>
  <c r="N1701" i="5"/>
  <c r="P1701" i="5" s="1"/>
  <c r="O1701" i="5"/>
  <c r="Q1701" i="5"/>
  <c r="S1701" i="5" s="1"/>
  <c r="R1701" i="5"/>
  <c r="N1702" i="5"/>
  <c r="P1702" i="5" s="1"/>
  <c r="O1702" i="5"/>
  <c r="Q1702" i="5"/>
  <c r="R1702" i="5"/>
  <c r="S1702" i="5"/>
  <c r="N1703" i="5"/>
  <c r="P1703" i="5" s="1"/>
  <c r="O1703" i="5"/>
  <c r="Q1703" i="5"/>
  <c r="S1703" i="5" s="1"/>
  <c r="R1703" i="5"/>
  <c r="N1704" i="5"/>
  <c r="O1704" i="5"/>
  <c r="P1704" i="5"/>
  <c r="Q1704" i="5"/>
  <c r="S1704" i="5" s="1"/>
  <c r="R1704" i="5"/>
  <c r="N1705" i="5"/>
  <c r="P1705" i="5" s="1"/>
  <c r="O1705" i="5"/>
  <c r="Q1705" i="5"/>
  <c r="S1705" i="5" s="1"/>
  <c r="R1705" i="5"/>
  <c r="N1706" i="5"/>
  <c r="P1706" i="5" s="1"/>
  <c r="O1706" i="5"/>
  <c r="Q1706" i="5"/>
  <c r="R1706" i="5"/>
  <c r="S1706" i="5"/>
  <c r="N1707" i="5"/>
  <c r="P1707" i="5" s="1"/>
  <c r="O1707" i="5"/>
  <c r="Q1707" i="5"/>
  <c r="S1707" i="5" s="1"/>
  <c r="R1707" i="5"/>
  <c r="N1708" i="5"/>
  <c r="O1708" i="5"/>
  <c r="P1708" i="5"/>
  <c r="Q1708" i="5"/>
  <c r="S1708" i="5" s="1"/>
  <c r="R1708" i="5"/>
  <c r="N1709" i="5"/>
  <c r="P1709" i="5" s="1"/>
  <c r="O1709" i="5"/>
  <c r="Q1709" i="5"/>
  <c r="S1709" i="5" s="1"/>
  <c r="R1709" i="5"/>
  <c r="N1710" i="5"/>
  <c r="P1710" i="5" s="1"/>
  <c r="O1710" i="5"/>
  <c r="Q1710" i="5"/>
  <c r="R1710" i="5"/>
  <c r="S1710" i="5"/>
  <c r="N1711" i="5"/>
  <c r="P1711" i="5" s="1"/>
  <c r="O1711" i="5"/>
  <c r="Q1711" i="5"/>
  <c r="S1711" i="5" s="1"/>
  <c r="R1711" i="5"/>
  <c r="N1712" i="5"/>
  <c r="O1712" i="5"/>
  <c r="P1712" i="5"/>
  <c r="Q1712" i="5"/>
  <c r="S1712" i="5" s="1"/>
  <c r="R1712" i="5"/>
  <c r="N1713" i="5"/>
  <c r="P1713" i="5" s="1"/>
  <c r="O1713" i="5"/>
  <c r="Q1713" i="5"/>
  <c r="S1713" i="5" s="1"/>
  <c r="R1713" i="5"/>
  <c r="N1714" i="5"/>
  <c r="P1714" i="5" s="1"/>
  <c r="O1714" i="5"/>
  <c r="Q1714" i="5"/>
  <c r="R1714" i="5"/>
  <c r="S1714" i="5"/>
  <c r="N1715" i="5"/>
  <c r="P1715" i="5" s="1"/>
  <c r="O1715" i="5"/>
  <c r="Q1715" i="5"/>
  <c r="S1715" i="5" s="1"/>
  <c r="R1715" i="5"/>
  <c r="N1716" i="5"/>
  <c r="O1716" i="5"/>
  <c r="P1716" i="5"/>
  <c r="Q1716" i="5"/>
  <c r="S1716" i="5" s="1"/>
  <c r="R1716" i="5"/>
  <c r="N1717" i="5"/>
  <c r="P1717" i="5" s="1"/>
  <c r="O1717" i="5"/>
  <c r="Q1717" i="5"/>
  <c r="S1717" i="5" s="1"/>
  <c r="R1717" i="5"/>
  <c r="N1718" i="5"/>
  <c r="P1718" i="5" s="1"/>
  <c r="O1718" i="5"/>
  <c r="Q1718" i="5"/>
  <c r="R1718" i="5"/>
  <c r="S1718" i="5"/>
  <c r="N1719" i="5"/>
  <c r="P1719" i="5" s="1"/>
  <c r="O1719" i="5"/>
  <c r="Q1719" i="5"/>
  <c r="S1719" i="5" s="1"/>
  <c r="R1719" i="5"/>
  <c r="N1720" i="5"/>
  <c r="O1720" i="5"/>
  <c r="P1720" i="5"/>
  <c r="Q1720" i="5"/>
  <c r="S1720" i="5" s="1"/>
  <c r="R1720" i="5"/>
  <c r="N1721" i="5"/>
  <c r="P1721" i="5" s="1"/>
  <c r="O1721" i="5"/>
  <c r="Q1721" i="5"/>
  <c r="S1721" i="5" s="1"/>
  <c r="R1721" i="5"/>
  <c r="N1722" i="5"/>
  <c r="P1722" i="5" s="1"/>
  <c r="O1722" i="5"/>
  <c r="Q1722" i="5"/>
  <c r="R1722" i="5"/>
  <c r="S1722" i="5"/>
  <c r="N1723" i="5"/>
  <c r="P1723" i="5" s="1"/>
  <c r="O1723" i="5"/>
  <c r="Q1723" i="5"/>
  <c r="S1723" i="5" s="1"/>
  <c r="R1723" i="5"/>
  <c r="N1724" i="5"/>
  <c r="O1724" i="5"/>
  <c r="P1724" i="5"/>
  <c r="Q1724" i="5"/>
  <c r="S1724" i="5" s="1"/>
  <c r="R1724" i="5"/>
  <c r="N1725" i="5"/>
  <c r="P1725" i="5" s="1"/>
  <c r="O1725" i="5"/>
  <c r="Q1725" i="5"/>
  <c r="S1725" i="5" s="1"/>
  <c r="R1725" i="5"/>
  <c r="N1726" i="5"/>
  <c r="P1726" i="5" s="1"/>
  <c r="O1726" i="5"/>
  <c r="Q1726" i="5"/>
  <c r="R1726" i="5"/>
  <c r="S1726" i="5"/>
  <c r="N1727" i="5"/>
  <c r="P1727" i="5" s="1"/>
  <c r="O1727" i="5"/>
  <c r="Q1727" i="5"/>
  <c r="S1727" i="5" s="1"/>
  <c r="R1727" i="5"/>
  <c r="N1728" i="5"/>
  <c r="O1728" i="5"/>
  <c r="P1728" i="5"/>
  <c r="Q1728" i="5"/>
  <c r="S1728" i="5" s="1"/>
  <c r="R1728" i="5"/>
  <c r="N1729" i="5"/>
  <c r="P1729" i="5" s="1"/>
  <c r="O1729" i="5"/>
  <c r="Q1729" i="5"/>
  <c r="S1729" i="5" s="1"/>
  <c r="R1729" i="5"/>
  <c r="N1730" i="5"/>
  <c r="P1730" i="5" s="1"/>
  <c r="O1730" i="5"/>
  <c r="Q1730" i="5"/>
  <c r="R1730" i="5"/>
  <c r="S1730" i="5"/>
  <c r="N1731" i="5"/>
  <c r="P1731" i="5" s="1"/>
  <c r="O1731" i="5"/>
  <c r="Q1731" i="5"/>
  <c r="S1731" i="5" s="1"/>
  <c r="R1731" i="5"/>
  <c r="N1732" i="5"/>
  <c r="O1732" i="5"/>
  <c r="P1732" i="5"/>
  <c r="Q1732" i="5"/>
  <c r="S1732" i="5" s="1"/>
  <c r="R1732" i="5"/>
  <c r="N1733" i="5"/>
  <c r="P1733" i="5" s="1"/>
  <c r="O1733" i="5"/>
  <c r="Q1733" i="5"/>
  <c r="S1733" i="5" s="1"/>
  <c r="R1733" i="5"/>
  <c r="N1734" i="5"/>
  <c r="P1734" i="5" s="1"/>
  <c r="O1734" i="5"/>
  <c r="Q1734" i="5"/>
  <c r="R1734" i="5"/>
  <c r="S1734" i="5"/>
  <c r="N1735" i="5"/>
  <c r="P1735" i="5" s="1"/>
  <c r="O1735" i="5"/>
  <c r="Q1735" i="5"/>
  <c r="S1735" i="5" s="1"/>
  <c r="R1735" i="5"/>
  <c r="N1736" i="5"/>
  <c r="O1736" i="5"/>
  <c r="P1736" i="5"/>
  <c r="Q1736" i="5"/>
  <c r="S1736" i="5" s="1"/>
  <c r="R1736" i="5"/>
  <c r="N1737" i="5"/>
  <c r="P1737" i="5" s="1"/>
  <c r="O1737" i="5"/>
  <c r="Q1737" i="5"/>
  <c r="S1737" i="5" s="1"/>
  <c r="R1737" i="5"/>
  <c r="N1738" i="5"/>
  <c r="P1738" i="5" s="1"/>
  <c r="O1738" i="5"/>
  <c r="Q1738" i="5"/>
  <c r="R1738" i="5"/>
  <c r="S1738" i="5"/>
  <c r="N1739" i="5"/>
  <c r="P1739" i="5" s="1"/>
  <c r="O1739" i="5"/>
  <c r="Q1739" i="5"/>
  <c r="S1739" i="5" s="1"/>
  <c r="R1739" i="5"/>
  <c r="N1740" i="5"/>
  <c r="O1740" i="5"/>
  <c r="P1740" i="5"/>
  <c r="Q1740" i="5"/>
  <c r="S1740" i="5" s="1"/>
  <c r="R1740" i="5"/>
  <c r="N1741" i="5"/>
  <c r="P1741" i="5" s="1"/>
  <c r="O1741" i="5"/>
  <c r="Q1741" i="5"/>
  <c r="S1741" i="5" s="1"/>
  <c r="R1741" i="5"/>
  <c r="N1742" i="5"/>
  <c r="P1742" i="5" s="1"/>
  <c r="O1742" i="5"/>
  <c r="Q1742" i="5"/>
  <c r="R1742" i="5"/>
  <c r="S1742" i="5"/>
  <c r="N1743" i="5"/>
  <c r="P1743" i="5" s="1"/>
  <c r="O1743" i="5"/>
  <c r="Q1743" i="5"/>
  <c r="S1743" i="5" s="1"/>
  <c r="R1743" i="5"/>
  <c r="N1744" i="5"/>
  <c r="O1744" i="5"/>
  <c r="P1744" i="5"/>
  <c r="Q1744" i="5"/>
  <c r="S1744" i="5" s="1"/>
  <c r="R1744" i="5"/>
  <c r="N1745" i="5"/>
  <c r="P1745" i="5" s="1"/>
  <c r="O1745" i="5"/>
  <c r="Q1745" i="5"/>
  <c r="S1745" i="5" s="1"/>
  <c r="R1745" i="5"/>
  <c r="N1746" i="5"/>
  <c r="P1746" i="5" s="1"/>
  <c r="O1746" i="5"/>
  <c r="Q1746" i="5"/>
  <c r="R1746" i="5"/>
  <c r="S1746" i="5"/>
  <c r="N1747" i="5"/>
  <c r="P1747" i="5" s="1"/>
  <c r="O1747" i="5"/>
  <c r="Q1747" i="5"/>
  <c r="S1747" i="5" s="1"/>
  <c r="R1747" i="5"/>
  <c r="N1748" i="5"/>
  <c r="O1748" i="5"/>
  <c r="P1748" i="5"/>
  <c r="Q1748" i="5"/>
  <c r="S1748" i="5" s="1"/>
  <c r="R1748" i="5"/>
  <c r="N1749" i="5"/>
  <c r="P1749" i="5" s="1"/>
  <c r="O1749" i="5"/>
  <c r="Q1749" i="5"/>
  <c r="S1749" i="5" s="1"/>
  <c r="R1749" i="5"/>
  <c r="N1750" i="5"/>
  <c r="P1750" i="5" s="1"/>
  <c r="O1750" i="5"/>
  <c r="Q1750" i="5"/>
  <c r="R1750" i="5"/>
  <c r="S1750" i="5"/>
  <c r="N1751" i="5"/>
  <c r="P1751" i="5" s="1"/>
  <c r="O1751" i="5"/>
  <c r="Q1751" i="5"/>
  <c r="S1751" i="5" s="1"/>
  <c r="R1751" i="5"/>
  <c r="N1752" i="5"/>
  <c r="O1752" i="5"/>
  <c r="P1752" i="5"/>
  <c r="Q1752" i="5"/>
  <c r="S1752" i="5" s="1"/>
  <c r="R1752" i="5"/>
  <c r="N1753" i="5"/>
  <c r="P1753" i="5" s="1"/>
  <c r="O1753" i="5"/>
  <c r="Q1753" i="5"/>
  <c r="S1753" i="5" s="1"/>
  <c r="R1753" i="5"/>
  <c r="N1754" i="5"/>
  <c r="P1754" i="5" s="1"/>
  <c r="O1754" i="5"/>
  <c r="Q1754" i="5"/>
  <c r="R1754" i="5"/>
  <c r="S1754" i="5"/>
  <c r="N1755" i="5"/>
  <c r="P1755" i="5" s="1"/>
  <c r="O1755" i="5"/>
  <c r="Q1755" i="5"/>
  <c r="S1755" i="5" s="1"/>
  <c r="R1755" i="5"/>
  <c r="N1756" i="5"/>
  <c r="O1756" i="5"/>
  <c r="P1756" i="5"/>
  <c r="Q1756" i="5"/>
  <c r="S1756" i="5" s="1"/>
  <c r="R1756" i="5"/>
  <c r="N1757" i="5"/>
  <c r="P1757" i="5" s="1"/>
  <c r="O1757" i="5"/>
  <c r="Q1757" i="5"/>
  <c r="S1757" i="5" s="1"/>
  <c r="R1757" i="5"/>
  <c r="N1758" i="5"/>
  <c r="P1758" i="5" s="1"/>
  <c r="O1758" i="5"/>
  <c r="Q1758" i="5"/>
  <c r="R1758" i="5"/>
  <c r="S1758" i="5"/>
  <c r="N1759" i="5"/>
  <c r="P1759" i="5" s="1"/>
  <c r="O1759" i="5"/>
  <c r="Q1759" i="5"/>
  <c r="S1759" i="5" s="1"/>
  <c r="R1759" i="5"/>
  <c r="N1760" i="5"/>
  <c r="O1760" i="5"/>
  <c r="P1760" i="5"/>
  <c r="Q1760" i="5"/>
  <c r="S1760" i="5" s="1"/>
  <c r="R1760" i="5"/>
  <c r="N1761" i="5"/>
  <c r="P1761" i="5" s="1"/>
  <c r="O1761" i="5"/>
  <c r="Q1761" i="5"/>
  <c r="S1761" i="5" s="1"/>
  <c r="R1761" i="5"/>
  <c r="N1762" i="5"/>
  <c r="P1762" i="5" s="1"/>
  <c r="O1762" i="5"/>
  <c r="Q1762" i="5"/>
  <c r="R1762" i="5"/>
  <c r="S1762" i="5"/>
  <c r="N1763" i="5"/>
  <c r="P1763" i="5" s="1"/>
  <c r="O1763" i="5"/>
  <c r="Q1763" i="5"/>
  <c r="S1763" i="5" s="1"/>
  <c r="R1763" i="5"/>
  <c r="N1764" i="5"/>
  <c r="O1764" i="5"/>
  <c r="P1764" i="5"/>
  <c r="Q1764" i="5"/>
  <c r="S1764" i="5" s="1"/>
  <c r="R1764" i="5"/>
  <c r="N1765" i="5"/>
  <c r="P1765" i="5" s="1"/>
  <c r="O1765" i="5"/>
  <c r="Q1765" i="5"/>
  <c r="S1765" i="5" s="1"/>
  <c r="R1765" i="5"/>
  <c r="N1766" i="5"/>
  <c r="P1766" i="5" s="1"/>
  <c r="O1766" i="5"/>
  <c r="Q1766" i="5"/>
  <c r="R1766" i="5"/>
  <c r="S1766" i="5"/>
  <c r="N1767" i="5"/>
  <c r="P1767" i="5" s="1"/>
  <c r="O1767" i="5"/>
  <c r="Q1767" i="5"/>
  <c r="S1767" i="5" s="1"/>
  <c r="R1767" i="5"/>
  <c r="N1768" i="5"/>
  <c r="O1768" i="5"/>
  <c r="P1768" i="5"/>
  <c r="Q1768" i="5"/>
  <c r="S1768" i="5" s="1"/>
  <c r="R1768" i="5"/>
  <c r="N1769" i="5"/>
  <c r="P1769" i="5" s="1"/>
  <c r="O1769" i="5"/>
  <c r="Q1769" i="5"/>
  <c r="S1769" i="5" s="1"/>
  <c r="R1769" i="5"/>
  <c r="N1770" i="5"/>
  <c r="P1770" i="5" s="1"/>
  <c r="O1770" i="5"/>
  <c r="Q1770" i="5"/>
  <c r="R1770" i="5"/>
  <c r="S1770" i="5"/>
  <c r="N1771" i="5"/>
  <c r="P1771" i="5" s="1"/>
  <c r="O1771" i="5"/>
  <c r="Q1771" i="5"/>
  <c r="S1771" i="5" s="1"/>
  <c r="R1771" i="5"/>
  <c r="N1772" i="5"/>
  <c r="O1772" i="5"/>
  <c r="P1772" i="5"/>
  <c r="Q1772" i="5"/>
  <c r="S1772" i="5" s="1"/>
  <c r="R1772" i="5"/>
  <c r="N1773" i="5"/>
  <c r="P1773" i="5" s="1"/>
  <c r="O1773" i="5"/>
  <c r="Q1773" i="5"/>
  <c r="S1773" i="5" s="1"/>
  <c r="R1773" i="5"/>
  <c r="N1774" i="5"/>
  <c r="P1774" i="5" s="1"/>
  <c r="O1774" i="5"/>
  <c r="Q1774" i="5"/>
  <c r="R1774" i="5"/>
  <c r="S1774" i="5"/>
  <c r="N1775" i="5"/>
  <c r="P1775" i="5" s="1"/>
  <c r="O1775" i="5"/>
  <c r="Q1775" i="5"/>
  <c r="S1775" i="5" s="1"/>
  <c r="R1775" i="5"/>
  <c r="N1776" i="5"/>
  <c r="O1776" i="5"/>
  <c r="P1776" i="5"/>
  <c r="Q1776" i="5"/>
  <c r="S1776" i="5" s="1"/>
  <c r="R1776" i="5"/>
  <c r="N1777" i="5"/>
  <c r="P1777" i="5" s="1"/>
  <c r="O1777" i="5"/>
  <c r="Q1777" i="5"/>
  <c r="S1777" i="5" s="1"/>
  <c r="R1777" i="5"/>
  <c r="N1778" i="5"/>
  <c r="P1778" i="5" s="1"/>
  <c r="O1778" i="5"/>
  <c r="Q1778" i="5"/>
  <c r="R1778" i="5"/>
  <c r="S1778" i="5"/>
  <c r="N1779" i="5"/>
  <c r="P1779" i="5" s="1"/>
  <c r="O1779" i="5"/>
  <c r="Q1779" i="5"/>
  <c r="S1779" i="5" s="1"/>
  <c r="R1779" i="5"/>
  <c r="N1780" i="5"/>
  <c r="O1780" i="5"/>
  <c r="P1780" i="5"/>
  <c r="Q1780" i="5"/>
  <c r="S1780" i="5" s="1"/>
  <c r="R1780" i="5"/>
  <c r="N1781" i="5"/>
  <c r="P1781" i="5" s="1"/>
  <c r="O1781" i="5"/>
  <c r="Q1781" i="5"/>
  <c r="S1781" i="5" s="1"/>
  <c r="R1781" i="5"/>
  <c r="N1782" i="5"/>
  <c r="P1782" i="5" s="1"/>
  <c r="O1782" i="5"/>
  <c r="Q1782" i="5"/>
  <c r="R1782" i="5"/>
  <c r="S1782" i="5"/>
  <c r="N1783" i="5"/>
  <c r="P1783" i="5" s="1"/>
  <c r="O1783" i="5"/>
  <c r="Q1783" i="5"/>
  <c r="S1783" i="5" s="1"/>
  <c r="R1783" i="5"/>
  <c r="N1784" i="5"/>
  <c r="O1784" i="5"/>
  <c r="P1784" i="5"/>
  <c r="Q1784" i="5"/>
  <c r="S1784" i="5" s="1"/>
  <c r="R1784" i="5"/>
  <c r="N1785" i="5"/>
  <c r="P1785" i="5" s="1"/>
  <c r="O1785" i="5"/>
  <c r="Q1785" i="5"/>
  <c r="S1785" i="5" s="1"/>
  <c r="R1785" i="5"/>
  <c r="N1786" i="5"/>
  <c r="P1786" i="5" s="1"/>
  <c r="O1786" i="5"/>
  <c r="Q1786" i="5"/>
  <c r="R1786" i="5"/>
  <c r="S1786" i="5"/>
  <c r="N1787" i="5"/>
  <c r="P1787" i="5" s="1"/>
  <c r="O1787" i="5"/>
  <c r="Q1787" i="5"/>
  <c r="S1787" i="5" s="1"/>
  <c r="R1787" i="5"/>
  <c r="N1788" i="5"/>
  <c r="O1788" i="5"/>
  <c r="P1788" i="5"/>
  <c r="Q1788" i="5"/>
  <c r="S1788" i="5" s="1"/>
  <c r="R1788" i="5"/>
  <c r="N1789" i="5"/>
  <c r="P1789" i="5" s="1"/>
  <c r="O1789" i="5"/>
  <c r="Q1789" i="5"/>
  <c r="S1789" i="5" s="1"/>
  <c r="R1789" i="5"/>
  <c r="N1790" i="5"/>
  <c r="P1790" i="5" s="1"/>
  <c r="O1790" i="5"/>
  <c r="Q1790" i="5"/>
  <c r="R1790" i="5"/>
  <c r="S1790" i="5"/>
  <c r="N1791" i="5"/>
  <c r="P1791" i="5" s="1"/>
  <c r="O1791" i="5"/>
  <c r="Q1791" i="5"/>
  <c r="S1791" i="5" s="1"/>
  <c r="R1791" i="5"/>
  <c r="N1792" i="5"/>
  <c r="O1792" i="5"/>
  <c r="P1792" i="5"/>
  <c r="Q1792" i="5"/>
  <c r="S1792" i="5" s="1"/>
  <c r="R1792" i="5"/>
  <c r="N1793" i="5"/>
  <c r="P1793" i="5" s="1"/>
  <c r="O1793" i="5"/>
  <c r="Q1793" i="5"/>
  <c r="S1793" i="5" s="1"/>
  <c r="R1793" i="5"/>
  <c r="N1794" i="5"/>
  <c r="P1794" i="5" s="1"/>
  <c r="O1794" i="5"/>
  <c r="Q1794" i="5"/>
  <c r="R1794" i="5"/>
  <c r="S1794" i="5"/>
  <c r="N1795" i="5"/>
  <c r="P1795" i="5" s="1"/>
  <c r="O1795" i="5"/>
  <c r="Q1795" i="5"/>
  <c r="S1795" i="5" s="1"/>
  <c r="R1795" i="5"/>
  <c r="N1796" i="5"/>
  <c r="O1796" i="5"/>
  <c r="P1796" i="5"/>
  <c r="Q1796" i="5"/>
  <c r="S1796" i="5" s="1"/>
  <c r="R1796" i="5"/>
  <c r="N1797" i="5"/>
  <c r="P1797" i="5" s="1"/>
  <c r="O1797" i="5"/>
  <c r="Q1797" i="5"/>
  <c r="S1797" i="5" s="1"/>
  <c r="R1797" i="5"/>
  <c r="N1798" i="5"/>
  <c r="P1798" i="5" s="1"/>
  <c r="O1798" i="5"/>
  <c r="Q1798" i="5"/>
  <c r="R1798" i="5"/>
  <c r="S1798" i="5"/>
  <c r="N1799" i="5"/>
  <c r="P1799" i="5" s="1"/>
  <c r="O1799" i="5"/>
  <c r="Q1799" i="5"/>
  <c r="S1799" i="5" s="1"/>
  <c r="R1799" i="5"/>
  <c r="N1800" i="5"/>
  <c r="O1800" i="5"/>
  <c r="P1800" i="5"/>
  <c r="Q1800" i="5"/>
  <c r="S1800" i="5" s="1"/>
  <c r="R1800" i="5"/>
  <c r="N1801" i="5"/>
  <c r="P1801" i="5" s="1"/>
  <c r="O1801" i="5"/>
  <c r="Q1801" i="5"/>
  <c r="S1801" i="5" s="1"/>
  <c r="R1801" i="5"/>
  <c r="N1802" i="5"/>
  <c r="P1802" i="5" s="1"/>
  <c r="O1802" i="5"/>
  <c r="Q1802" i="5"/>
  <c r="R1802" i="5"/>
  <c r="S1802" i="5"/>
  <c r="N1803" i="5"/>
  <c r="P1803" i="5" s="1"/>
  <c r="O1803" i="5"/>
  <c r="Q1803" i="5"/>
  <c r="S1803" i="5" s="1"/>
  <c r="R1803" i="5"/>
  <c r="N1804" i="5"/>
  <c r="O1804" i="5"/>
  <c r="P1804" i="5"/>
  <c r="Q1804" i="5"/>
  <c r="S1804" i="5" s="1"/>
  <c r="R1804" i="5"/>
  <c r="N1805" i="5"/>
  <c r="P1805" i="5" s="1"/>
  <c r="O1805" i="5"/>
  <c r="Q1805" i="5"/>
  <c r="S1805" i="5" s="1"/>
  <c r="R1805" i="5"/>
  <c r="N1806" i="5"/>
  <c r="P1806" i="5" s="1"/>
  <c r="O1806" i="5"/>
  <c r="Q1806" i="5"/>
  <c r="R1806" i="5"/>
  <c r="S1806" i="5"/>
  <c r="N1807" i="5"/>
  <c r="P1807" i="5" s="1"/>
  <c r="O1807" i="5"/>
  <c r="Q1807" i="5"/>
  <c r="S1807" i="5" s="1"/>
  <c r="R1807" i="5"/>
  <c r="N1808" i="5"/>
  <c r="O1808" i="5"/>
  <c r="P1808" i="5"/>
  <c r="Q1808" i="5"/>
  <c r="S1808" i="5" s="1"/>
  <c r="R1808" i="5"/>
  <c r="N1809" i="5"/>
  <c r="P1809" i="5" s="1"/>
  <c r="O1809" i="5"/>
  <c r="Q1809" i="5"/>
  <c r="S1809" i="5" s="1"/>
  <c r="R1809" i="5"/>
  <c r="N1810" i="5"/>
  <c r="P1810" i="5" s="1"/>
  <c r="O1810" i="5"/>
  <c r="Q1810" i="5"/>
  <c r="R1810" i="5"/>
  <c r="S1810" i="5"/>
  <c r="N1811" i="5"/>
  <c r="P1811" i="5" s="1"/>
  <c r="O1811" i="5"/>
  <c r="Q1811" i="5"/>
  <c r="S1811" i="5" s="1"/>
  <c r="R1811" i="5"/>
  <c r="N1812" i="5"/>
  <c r="O1812" i="5"/>
  <c r="P1812" i="5"/>
  <c r="Q1812" i="5"/>
  <c r="S1812" i="5" s="1"/>
  <c r="R1812" i="5"/>
  <c r="N1813" i="5"/>
  <c r="P1813" i="5" s="1"/>
  <c r="O1813" i="5"/>
  <c r="Q1813" i="5"/>
  <c r="S1813" i="5" s="1"/>
  <c r="R1813" i="5"/>
  <c r="N1814" i="5"/>
  <c r="P1814" i="5" s="1"/>
  <c r="O1814" i="5"/>
  <c r="Q1814" i="5"/>
  <c r="R1814" i="5"/>
  <c r="S1814" i="5"/>
  <c r="N1815" i="5"/>
  <c r="P1815" i="5" s="1"/>
  <c r="O1815" i="5"/>
  <c r="Q1815" i="5"/>
  <c r="S1815" i="5" s="1"/>
  <c r="R1815" i="5"/>
  <c r="N1816" i="5"/>
  <c r="O1816" i="5"/>
  <c r="P1816" i="5"/>
  <c r="Q1816" i="5"/>
  <c r="S1816" i="5" s="1"/>
  <c r="R1816" i="5"/>
  <c r="N1817" i="5"/>
  <c r="P1817" i="5" s="1"/>
  <c r="O1817" i="5"/>
  <c r="Q1817" i="5"/>
  <c r="S1817" i="5" s="1"/>
  <c r="R1817" i="5"/>
  <c r="N1818" i="5"/>
  <c r="P1818" i="5" s="1"/>
  <c r="O1818" i="5"/>
  <c r="Q1818" i="5"/>
  <c r="R1818" i="5"/>
  <c r="S1818" i="5"/>
  <c r="N1819" i="5"/>
  <c r="P1819" i="5" s="1"/>
  <c r="O1819" i="5"/>
  <c r="Q1819" i="5"/>
  <c r="S1819" i="5" s="1"/>
  <c r="R1819" i="5"/>
  <c r="N1820" i="5"/>
  <c r="O1820" i="5"/>
  <c r="P1820" i="5"/>
  <c r="Q1820" i="5"/>
  <c r="S1820" i="5" s="1"/>
  <c r="R1820" i="5"/>
  <c r="N1821" i="5"/>
  <c r="P1821" i="5" s="1"/>
  <c r="O1821" i="5"/>
  <c r="Q1821" i="5"/>
  <c r="S1821" i="5" s="1"/>
  <c r="R1821" i="5"/>
  <c r="N1822" i="5"/>
  <c r="P1822" i="5" s="1"/>
  <c r="O1822" i="5"/>
  <c r="Q1822" i="5"/>
  <c r="R1822" i="5"/>
  <c r="S1822" i="5"/>
  <c r="N1823" i="5"/>
  <c r="P1823" i="5" s="1"/>
  <c r="O1823" i="5"/>
  <c r="Q1823" i="5"/>
  <c r="S1823" i="5" s="1"/>
  <c r="R1823" i="5"/>
  <c r="N1824" i="5"/>
  <c r="O1824" i="5"/>
  <c r="P1824" i="5"/>
  <c r="Q1824" i="5"/>
  <c r="S1824" i="5" s="1"/>
  <c r="R1824" i="5"/>
  <c r="N1825" i="5"/>
  <c r="P1825" i="5" s="1"/>
  <c r="O1825" i="5"/>
  <c r="Q1825" i="5"/>
  <c r="S1825" i="5" s="1"/>
  <c r="R1825" i="5"/>
  <c r="N1826" i="5"/>
  <c r="P1826" i="5" s="1"/>
  <c r="O1826" i="5"/>
  <c r="Q1826" i="5"/>
  <c r="R1826" i="5"/>
  <c r="S1826" i="5"/>
  <c r="N1827" i="5"/>
  <c r="P1827" i="5" s="1"/>
  <c r="O1827" i="5"/>
  <c r="Q1827" i="5"/>
  <c r="S1827" i="5" s="1"/>
  <c r="R1827" i="5"/>
  <c r="N1828" i="5"/>
  <c r="O1828" i="5"/>
  <c r="P1828" i="5"/>
  <c r="Q1828" i="5"/>
  <c r="S1828" i="5" s="1"/>
  <c r="R1828" i="5"/>
  <c r="N1829" i="5"/>
  <c r="P1829" i="5" s="1"/>
  <c r="O1829" i="5"/>
  <c r="Q1829" i="5"/>
  <c r="S1829" i="5" s="1"/>
  <c r="R1829" i="5"/>
  <c r="N1830" i="5"/>
  <c r="P1830" i="5" s="1"/>
  <c r="O1830" i="5"/>
  <c r="Q1830" i="5"/>
  <c r="R1830" i="5"/>
  <c r="S1830" i="5"/>
  <c r="N1831" i="5"/>
  <c r="P1831" i="5" s="1"/>
  <c r="O1831" i="5"/>
  <c r="Q1831" i="5"/>
  <c r="S1831" i="5" s="1"/>
  <c r="R1831" i="5"/>
  <c r="N1832" i="5"/>
  <c r="O1832" i="5"/>
  <c r="P1832" i="5"/>
  <c r="Q1832" i="5"/>
  <c r="S1832" i="5" s="1"/>
  <c r="R1832" i="5"/>
  <c r="N1833" i="5"/>
  <c r="P1833" i="5" s="1"/>
  <c r="O1833" i="5"/>
  <c r="Q1833" i="5"/>
  <c r="S1833" i="5" s="1"/>
  <c r="R1833" i="5"/>
  <c r="N1834" i="5"/>
  <c r="P1834" i="5" s="1"/>
  <c r="O1834" i="5"/>
  <c r="Q1834" i="5"/>
  <c r="R1834" i="5"/>
  <c r="S1834" i="5"/>
  <c r="N1835" i="5"/>
  <c r="P1835" i="5" s="1"/>
  <c r="O1835" i="5"/>
  <c r="Q1835" i="5"/>
  <c r="S1835" i="5" s="1"/>
  <c r="R1835" i="5"/>
  <c r="N1836" i="5"/>
  <c r="O1836" i="5"/>
  <c r="P1836" i="5"/>
  <c r="Q1836" i="5"/>
  <c r="S1836" i="5" s="1"/>
  <c r="R1836" i="5"/>
  <c r="N1837" i="5"/>
  <c r="P1837" i="5" s="1"/>
  <c r="O1837" i="5"/>
  <c r="Q1837" i="5"/>
  <c r="S1837" i="5" s="1"/>
  <c r="R1837" i="5"/>
  <c r="N1838" i="5"/>
  <c r="P1838" i="5" s="1"/>
  <c r="O1838" i="5"/>
  <c r="Q1838" i="5"/>
  <c r="R1838" i="5"/>
  <c r="S1838" i="5"/>
  <c r="N1839" i="5"/>
  <c r="P1839" i="5" s="1"/>
  <c r="O1839" i="5"/>
  <c r="Q1839" i="5"/>
  <c r="S1839" i="5" s="1"/>
  <c r="R1839" i="5"/>
  <c r="N1840" i="5"/>
  <c r="O1840" i="5"/>
  <c r="P1840" i="5"/>
  <c r="Q1840" i="5"/>
  <c r="S1840" i="5" s="1"/>
  <c r="R1840" i="5"/>
  <c r="N1841" i="5"/>
  <c r="P1841" i="5" s="1"/>
  <c r="O1841" i="5"/>
  <c r="Q1841" i="5"/>
  <c r="S1841" i="5" s="1"/>
  <c r="R1841" i="5"/>
  <c r="N1842" i="5"/>
  <c r="P1842" i="5" s="1"/>
  <c r="O1842" i="5"/>
  <c r="Q1842" i="5"/>
  <c r="R1842" i="5"/>
  <c r="S1842" i="5"/>
  <c r="N1843" i="5"/>
  <c r="P1843" i="5" s="1"/>
  <c r="O1843" i="5"/>
  <c r="Q1843" i="5"/>
  <c r="S1843" i="5" s="1"/>
  <c r="R1843" i="5"/>
  <c r="N1844" i="5"/>
  <c r="O1844" i="5"/>
  <c r="P1844" i="5"/>
  <c r="Q1844" i="5"/>
  <c r="S1844" i="5" s="1"/>
  <c r="R1844" i="5"/>
  <c r="N1845" i="5"/>
  <c r="P1845" i="5" s="1"/>
  <c r="O1845" i="5"/>
  <c r="Q1845" i="5"/>
  <c r="S1845" i="5" s="1"/>
  <c r="R1845" i="5"/>
  <c r="N1846" i="5"/>
  <c r="P1846" i="5" s="1"/>
  <c r="O1846" i="5"/>
  <c r="Q1846" i="5"/>
  <c r="R1846" i="5"/>
  <c r="S1846" i="5"/>
  <c r="N1847" i="5"/>
  <c r="P1847" i="5" s="1"/>
  <c r="O1847" i="5"/>
  <c r="Q1847" i="5"/>
  <c r="S1847" i="5" s="1"/>
  <c r="R1847" i="5"/>
  <c r="N1848" i="5"/>
  <c r="O1848" i="5"/>
  <c r="P1848" i="5"/>
  <c r="Q1848" i="5"/>
  <c r="S1848" i="5" s="1"/>
  <c r="R1848" i="5"/>
  <c r="N1849" i="5"/>
  <c r="P1849" i="5" s="1"/>
  <c r="O1849" i="5"/>
  <c r="Q1849" i="5"/>
  <c r="S1849" i="5" s="1"/>
  <c r="R1849" i="5"/>
  <c r="N1850" i="5"/>
  <c r="P1850" i="5" s="1"/>
  <c r="O1850" i="5"/>
  <c r="Q1850" i="5"/>
  <c r="R1850" i="5"/>
  <c r="S1850" i="5"/>
  <c r="N1851" i="5"/>
  <c r="P1851" i="5" s="1"/>
  <c r="O1851" i="5"/>
  <c r="Q1851" i="5"/>
  <c r="S1851" i="5" s="1"/>
  <c r="R1851" i="5"/>
  <c r="N1852" i="5"/>
  <c r="O1852" i="5"/>
  <c r="P1852" i="5"/>
  <c r="Q1852" i="5"/>
  <c r="S1852" i="5" s="1"/>
  <c r="R1852" i="5"/>
  <c r="N1853" i="5"/>
  <c r="P1853" i="5" s="1"/>
  <c r="O1853" i="5"/>
  <c r="Q1853" i="5"/>
  <c r="S1853" i="5" s="1"/>
  <c r="R1853" i="5"/>
  <c r="N1854" i="5"/>
  <c r="P1854" i="5" s="1"/>
  <c r="O1854" i="5"/>
  <c r="Q1854" i="5"/>
  <c r="R1854" i="5"/>
  <c r="S1854" i="5"/>
  <c r="N1855" i="5"/>
  <c r="P1855" i="5" s="1"/>
  <c r="O1855" i="5"/>
  <c r="Q1855" i="5"/>
  <c r="S1855" i="5" s="1"/>
  <c r="R1855" i="5"/>
  <c r="N1856" i="5"/>
  <c r="O1856" i="5"/>
  <c r="P1856" i="5"/>
  <c r="Q1856" i="5"/>
  <c r="S1856" i="5" s="1"/>
  <c r="R1856" i="5"/>
  <c r="N1857" i="5"/>
  <c r="P1857" i="5" s="1"/>
  <c r="O1857" i="5"/>
  <c r="Q1857" i="5"/>
  <c r="S1857" i="5" s="1"/>
  <c r="R1857" i="5"/>
  <c r="N1858" i="5"/>
  <c r="P1858" i="5" s="1"/>
  <c r="O1858" i="5"/>
  <c r="Q1858" i="5"/>
  <c r="R1858" i="5"/>
  <c r="S1858" i="5"/>
  <c r="N1859" i="5"/>
  <c r="P1859" i="5" s="1"/>
  <c r="O1859" i="5"/>
  <c r="Q1859" i="5"/>
  <c r="S1859" i="5" s="1"/>
  <c r="R1859" i="5"/>
  <c r="N1860" i="5"/>
  <c r="O1860" i="5"/>
  <c r="P1860" i="5"/>
  <c r="Q1860" i="5"/>
  <c r="S1860" i="5" s="1"/>
  <c r="R1860" i="5"/>
  <c r="N1861" i="5"/>
  <c r="P1861" i="5" s="1"/>
  <c r="O1861" i="5"/>
  <c r="Q1861" i="5"/>
  <c r="S1861" i="5" s="1"/>
  <c r="R1861" i="5"/>
  <c r="N1862" i="5"/>
  <c r="P1862" i="5" s="1"/>
  <c r="O1862" i="5"/>
  <c r="Q1862" i="5"/>
  <c r="R1862" i="5"/>
  <c r="S1862" i="5"/>
  <c r="N1863" i="5"/>
  <c r="P1863" i="5" s="1"/>
  <c r="O1863" i="5"/>
  <c r="Q1863" i="5"/>
  <c r="S1863" i="5" s="1"/>
  <c r="R1863" i="5"/>
  <c r="N1864" i="5"/>
  <c r="O1864" i="5"/>
  <c r="P1864" i="5"/>
  <c r="Q1864" i="5"/>
  <c r="S1864" i="5" s="1"/>
  <c r="R1864" i="5"/>
  <c r="N1865" i="5"/>
  <c r="P1865" i="5" s="1"/>
  <c r="O1865" i="5"/>
  <c r="Q1865" i="5"/>
  <c r="S1865" i="5" s="1"/>
  <c r="R1865" i="5"/>
  <c r="N1866" i="5"/>
  <c r="P1866" i="5" s="1"/>
  <c r="O1866" i="5"/>
  <c r="Q1866" i="5"/>
  <c r="R1866" i="5"/>
  <c r="S1866" i="5"/>
  <c r="N1867" i="5"/>
  <c r="P1867" i="5" s="1"/>
  <c r="O1867" i="5"/>
  <c r="Q1867" i="5"/>
  <c r="S1867" i="5" s="1"/>
  <c r="R1867" i="5"/>
  <c r="N1868" i="5"/>
  <c r="O1868" i="5"/>
  <c r="P1868" i="5"/>
  <c r="Q1868" i="5"/>
  <c r="S1868" i="5" s="1"/>
  <c r="R1868" i="5"/>
  <c r="N1869" i="5"/>
  <c r="P1869" i="5" s="1"/>
  <c r="O1869" i="5"/>
  <c r="Q1869" i="5"/>
  <c r="S1869" i="5" s="1"/>
  <c r="R1869" i="5"/>
  <c r="N1870" i="5"/>
  <c r="P1870" i="5" s="1"/>
  <c r="O1870" i="5"/>
  <c r="Q1870" i="5"/>
  <c r="R1870" i="5"/>
  <c r="S1870" i="5"/>
  <c r="N1871" i="5"/>
  <c r="P1871" i="5" s="1"/>
  <c r="O1871" i="5"/>
  <c r="Q1871" i="5"/>
  <c r="S1871" i="5" s="1"/>
  <c r="R1871" i="5"/>
  <c r="N1872" i="5"/>
  <c r="O1872" i="5"/>
  <c r="P1872" i="5"/>
  <c r="Q1872" i="5"/>
  <c r="S1872" i="5" s="1"/>
  <c r="R1872" i="5"/>
  <c r="N1873" i="5"/>
  <c r="P1873" i="5" s="1"/>
  <c r="O1873" i="5"/>
  <c r="Q1873" i="5"/>
  <c r="S1873" i="5" s="1"/>
  <c r="R1873" i="5"/>
  <c r="N1874" i="5"/>
  <c r="P1874" i="5" s="1"/>
  <c r="O1874" i="5"/>
  <c r="Q1874" i="5"/>
  <c r="R1874" i="5"/>
  <c r="S1874" i="5"/>
  <c r="N1875" i="5"/>
  <c r="P1875" i="5" s="1"/>
  <c r="O1875" i="5"/>
  <c r="Q1875" i="5"/>
  <c r="S1875" i="5" s="1"/>
  <c r="R1875" i="5"/>
  <c r="N1876" i="5"/>
  <c r="O1876" i="5"/>
  <c r="P1876" i="5"/>
  <c r="Q1876" i="5"/>
  <c r="S1876" i="5" s="1"/>
  <c r="R1876" i="5"/>
  <c r="N1877" i="5"/>
  <c r="P1877" i="5" s="1"/>
  <c r="O1877" i="5"/>
  <c r="Q1877" i="5"/>
  <c r="S1877" i="5" s="1"/>
  <c r="R1877" i="5"/>
  <c r="N1878" i="5"/>
  <c r="P1878" i="5" s="1"/>
  <c r="O1878" i="5"/>
  <c r="Q1878" i="5"/>
  <c r="R1878" i="5"/>
  <c r="S1878" i="5"/>
  <c r="N1879" i="5"/>
  <c r="P1879" i="5" s="1"/>
  <c r="O1879" i="5"/>
  <c r="Q1879" i="5"/>
  <c r="S1879" i="5" s="1"/>
  <c r="R1879" i="5"/>
  <c r="N1880" i="5"/>
  <c r="O1880" i="5"/>
  <c r="P1880" i="5"/>
  <c r="Q1880" i="5"/>
  <c r="S1880" i="5" s="1"/>
  <c r="R1880" i="5"/>
  <c r="N1881" i="5"/>
  <c r="P1881" i="5" s="1"/>
  <c r="O1881" i="5"/>
  <c r="Q1881" i="5"/>
  <c r="S1881" i="5" s="1"/>
  <c r="R1881" i="5"/>
  <c r="N1882" i="5"/>
  <c r="P1882" i="5" s="1"/>
  <c r="O1882" i="5"/>
  <c r="Q1882" i="5"/>
  <c r="R1882" i="5"/>
  <c r="S1882" i="5"/>
  <c r="N1883" i="5"/>
  <c r="P1883" i="5" s="1"/>
  <c r="O1883" i="5"/>
  <c r="Q1883" i="5"/>
  <c r="S1883" i="5" s="1"/>
  <c r="R1883" i="5"/>
  <c r="N1884" i="5"/>
  <c r="O1884" i="5"/>
  <c r="P1884" i="5"/>
  <c r="Q1884" i="5"/>
  <c r="S1884" i="5" s="1"/>
  <c r="R1884" i="5"/>
  <c r="N1885" i="5"/>
  <c r="P1885" i="5" s="1"/>
  <c r="O1885" i="5"/>
  <c r="Q1885" i="5"/>
  <c r="S1885" i="5" s="1"/>
  <c r="R1885" i="5"/>
  <c r="N1886" i="5"/>
  <c r="P1886" i="5" s="1"/>
  <c r="O1886" i="5"/>
  <c r="Q1886" i="5"/>
  <c r="R1886" i="5"/>
  <c r="S1886" i="5"/>
  <c r="N1887" i="5"/>
  <c r="P1887" i="5" s="1"/>
  <c r="O1887" i="5"/>
  <c r="Q1887" i="5"/>
  <c r="S1887" i="5" s="1"/>
  <c r="R1887" i="5"/>
  <c r="N1888" i="5"/>
  <c r="O1888" i="5"/>
  <c r="P1888" i="5"/>
  <c r="Q1888" i="5"/>
  <c r="S1888" i="5" s="1"/>
  <c r="R1888" i="5"/>
  <c r="N1889" i="5"/>
  <c r="P1889" i="5" s="1"/>
  <c r="O1889" i="5"/>
  <c r="Q1889" i="5"/>
  <c r="S1889" i="5" s="1"/>
  <c r="R1889" i="5"/>
  <c r="N1890" i="5"/>
  <c r="P1890" i="5" s="1"/>
  <c r="O1890" i="5"/>
  <c r="Q1890" i="5"/>
  <c r="R1890" i="5"/>
  <c r="S1890" i="5"/>
  <c r="N1891" i="5"/>
  <c r="P1891" i="5" s="1"/>
  <c r="O1891" i="5"/>
  <c r="Q1891" i="5"/>
  <c r="S1891" i="5" s="1"/>
  <c r="R1891" i="5"/>
  <c r="N1892" i="5"/>
  <c r="O1892" i="5"/>
  <c r="P1892" i="5"/>
  <c r="Q1892" i="5"/>
  <c r="S1892" i="5" s="1"/>
  <c r="R1892" i="5"/>
  <c r="N1893" i="5"/>
  <c r="P1893" i="5" s="1"/>
  <c r="O1893" i="5"/>
  <c r="Q1893" i="5"/>
  <c r="S1893" i="5" s="1"/>
  <c r="R1893" i="5"/>
  <c r="N1894" i="5"/>
  <c r="P1894" i="5" s="1"/>
  <c r="O1894" i="5"/>
  <c r="Q1894" i="5"/>
  <c r="R1894" i="5"/>
  <c r="S1894" i="5"/>
  <c r="N1895" i="5"/>
  <c r="P1895" i="5" s="1"/>
  <c r="O1895" i="5"/>
  <c r="Q1895" i="5"/>
  <c r="S1895" i="5" s="1"/>
  <c r="R1895" i="5"/>
  <c r="N1896" i="5"/>
  <c r="O1896" i="5"/>
  <c r="P1896" i="5"/>
  <c r="Q1896" i="5"/>
  <c r="S1896" i="5" s="1"/>
  <c r="R1896" i="5"/>
  <c r="N1897" i="5"/>
  <c r="P1897" i="5" s="1"/>
  <c r="O1897" i="5"/>
  <c r="Q1897" i="5"/>
  <c r="S1897" i="5" s="1"/>
  <c r="R1897" i="5"/>
  <c r="N1898" i="5"/>
  <c r="P1898" i="5" s="1"/>
  <c r="O1898" i="5"/>
  <c r="Q1898" i="5"/>
  <c r="S1898" i="5" s="1"/>
  <c r="R1898" i="5"/>
  <c r="N1899" i="5"/>
  <c r="P1899" i="5" s="1"/>
  <c r="O1899" i="5"/>
  <c r="Q1899" i="5"/>
  <c r="S1899" i="5" s="1"/>
  <c r="R1899" i="5"/>
  <c r="N1900" i="5"/>
  <c r="P1900" i="5" s="1"/>
  <c r="O1900" i="5"/>
  <c r="Q1900" i="5"/>
  <c r="S1900" i="5" s="1"/>
  <c r="R1900" i="5"/>
  <c r="N1901" i="5"/>
  <c r="P1901" i="5" s="1"/>
  <c r="O1901" i="5"/>
  <c r="Q1901" i="5"/>
  <c r="S1901" i="5" s="1"/>
  <c r="R1901" i="5"/>
  <c r="N1902" i="5"/>
  <c r="O1902" i="5"/>
  <c r="P1902" i="5"/>
  <c r="Q1902" i="5"/>
  <c r="R1902" i="5"/>
  <c r="S1902" i="5"/>
  <c r="N1903" i="5"/>
  <c r="P1903" i="5" s="1"/>
  <c r="O1903" i="5"/>
  <c r="Q1903" i="5"/>
  <c r="R1903" i="5"/>
  <c r="S1903" i="5"/>
  <c r="N1904" i="5"/>
  <c r="O1904" i="5"/>
  <c r="P1904" i="5"/>
  <c r="Q1904" i="5"/>
  <c r="S1904" i="5" s="1"/>
  <c r="R1904" i="5"/>
  <c r="N1905" i="5"/>
  <c r="P1905" i="5" s="1"/>
  <c r="O1905" i="5"/>
  <c r="Q1905" i="5"/>
  <c r="S1905" i="5" s="1"/>
  <c r="R1905" i="5"/>
  <c r="N1906" i="5"/>
  <c r="P1906" i="5" s="1"/>
  <c r="O1906" i="5"/>
  <c r="Q1906" i="5"/>
  <c r="S1906" i="5" s="1"/>
  <c r="R1906" i="5"/>
  <c r="N1907" i="5"/>
  <c r="P1907" i="5" s="1"/>
  <c r="O1907" i="5"/>
  <c r="Q1907" i="5"/>
  <c r="S1907" i="5" s="1"/>
  <c r="R1907" i="5"/>
  <c r="N1908" i="5"/>
  <c r="P1908" i="5" s="1"/>
  <c r="O1908" i="5"/>
  <c r="Q1908" i="5"/>
  <c r="S1908" i="5" s="1"/>
  <c r="R1908" i="5"/>
  <c r="N1909" i="5"/>
  <c r="P1909" i="5" s="1"/>
  <c r="O1909" i="5"/>
  <c r="Q1909" i="5"/>
  <c r="S1909" i="5" s="1"/>
  <c r="R1909" i="5"/>
  <c r="N1910" i="5"/>
  <c r="O1910" i="5"/>
  <c r="P1910" i="5"/>
  <c r="Q1910" i="5"/>
  <c r="R1910" i="5"/>
  <c r="S1910" i="5"/>
  <c r="N1911" i="5"/>
  <c r="P1911" i="5" s="1"/>
  <c r="O1911" i="5"/>
  <c r="Q1911" i="5"/>
  <c r="R1911" i="5"/>
  <c r="S1911" i="5"/>
  <c r="N1912" i="5"/>
  <c r="O1912" i="5"/>
  <c r="P1912" i="5"/>
  <c r="Q1912" i="5"/>
  <c r="S1912" i="5" s="1"/>
  <c r="R1912" i="5"/>
  <c r="N1913" i="5"/>
  <c r="P1913" i="5" s="1"/>
  <c r="O1913" i="5"/>
  <c r="Q1913" i="5"/>
  <c r="S1913" i="5" s="1"/>
  <c r="R1913" i="5"/>
  <c r="N1914" i="5"/>
  <c r="P1914" i="5" s="1"/>
  <c r="O1914" i="5"/>
  <c r="Q1914" i="5"/>
  <c r="S1914" i="5" s="1"/>
  <c r="R1914" i="5"/>
  <c r="N1915" i="5"/>
  <c r="P1915" i="5" s="1"/>
  <c r="O1915" i="5"/>
  <c r="Q1915" i="5"/>
  <c r="S1915" i="5" s="1"/>
  <c r="R1915" i="5"/>
  <c r="N1916" i="5"/>
  <c r="P1916" i="5" s="1"/>
  <c r="O1916" i="5"/>
  <c r="Q1916" i="5"/>
  <c r="S1916" i="5" s="1"/>
  <c r="R1916" i="5"/>
  <c r="N1917" i="5"/>
  <c r="O1917" i="5"/>
  <c r="P1917" i="5"/>
  <c r="Q1917" i="5"/>
  <c r="R1917" i="5"/>
  <c r="S1917" i="5"/>
  <c r="N1918" i="5"/>
  <c r="P1918" i="5" s="1"/>
  <c r="O1918" i="5"/>
  <c r="Q1918" i="5"/>
  <c r="S1918" i="5" s="1"/>
  <c r="R1918" i="5"/>
  <c r="N1919" i="5"/>
  <c r="P1919" i="5" s="1"/>
  <c r="O1919" i="5"/>
  <c r="Q1919" i="5"/>
  <c r="S1919" i="5" s="1"/>
  <c r="R1919" i="5"/>
  <c r="N1920" i="5"/>
  <c r="P1920" i="5" s="1"/>
  <c r="O1920" i="5"/>
  <c r="Q1920" i="5"/>
  <c r="S1920" i="5" s="1"/>
  <c r="R1920" i="5"/>
  <c r="N1921" i="5"/>
  <c r="O1921" i="5"/>
  <c r="P1921" i="5"/>
  <c r="Q1921" i="5"/>
  <c r="R1921" i="5"/>
  <c r="S1921" i="5"/>
  <c r="N1922" i="5"/>
  <c r="P1922" i="5" s="1"/>
  <c r="O1922" i="5"/>
  <c r="Q1922" i="5"/>
  <c r="S1922" i="5" s="1"/>
  <c r="R1922" i="5"/>
  <c r="N1923" i="5"/>
  <c r="P1923" i="5" s="1"/>
  <c r="O1923" i="5"/>
  <c r="Q1923" i="5"/>
  <c r="S1923" i="5" s="1"/>
  <c r="R1923" i="5"/>
  <c r="N1924" i="5"/>
  <c r="P1924" i="5" s="1"/>
  <c r="O1924" i="5"/>
  <c r="Q1924" i="5"/>
  <c r="S1924" i="5" s="1"/>
  <c r="R1924" i="5"/>
  <c r="N1925" i="5"/>
  <c r="O1925" i="5"/>
  <c r="P1925" i="5"/>
  <c r="Q1925" i="5"/>
  <c r="R1925" i="5"/>
  <c r="S1925" i="5"/>
  <c r="N1926" i="5"/>
  <c r="P1926" i="5" s="1"/>
  <c r="O1926" i="5"/>
  <c r="Q1926" i="5"/>
  <c r="S1926" i="5" s="1"/>
  <c r="R1926" i="5"/>
  <c r="N1927" i="5"/>
  <c r="P1927" i="5" s="1"/>
  <c r="O1927" i="5"/>
  <c r="Q1927" i="5"/>
  <c r="S1927" i="5" s="1"/>
  <c r="R1927" i="5"/>
  <c r="N1928" i="5"/>
  <c r="P1928" i="5" s="1"/>
  <c r="O1928" i="5"/>
  <c r="Q1928" i="5"/>
  <c r="S1928" i="5" s="1"/>
  <c r="R1928" i="5"/>
  <c r="N1929" i="5"/>
  <c r="O1929" i="5"/>
  <c r="P1929" i="5"/>
  <c r="Q1929" i="5"/>
  <c r="R1929" i="5"/>
  <c r="S1929" i="5"/>
  <c r="N1930" i="5"/>
  <c r="P1930" i="5" s="1"/>
  <c r="O1930" i="5"/>
  <c r="Q1930" i="5"/>
  <c r="S1930" i="5" s="1"/>
  <c r="R1930" i="5"/>
  <c r="N1931" i="5"/>
  <c r="P1931" i="5" s="1"/>
  <c r="O1931" i="5"/>
  <c r="Q1931" i="5"/>
  <c r="S1931" i="5" s="1"/>
  <c r="R1931" i="5"/>
  <c r="N1932" i="5"/>
  <c r="P1932" i="5" s="1"/>
  <c r="O1932" i="5"/>
  <c r="Q1932" i="5"/>
  <c r="S1932" i="5" s="1"/>
  <c r="R1932" i="5"/>
  <c r="N1933" i="5"/>
  <c r="O1933" i="5"/>
  <c r="P1933" i="5"/>
  <c r="Q1933" i="5"/>
  <c r="R1933" i="5"/>
  <c r="S1933" i="5"/>
  <c r="N1934" i="5"/>
  <c r="P1934" i="5" s="1"/>
  <c r="O1934" i="5"/>
  <c r="Q1934" i="5"/>
  <c r="S1934" i="5" s="1"/>
  <c r="R1934" i="5"/>
  <c r="N1935" i="5"/>
  <c r="P1935" i="5" s="1"/>
  <c r="O1935" i="5"/>
  <c r="Q1935" i="5"/>
  <c r="S1935" i="5" s="1"/>
  <c r="R1935" i="5"/>
  <c r="N1936" i="5"/>
  <c r="P1936" i="5" s="1"/>
  <c r="O1936" i="5"/>
  <c r="Q1936" i="5"/>
  <c r="S1936" i="5" s="1"/>
  <c r="R1936" i="5"/>
  <c r="N1937" i="5"/>
  <c r="O1937" i="5"/>
  <c r="P1937" i="5"/>
  <c r="Q1937" i="5"/>
  <c r="R1937" i="5"/>
  <c r="S1937" i="5"/>
  <c r="N1938" i="5"/>
  <c r="P1938" i="5" s="1"/>
  <c r="O1938" i="5"/>
  <c r="Q1938" i="5"/>
  <c r="S1938" i="5" s="1"/>
  <c r="R1938" i="5"/>
  <c r="N1939" i="5"/>
  <c r="P1939" i="5" s="1"/>
  <c r="O1939" i="5"/>
  <c r="Q1939" i="5"/>
  <c r="S1939" i="5" s="1"/>
  <c r="R1939" i="5"/>
  <c r="N1940" i="5"/>
  <c r="P1940" i="5" s="1"/>
  <c r="O1940" i="5"/>
  <c r="Q1940" i="5"/>
  <c r="S1940" i="5" s="1"/>
  <c r="R1940" i="5"/>
  <c r="N1941" i="5"/>
  <c r="O1941" i="5"/>
  <c r="P1941" i="5"/>
  <c r="Q1941" i="5"/>
  <c r="R1941" i="5"/>
  <c r="S1941" i="5"/>
  <c r="N1942" i="5"/>
  <c r="P1942" i="5" s="1"/>
  <c r="O1942" i="5"/>
  <c r="Q1942" i="5"/>
  <c r="S1942" i="5" s="1"/>
  <c r="R1942" i="5"/>
  <c r="N1943" i="5"/>
  <c r="P1943" i="5" s="1"/>
  <c r="O1943" i="5"/>
  <c r="Q1943" i="5"/>
  <c r="S1943" i="5" s="1"/>
  <c r="R1943" i="5"/>
  <c r="N1944" i="5"/>
  <c r="P1944" i="5" s="1"/>
  <c r="O1944" i="5"/>
  <c r="Q1944" i="5"/>
  <c r="S1944" i="5" s="1"/>
  <c r="R1944" i="5"/>
  <c r="N1945" i="5"/>
  <c r="O1945" i="5"/>
  <c r="P1945" i="5"/>
  <c r="Q1945" i="5"/>
  <c r="R1945" i="5"/>
  <c r="S1945" i="5"/>
  <c r="N1946" i="5"/>
  <c r="P1946" i="5" s="1"/>
  <c r="O1946" i="5"/>
  <c r="Q1946" i="5"/>
  <c r="S1946" i="5" s="1"/>
  <c r="R1946" i="5"/>
  <c r="N1947" i="5"/>
  <c r="P1947" i="5" s="1"/>
  <c r="O1947" i="5"/>
  <c r="Q1947" i="5"/>
  <c r="S1947" i="5" s="1"/>
  <c r="R1947" i="5"/>
  <c r="N1948" i="5"/>
  <c r="P1948" i="5" s="1"/>
  <c r="O1948" i="5"/>
  <c r="Q1948" i="5"/>
  <c r="S1948" i="5" s="1"/>
  <c r="R1948" i="5"/>
  <c r="N1949" i="5"/>
  <c r="O1949" i="5"/>
  <c r="P1949" i="5"/>
  <c r="Q1949" i="5"/>
  <c r="R1949" i="5"/>
  <c r="S1949" i="5"/>
  <c r="N1950" i="5"/>
  <c r="P1950" i="5" s="1"/>
  <c r="O1950" i="5"/>
  <c r="Q1950" i="5"/>
  <c r="S1950" i="5" s="1"/>
  <c r="R1950" i="5"/>
  <c r="N1951" i="5"/>
  <c r="P1951" i="5" s="1"/>
  <c r="O1951" i="5"/>
  <c r="Q1951" i="5"/>
  <c r="S1951" i="5" s="1"/>
  <c r="R1951" i="5"/>
  <c r="N1952" i="5"/>
  <c r="P1952" i="5" s="1"/>
  <c r="O1952" i="5"/>
  <c r="Q1952" i="5"/>
  <c r="S1952" i="5" s="1"/>
  <c r="R1952" i="5"/>
  <c r="N1953" i="5"/>
  <c r="O1953" i="5"/>
  <c r="P1953" i="5"/>
  <c r="Q1953" i="5"/>
  <c r="R1953" i="5"/>
  <c r="S1953" i="5"/>
  <c r="N1954" i="5"/>
  <c r="P1954" i="5" s="1"/>
  <c r="O1954" i="5"/>
  <c r="Q1954" i="5"/>
  <c r="S1954" i="5" s="1"/>
  <c r="R1954" i="5"/>
  <c r="N1955" i="5"/>
  <c r="P1955" i="5" s="1"/>
  <c r="O1955" i="5"/>
  <c r="Q1955" i="5"/>
  <c r="S1955" i="5" s="1"/>
  <c r="R1955" i="5"/>
  <c r="N1956" i="5"/>
  <c r="P1956" i="5" s="1"/>
  <c r="O1956" i="5"/>
  <c r="Q1956" i="5"/>
  <c r="S1956" i="5" s="1"/>
  <c r="R1956" i="5"/>
  <c r="N1957" i="5"/>
  <c r="O1957" i="5"/>
  <c r="P1957" i="5"/>
  <c r="Q1957" i="5"/>
  <c r="R1957" i="5"/>
  <c r="S1957" i="5"/>
  <c r="N1958" i="5"/>
  <c r="P1958" i="5" s="1"/>
  <c r="O1958" i="5"/>
  <c r="Q1958" i="5"/>
  <c r="S1958" i="5" s="1"/>
  <c r="R1958" i="5"/>
  <c r="N1959" i="5"/>
  <c r="P1959" i="5" s="1"/>
  <c r="O1959" i="5"/>
  <c r="Q1959" i="5"/>
  <c r="S1959" i="5" s="1"/>
  <c r="R1959" i="5"/>
  <c r="N1960" i="5"/>
  <c r="P1960" i="5" s="1"/>
  <c r="O1960" i="5"/>
  <c r="Q1960" i="5"/>
  <c r="S1960" i="5" s="1"/>
  <c r="R1960" i="5"/>
  <c r="N1961" i="5"/>
  <c r="O1961" i="5"/>
  <c r="P1961" i="5"/>
  <c r="Q1961" i="5"/>
  <c r="R1961" i="5"/>
  <c r="S1961" i="5"/>
  <c r="N1962" i="5"/>
  <c r="P1962" i="5" s="1"/>
  <c r="O1962" i="5"/>
  <c r="Q1962" i="5"/>
  <c r="S1962" i="5" s="1"/>
  <c r="R1962" i="5"/>
  <c r="N1963" i="5"/>
  <c r="P1963" i="5" s="1"/>
  <c r="O1963" i="5"/>
  <c r="Q1963" i="5"/>
  <c r="S1963" i="5" s="1"/>
  <c r="R1963" i="5"/>
  <c r="N1964" i="5"/>
  <c r="P1964" i="5" s="1"/>
  <c r="O1964" i="5"/>
  <c r="Q1964" i="5"/>
  <c r="S1964" i="5" s="1"/>
  <c r="R1964" i="5"/>
  <c r="N1965" i="5"/>
  <c r="O1965" i="5"/>
  <c r="P1965" i="5"/>
  <c r="Q1965" i="5"/>
  <c r="R1965" i="5"/>
  <c r="S1965" i="5"/>
  <c r="N1966" i="5"/>
  <c r="P1966" i="5" s="1"/>
  <c r="O1966" i="5"/>
  <c r="Q1966" i="5"/>
  <c r="S1966" i="5" s="1"/>
  <c r="R1966" i="5"/>
  <c r="N1967" i="5"/>
  <c r="P1967" i="5" s="1"/>
  <c r="O1967" i="5"/>
  <c r="Q1967" i="5"/>
  <c r="S1967" i="5" s="1"/>
  <c r="R1967" i="5"/>
  <c r="N1968" i="5"/>
  <c r="P1968" i="5" s="1"/>
  <c r="O1968" i="5"/>
  <c r="Q1968" i="5"/>
  <c r="S1968" i="5" s="1"/>
  <c r="R1968" i="5"/>
  <c r="N1969" i="5"/>
  <c r="O1969" i="5"/>
  <c r="P1969" i="5"/>
  <c r="Q1969" i="5"/>
  <c r="R1969" i="5"/>
  <c r="S1969" i="5"/>
  <c r="N1970" i="5"/>
  <c r="P1970" i="5" s="1"/>
  <c r="O1970" i="5"/>
  <c r="Q1970" i="5"/>
  <c r="S1970" i="5" s="1"/>
  <c r="R1970" i="5"/>
  <c r="N1971" i="5"/>
  <c r="P1971" i="5" s="1"/>
  <c r="O1971" i="5"/>
  <c r="Q1971" i="5"/>
  <c r="S1971" i="5" s="1"/>
  <c r="R1971" i="5"/>
  <c r="N1972" i="5"/>
  <c r="P1972" i="5" s="1"/>
  <c r="O1972" i="5"/>
  <c r="Q1972" i="5"/>
  <c r="S1972" i="5" s="1"/>
  <c r="R1972" i="5"/>
  <c r="N1973" i="5"/>
  <c r="O1973" i="5"/>
  <c r="P1973" i="5"/>
  <c r="Q1973" i="5"/>
  <c r="R1973" i="5"/>
  <c r="S1973" i="5"/>
  <c r="N1974" i="5"/>
  <c r="P1974" i="5" s="1"/>
  <c r="O1974" i="5"/>
  <c r="Q1974" i="5"/>
  <c r="S1974" i="5" s="1"/>
  <c r="R1974" i="5"/>
  <c r="N1975" i="5"/>
  <c r="P1975" i="5" s="1"/>
  <c r="O1975" i="5"/>
  <c r="Q1975" i="5"/>
  <c r="S1975" i="5" s="1"/>
  <c r="R1975" i="5"/>
  <c r="N1976" i="5"/>
  <c r="P1976" i="5" s="1"/>
  <c r="O1976" i="5"/>
  <c r="Q1976" i="5"/>
  <c r="S1976" i="5" s="1"/>
  <c r="R1976" i="5"/>
  <c r="N1977" i="5"/>
  <c r="O1977" i="5"/>
  <c r="P1977" i="5"/>
  <c r="Q1977" i="5"/>
  <c r="R1977" i="5"/>
  <c r="S1977" i="5"/>
  <c r="N1978" i="5"/>
  <c r="P1978" i="5" s="1"/>
  <c r="O1978" i="5"/>
  <c r="Q1978" i="5"/>
  <c r="S1978" i="5" s="1"/>
  <c r="R1978" i="5"/>
  <c r="N1979" i="5"/>
  <c r="P1979" i="5" s="1"/>
  <c r="O1979" i="5"/>
  <c r="Q1979" i="5"/>
  <c r="S1979" i="5" s="1"/>
  <c r="R1979" i="5"/>
  <c r="N1980" i="5"/>
  <c r="P1980" i="5" s="1"/>
  <c r="O1980" i="5"/>
  <c r="Q1980" i="5"/>
  <c r="S1980" i="5" s="1"/>
  <c r="R1980" i="5"/>
  <c r="N1981" i="5"/>
  <c r="O1981" i="5"/>
  <c r="P1981" i="5"/>
  <c r="Q1981" i="5"/>
  <c r="R1981" i="5"/>
  <c r="S1981" i="5"/>
  <c r="N1982" i="5"/>
  <c r="P1982" i="5" s="1"/>
  <c r="O1982" i="5"/>
  <c r="Q1982" i="5"/>
  <c r="S1982" i="5" s="1"/>
  <c r="R1982" i="5"/>
  <c r="N1983" i="5"/>
  <c r="P1983" i="5" s="1"/>
  <c r="O1983" i="5"/>
  <c r="Q1983" i="5"/>
  <c r="S1983" i="5" s="1"/>
  <c r="R1983" i="5"/>
  <c r="N1984" i="5"/>
  <c r="P1984" i="5" s="1"/>
  <c r="O1984" i="5"/>
  <c r="Q1984" i="5"/>
  <c r="S1984" i="5" s="1"/>
  <c r="R1984" i="5"/>
  <c r="N1985" i="5"/>
  <c r="O1985" i="5"/>
  <c r="P1985" i="5"/>
  <c r="Q1985" i="5"/>
  <c r="R1985" i="5"/>
  <c r="S1985" i="5"/>
  <c r="N1986" i="5"/>
  <c r="P1986" i="5" s="1"/>
  <c r="O1986" i="5"/>
  <c r="Q1986" i="5"/>
  <c r="S1986" i="5" s="1"/>
  <c r="R1986" i="5"/>
  <c r="N1987" i="5"/>
  <c r="P1987" i="5" s="1"/>
  <c r="O1987" i="5"/>
  <c r="Q1987" i="5"/>
  <c r="S1987" i="5" s="1"/>
  <c r="R1987" i="5"/>
  <c r="N1988" i="5"/>
  <c r="P1988" i="5" s="1"/>
  <c r="O1988" i="5"/>
  <c r="Q1988" i="5"/>
  <c r="S1988" i="5" s="1"/>
  <c r="R1988" i="5"/>
  <c r="N1989" i="5"/>
  <c r="O1989" i="5"/>
  <c r="P1989" i="5"/>
  <c r="Q1989" i="5"/>
  <c r="R1989" i="5"/>
  <c r="S1989" i="5"/>
  <c r="N1990" i="5"/>
  <c r="P1990" i="5" s="1"/>
  <c r="O1990" i="5"/>
  <c r="Q1990" i="5"/>
  <c r="S1990" i="5" s="1"/>
  <c r="R1990" i="5"/>
  <c r="N1991" i="5"/>
  <c r="P1991" i="5" s="1"/>
  <c r="O1991" i="5"/>
  <c r="Q1991" i="5"/>
  <c r="S1991" i="5" s="1"/>
  <c r="R1991" i="5"/>
  <c r="N1992" i="5"/>
  <c r="P1992" i="5" s="1"/>
  <c r="O1992" i="5"/>
  <c r="Q1992" i="5"/>
  <c r="S1992" i="5" s="1"/>
  <c r="R1992" i="5"/>
  <c r="N1993" i="5"/>
  <c r="O1993" i="5"/>
  <c r="P1993" i="5"/>
  <c r="Q1993" i="5"/>
  <c r="R1993" i="5"/>
  <c r="S1993" i="5"/>
  <c r="N1994" i="5"/>
  <c r="P1994" i="5" s="1"/>
  <c r="O1994" i="5"/>
  <c r="Q1994" i="5"/>
  <c r="S1994" i="5" s="1"/>
  <c r="R1994" i="5"/>
  <c r="N1995" i="5"/>
  <c r="P1995" i="5" s="1"/>
  <c r="O1995" i="5"/>
  <c r="Q1995" i="5"/>
  <c r="S1995" i="5" s="1"/>
  <c r="R1995" i="5"/>
  <c r="N1996" i="5"/>
  <c r="P1996" i="5" s="1"/>
  <c r="O1996" i="5"/>
  <c r="Q1996" i="5"/>
  <c r="S1996" i="5" s="1"/>
  <c r="R1996" i="5"/>
  <c r="N1997" i="5"/>
  <c r="O1997" i="5"/>
  <c r="P1997" i="5"/>
  <c r="Q1997" i="5"/>
  <c r="R1997" i="5"/>
  <c r="S1997" i="5"/>
  <c r="N1998" i="5"/>
  <c r="P1998" i="5" s="1"/>
  <c r="O1998" i="5"/>
  <c r="Q1998" i="5"/>
  <c r="S1998" i="5" s="1"/>
  <c r="R1998" i="5"/>
  <c r="N1999" i="5"/>
  <c r="P1999" i="5" s="1"/>
  <c r="O1999" i="5"/>
  <c r="Q1999" i="5"/>
  <c r="S1999" i="5" s="1"/>
  <c r="R1999" i="5"/>
  <c r="N2000" i="5"/>
  <c r="P2000" i="5" s="1"/>
  <c r="O2000" i="5"/>
  <c r="Q2000" i="5"/>
  <c r="S2000" i="5" s="1"/>
  <c r="R2000" i="5"/>
  <c r="Q2" i="5"/>
  <c r="S2" i="5"/>
  <c r="N2" i="5"/>
  <c r="P2" i="5" s="1"/>
  <c r="R2" i="5"/>
  <c r="O2" i="5"/>
  <c r="K548" i="5"/>
  <c r="M548" i="5" s="1"/>
  <c r="K549" i="5"/>
  <c r="M549" i="5" s="1"/>
  <c r="K550" i="5"/>
  <c r="M550" i="5" s="1"/>
  <c r="K551" i="5"/>
  <c r="M551" i="5"/>
  <c r="K552" i="5"/>
  <c r="M552" i="5" s="1"/>
  <c r="K553" i="5"/>
  <c r="M553" i="5"/>
  <c r="K554" i="5"/>
  <c r="M554" i="5" s="1"/>
  <c r="K555" i="5"/>
  <c r="M555" i="5"/>
  <c r="K556" i="5"/>
  <c r="M556" i="5" s="1"/>
  <c r="K557" i="5"/>
  <c r="M557" i="5" s="1"/>
  <c r="K558" i="5"/>
  <c r="M558" i="5" s="1"/>
  <c r="K559" i="5"/>
  <c r="M559" i="5"/>
  <c r="K560" i="5"/>
  <c r="M560" i="5" s="1"/>
  <c r="K561" i="5"/>
  <c r="M561" i="5"/>
  <c r="K562" i="5"/>
  <c r="M562" i="5" s="1"/>
  <c r="K563" i="5"/>
  <c r="M563" i="5"/>
  <c r="K564" i="5"/>
  <c r="M564" i="5" s="1"/>
  <c r="K565" i="5"/>
  <c r="M565" i="5" s="1"/>
  <c r="K566" i="5"/>
  <c r="M566" i="5" s="1"/>
  <c r="K567" i="5"/>
  <c r="M567" i="5"/>
  <c r="K568" i="5"/>
  <c r="M568" i="5" s="1"/>
  <c r="K569" i="5"/>
  <c r="M569" i="5"/>
  <c r="K570" i="5"/>
  <c r="M570" i="5" s="1"/>
  <c r="K571" i="5"/>
  <c r="M571" i="5"/>
  <c r="K572" i="5"/>
  <c r="M572" i="5" s="1"/>
  <c r="K573" i="5"/>
  <c r="M573" i="5" s="1"/>
  <c r="K574" i="5"/>
  <c r="M574" i="5" s="1"/>
  <c r="K575" i="5"/>
  <c r="M575" i="5"/>
  <c r="K576" i="5"/>
  <c r="M576" i="5" s="1"/>
  <c r="K577" i="5"/>
  <c r="M577" i="5"/>
  <c r="K578" i="5"/>
  <c r="M578" i="5" s="1"/>
  <c r="K579" i="5"/>
  <c r="M579" i="5"/>
  <c r="K580" i="5"/>
  <c r="M580" i="5" s="1"/>
  <c r="K581" i="5"/>
  <c r="M581" i="5" s="1"/>
  <c r="K582" i="5"/>
  <c r="M582" i="5" s="1"/>
  <c r="K583" i="5"/>
  <c r="M583" i="5"/>
  <c r="K584" i="5"/>
  <c r="M584" i="5" s="1"/>
  <c r="K585" i="5"/>
  <c r="M585" i="5"/>
  <c r="K586" i="5"/>
  <c r="M586" i="5" s="1"/>
  <c r="K587" i="5"/>
  <c r="M587" i="5"/>
  <c r="K588" i="5"/>
  <c r="M588" i="5" s="1"/>
  <c r="K589" i="5"/>
  <c r="M589" i="5" s="1"/>
  <c r="K590" i="5"/>
  <c r="M590" i="5" s="1"/>
  <c r="K591" i="5"/>
  <c r="M591" i="5"/>
  <c r="K592" i="5"/>
  <c r="M592" i="5" s="1"/>
  <c r="K593" i="5"/>
  <c r="M593" i="5"/>
  <c r="K594" i="5"/>
  <c r="M594" i="5" s="1"/>
  <c r="K595" i="5"/>
  <c r="M595" i="5"/>
  <c r="K596" i="5"/>
  <c r="M596" i="5" s="1"/>
  <c r="K597" i="5"/>
  <c r="M597" i="5" s="1"/>
  <c r="K598" i="5"/>
  <c r="M598" i="5" s="1"/>
  <c r="K599" i="5"/>
  <c r="M599" i="5"/>
  <c r="K600" i="5"/>
  <c r="M600" i="5" s="1"/>
  <c r="K601" i="5"/>
  <c r="M601" i="5"/>
  <c r="K602" i="5"/>
  <c r="M602" i="5" s="1"/>
  <c r="K603" i="5"/>
  <c r="M603" i="5"/>
  <c r="K604" i="5"/>
  <c r="M604" i="5" s="1"/>
  <c r="K605" i="5"/>
  <c r="M605" i="5" s="1"/>
  <c r="K606" i="5"/>
  <c r="M606" i="5" s="1"/>
  <c r="K607" i="5"/>
  <c r="M607" i="5"/>
  <c r="K608" i="5"/>
  <c r="M608" i="5" s="1"/>
  <c r="K609" i="5"/>
  <c r="M609" i="5"/>
  <c r="K610" i="5"/>
  <c r="M610" i="5" s="1"/>
  <c r="K611" i="5"/>
  <c r="M611" i="5"/>
  <c r="K612" i="5"/>
  <c r="M612" i="5" s="1"/>
  <c r="K613" i="5"/>
  <c r="M613" i="5" s="1"/>
  <c r="K614" i="5"/>
  <c r="M614" i="5" s="1"/>
  <c r="K615" i="5"/>
  <c r="M615" i="5"/>
  <c r="K616" i="5"/>
  <c r="M616" i="5" s="1"/>
  <c r="K617" i="5"/>
  <c r="M617" i="5"/>
  <c r="K618" i="5"/>
  <c r="M618" i="5" s="1"/>
  <c r="K619" i="5"/>
  <c r="M619" i="5"/>
  <c r="K620" i="5"/>
  <c r="M620" i="5" s="1"/>
  <c r="K621" i="5"/>
  <c r="M621" i="5" s="1"/>
  <c r="K622" i="5"/>
  <c r="M622" i="5" s="1"/>
  <c r="K623" i="5"/>
  <c r="M623" i="5"/>
  <c r="K624" i="5"/>
  <c r="M624" i="5" s="1"/>
  <c r="K625" i="5"/>
  <c r="M625" i="5"/>
  <c r="K626" i="5"/>
  <c r="M626" i="5" s="1"/>
  <c r="K627" i="5"/>
  <c r="M627" i="5"/>
  <c r="K628" i="5"/>
  <c r="M628" i="5" s="1"/>
  <c r="K629" i="5"/>
  <c r="M629" i="5" s="1"/>
  <c r="K630" i="5"/>
  <c r="M630" i="5" s="1"/>
  <c r="K631" i="5"/>
  <c r="M631" i="5"/>
  <c r="K632" i="5"/>
  <c r="M632" i="5" s="1"/>
  <c r="K633" i="5"/>
  <c r="M633" i="5"/>
  <c r="K634" i="5"/>
  <c r="M634" i="5" s="1"/>
  <c r="K635" i="5"/>
  <c r="M635" i="5"/>
  <c r="K636" i="5"/>
  <c r="M636" i="5" s="1"/>
  <c r="K637" i="5"/>
  <c r="M637" i="5" s="1"/>
  <c r="K638" i="5"/>
  <c r="M638" i="5" s="1"/>
  <c r="K639" i="5"/>
  <c r="M639" i="5"/>
  <c r="K640" i="5"/>
  <c r="M640" i="5" s="1"/>
  <c r="K641" i="5"/>
  <c r="M641" i="5"/>
  <c r="K642" i="5"/>
  <c r="M642" i="5" s="1"/>
  <c r="K643" i="5"/>
  <c r="M643" i="5"/>
  <c r="K644" i="5"/>
  <c r="M644" i="5" s="1"/>
  <c r="K645" i="5"/>
  <c r="M645" i="5" s="1"/>
  <c r="K646" i="5"/>
  <c r="M646" i="5" s="1"/>
  <c r="K647" i="5"/>
  <c r="M647" i="5"/>
  <c r="K648" i="5"/>
  <c r="M648" i="5" s="1"/>
  <c r="K649" i="5"/>
  <c r="M649" i="5"/>
  <c r="K650" i="5"/>
  <c r="M650" i="5" s="1"/>
  <c r="K651" i="5"/>
  <c r="M651" i="5"/>
  <c r="K652" i="5"/>
  <c r="M652" i="5" s="1"/>
  <c r="K653" i="5"/>
  <c r="M653" i="5" s="1"/>
  <c r="K654" i="5"/>
  <c r="M654" i="5" s="1"/>
  <c r="K655" i="5"/>
  <c r="M655" i="5"/>
  <c r="K656" i="5"/>
  <c r="M656" i="5" s="1"/>
  <c r="K657" i="5"/>
  <c r="M657" i="5"/>
  <c r="K658" i="5"/>
  <c r="M658" i="5" s="1"/>
  <c r="K659" i="5"/>
  <c r="M659" i="5"/>
  <c r="K660" i="5"/>
  <c r="M660" i="5" s="1"/>
  <c r="K661" i="5"/>
  <c r="M661" i="5" s="1"/>
  <c r="K662" i="5"/>
  <c r="M662" i="5" s="1"/>
  <c r="K663" i="5"/>
  <c r="M663" i="5"/>
  <c r="K664" i="5"/>
  <c r="M664" i="5" s="1"/>
  <c r="K665" i="5"/>
  <c r="M665" i="5"/>
  <c r="K666" i="5"/>
  <c r="M666" i="5" s="1"/>
  <c r="K667" i="5"/>
  <c r="M667" i="5"/>
  <c r="K668" i="5"/>
  <c r="M668" i="5" s="1"/>
  <c r="K669" i="5"/>
  <c r="M669" i="5" s="1"/>
  <c r="K670" i="5"/>
  <c r="M670" i="5" s="1"/>
  <c r="K671" i="5"/>
  <c r="M671" i="5"/>
  <c r="K672" i="5"/>
  <c r="M672" i="5" s="1"/>
  <c r="K673" i="5"/>
  <c r="M673" i="5"/>
  <c r="K674" i="5"/>
  <c r="M674" i="5" s="1"/>
  <c r="K675" i="5"/>
  <c r="M675" i="5"/>
  <c r="K676" i="5"/>
  <c r="M676" i="5" s="1"/>
  <c r="K677" i="5"/>
  <c r="M677" i="5" s="1"/>
  <c r="K678" i="5"/>
  <c r="M678" i="5" s="1"/>
  <c r="K679" i="5"/>
  <c r="M679" i="5"/>
  <c r="K680" i="5"/>
  <c r="M680" i="5" s="1"/>
  <c r="K681" i="5"/>
  <c r="M681" i="5"/>
  <c r="K682" i="5"/>
  <c r="M682" i="5" s="1"/>
  <c r="K683" i="5"/>
  <c r="M683" i="5"/>
  <c r="K684" i="5"/>
  <c r="M684" i="5" s="1"/>
  <c r="K685" i="5"/>
  <c r="M685" i="5" s="1"/>
  <c r="K686" i="5"/>
  <c r="M686" i="5" s="1"/>
  <c r="K687" i="5"/>
  <c r="M687" i="5"/>
  <c r="K688" i="5"/>
  <c r="M688" i="5" s="1"/>
  <c r="K689" i="5"/>
  <c r="M689" i="5"/>
  <c r="K690" i="5"/>
  <c r="M690" i="5" s="1"/>
  <c r="K691" i="5"/>
  <c r="M691" i="5"/>
  <c r="K692" i="5"/>
  <c r="M692" i="5" s="1"/>
  <c r="K693" i="5"/>
  <c r="M693" i="5" s="1"/>
  <c r="K694" i="5"/>
  <c r="M694" i="5" s="1"/>
  <c r="K695" i="5"/>
  <c r="M695" i="5"/>
  <c r="K696" i="5"/>
  <c r="M696" i="5" s="1"/>
  <c r="K697" i="5"/>
  <c r="M697" i="5"/>
  <c r="K698" i="5"/>
  <c r="M698" i="5" s="1"/>
  <c r="K699" i="5"/>
  <c r="M699" i="5"/>
  <c r="K700" i="5"/>
  <c r="M700" i="5" s="1"/>
  <c r="K701" i="5"/>
  <c r="M701" i="5" s="1"/>
  <c r="K702" i="5"/>
  <c r="M702" i="5" s="1"/>
  <c r="K703" i="5"/>
  <c r="M703" i="5"/>
  <c r="K704" i="5"/>
  <c r="M704" i="5" s="1"/>
  <c r="K705" i="5"/>
  <c r="M705" i="5"/>
  <c r="K706" i="5"/>
  <c r="M706" i="5" s="1"/>
  <c r="K707" i="5"/>
  <c r="M707" i="5"/>
  <c r="K708" i="5"/>
  <c r="M708" i="5" s="1"/>
  <c r="K709" i="5"/>
  <c r="M709" i="5" s="1"/>
  <c r="K710" i="5"/>
  <c r="M710" i="5" s="1"/>
  <c r="K711" i="5"/>
  <c r="M711" i="5"/>
  <c r="K712" i="5"/>
  <c r="M712" i="5" s="1"/>
  <c r="K713" i="5"/>
  <c r="M713" i="5"/>
  <c r="K714" i="5"/>
  <c r="M714" i="5" s="1"/>
  <c r="K715" i="5"/>
  <c r="M715" i="5"/>
  <c r="K716" i="5"/>
  <c r="M716" i="5" s="1"/>
  <c r="K717" i="5"/>
  <c r="M717" i="5" s="1"/>
  <c r="K718" i="5"/>
  <c r="M718" i="5" s="1"/>
  <c r="K719" i="5"/>
  <c r="M719" i="5"/>
  <c r="K720" i="5"/>
  <c r="M720" i="5" s="1"/>
  <c r="K721" i="5"/>
  <c r="M721" i="5"/>
  <c r="K722" i="5"/>
  <c r="M722" i="5" s="1"/>
  <c r="K723" i="5"/>
  <c r="M723" i="5"/>
  <c r="K724" i="5"/>
  <c r="M724" i="5" s="1"/>
  <c r="K725" i="5"/>
  <c r="M725" i="5" s="1"/>
  <c r="K726" i="5"/>
  <c r="M726" i="5" s="1"/>
  <c r="K727" i="5"/>
  <c r="M727" i="5"/>
  <c r="K728" i="5"/>
  <c r="M728" i="5" s="1"/>
  <c r="K729" i="5"/>
  <c r="M729" i="5"/>
  <c r="K730" i="5"/>
  <c r="M730" i="5" s="1"/>
  <c r="K731" i="5"/>
  <c r="M731" i="5"/>
  <c r="K732" i="5"/>
  <c r="M732" i="5" s="1"/>
  <c r="K733" i="5"/>
  <c r="M733" i="5" s="1"/>
  <c r="K734" i="5"/>
  <c r="M734" i="5" s="1"/>
  <c r="K735" i="5"/>
  <c r="M735" i="5"/>
  <c r="K736" i="5"/>
  <c r="M736" i="5" s="1"/>
  <c r="K737" i="5"/>
  <c r="M737" i="5"/>
  <c r="K738" i="5"/>
  <c r="M738" i="5" s="1"/>
  <c r="K739" i="5"/>
  <c r="M739" i="5"/>
  <c r="K740" i="5"/>
  <c r="M740" i="5" s="1"/>
  <c r="K741" i="5"/>
  <c r="M741" i="5" s="1"/>
  <c r="K742" i="5"/>
  <c r="M742" i="5" s="1"/>
  <c r="K743" i="5"/>
  <c r="M743" i="5"/>
  <c r="K744" i="5"/>
  <c r="M744" i="5" s="1"/>
  <c r="K745" i="5"/>
  <c r="M745" i="5"/>
  <c r="K746" i="5"/>
  <c r="M746" i="5" s="1"/>
  <c r="K747" i="5"/>
  <c r="M747" i="5"/>
  <c r="K748" i="5"/>
  <c r="M748" i="5" s="1"/>
  <c r="K749" i="5"/>
  <c r="M749" i="5" s="1"/>
  <c r="K750" i="5"/>
  <c r="M750" i="5" s="1"/>
  <c r="K751" i="5"/>
  <c r="M751" i="5"/>
  <c r="K752" i="5"/>
  <c r="M752" i="5" s="1"/>
  <c r="K753" i="5"/>
  <c r="M753" i="5"/>
  <c r="K754" i="5"/>
  <c r="M754" i="5" s="1"/>
  <c r="K755" i="5"/>
  <c r="M755" i="5"/>
  <c r="K756" i="5"/>
  <c r="M756" i="5" s="1"/>
  <c r="K757" i="5"/>
  <c r="M757" i="5" s="1"/>
  <c r="K758" i="5"/>
  <c r="M758" i="5" s="1"/>
  <c r="K759" i="5"/>
  <c r="M759" i="5"/>
  <c r="K760" i="5"/>
  <c r="M760" i="5" s="1"/>
  <c r="K761" i="5"/>
  <c r="M761" i="5"/>
  <c r="K762" i="5"/>
  <c r="M762" i="5" s="1"/>
  <c r="K763" i="5"/>
  <c r="M763" i="5"/>
  <c r="K764" i="5"/>
  <c r="M764" i="5" s="1"/>
  <c r="K765" i="5"/>
  <c r="M765" i="5" s="1"/>
  <c r="K766" i="5"/>
  <c r="M766" i="5" s="1"/>
  <c r="K767" i="5"/>
  <c r="M767" i="5"/>
  <c r="K768" i="5"/>
  <c r="M768" i="5" s="1"/>
  <c r="K769" i="5"/>
  <c r="M769" i="5"/>
  <c r="K770" i="5"/>
  <c r="M770" i="5" s="1"/>
  <c r="K771" i="5"/>
  <c r="M771" i="5"/>
  <c r="K772" i="5"/>
  <c r="M772" i="5" s="1"/>
  <c r="K773" i="5"/>
  <c r="M773" i="5" s="1"/>
  <c r="K774" i="5"/>
  <c r="M774" i="5" s="1"/>
  <c r="K775" i="5"/>
  <c r="M775" i="5"/>
  <c r="K776" i="5"/>
  <c r="M776" i="5" s="1"/>
  <c r="K777" i="5"/>
  <c r="M777" i="5"/>
  <c r="K778" i="5"/>
  <c r="M778" i="5" s="1"/>
  <c r="K779" i="5"/>
  <c r="M779" i="5"/>
  <c r="K780" i="5"/>
  <c r="M780" i="5" s="1"/>
  <c r="K781" i="5"/>
  <c r="M781" i="5" s="1"/>
  <c r="K782" i="5"/>
  <c r="M782" i="5" s="1"/>
  <c r="K783" i="5"/>
  <c r="M783" i="5"/>
  <c r="K784" i="5"/>
  <c r="M784" i="5" s="1"/>
  <c r="K785" i="5"/>
  <c r="M785" i="5"/>
  <c r="K786" i="5"/>
  <c r="M786" i="5" s="1"/>
  <c r="K787" i="5"/>
  <c r="M787" i="5"/>
  <c r="K788" i="5"/>
  <c r="M788" i="5" s="1"/>
  <c r="K789" i="5"/>
  <c r="M789" i="5" s="1"/>
  <c r="K790" i="5"/>
  <c r="M790" i="5" s="1"/>
  <c r="K791" i="5"/>
  <c r="M791" i="5"/>
  <c r="K792" i="5"/>
  <c r="M792" i="5" s="1"/>
  <c r="K793" i="5"/>
  <c r="M793" i="5"/>
  <c r="K794" i="5"/>
  <c r="M794" i="5" s="1"/>
  <c r="K795" i="5"/>
  <c r="M795" i="5"/>
  <c r="K796" i="5"/>
  <c r="M796" i="5" s="1"/>
  <c r="K797" i="5"/>
  <c r="M797" i="5" s="1"/>
  <c r="K798" i="5"/>
  <c r="M798" i="5" s="1"/>
  <c r="K799" i="5"/>
  <c r="M799" i="5"/>
  <c r="K800" i="5"/>
  <c r="M800" i="5" s="1"/>
  <c r="K801" i="5"/>
  <c r="M801" i="5"/>
  <c r="K802" i="5"/>
  <c r="M802" i="5" s="1"/>
  <c r="K803" i="5"/>
  <c r="M803" i="5"/>
  <c r="K804" i="5"/>
  <c r="M804" i="5" s="1"/>
  <c r="K805" i="5"/>
  <c r="M805" i="5" s="1"/>
  <c r="K806" i="5"/>
  <c r="M806" i="5" s="1"/>
  <c r="K807" i="5"/>
  <c r="M807" i="5"/>
  <c r="K808" i="5"/>
  <c r="M808" i="5" s="1"/>
  <c r="K809" i="5"/>
  <c r="M809" i="5"/>
  <c r="K810" i="5"/>
  <c r="M810" i="5" s="1"/>
  <c r="K811" i="5"/>
  <c r="M811" i="5"/>
  <c r="K812" i="5"/>
  <c r="M812" i="5" s="1"/>
  <c r="K813" i="5"/>
  <c r="M813" i="5" s="1"/>
  <c r="K814" i="5"/>
  <c r="M814" i="5" s="1"/>
  <c r="K815" i="5"/>
  <c r="M815" i="5"/>
  <c r="K816" i="5"/>
  <c r="M816" i="5" s="1"/>
  <c r="K817" i="5"/>
  <c r="M817" i="5"/>
  <c r="K818" i="5"/>
  <c r="M818" i="5" s="1"/>
  <c r="K819" i="5"/>
  <c r="M819" i="5"/>
  <c r="K820" i="5"/>
  <c r="M820" i="5" s="1"/>
  <c r="K821" i="5"/>
  <c r="M821" i="5" s="1"/>
  <c r="K822" i="5"/>
  <c r="M822" i="5" s="1"/>
  <c r="K823" i="5"/>
  <c r="M823" i="5"/>
  <c r="K824" i="5"/>
  <c r="M824" i="5" s="1"/>
  <c r="K825" i="5"/>
  <c r="M825" i="5"/>
  <c r="K826" i="5"/>
  <c r="M826" i="5" s="1"/>
  <c r="K827" i="5"/>
  <c r="M827" i="5"/>
  <c r="K828" i="5"/>
  <c r="M828" i="5" s="1"/>
  <c r="K829" i="5"/>
  <c r="M829" i="5" s="1"/>
  <c r="K830" i="5"/>
  <c r="M830" i="5" s="1"/>
  <c r="K831" i="5"/>
  <c r="M831" i="5"/>
  <c r="K832" i="5"/>
  <c r="M832" i="5" s="1"/>
  <c r="K833" i="5"/>
  <c r="M833" i="5"/>
  <c r="K834" i="5"/>
  <c r="M834" i="5" s="1"/>
  <c r="K835" i="5"/>
  <c r="M835" i="5"/>
  <c r="K836" i="5"/>
  <c r="M836" i="5" s="1"/>
  <c r="K837" i="5"/>
  <c r="M837" i="5" s="1"/>
  <c r="K838" i="5"/>
  <c r="M838" i="5" s="1"/>
  <c r="K839" i="5"/>
  <c r="M839" i="5"/>
  <c r="K840" i="5"/>
  <c r="M840" i="5" s="1"/>
  <c r="K841" i="5"/>
  <c r="M841" i="5"/>
  <c r="K842" i="5"/>
  <c r="M842" i="5" s="1"/>
  <c r="K843" i="5"/>
  <c r="M843" i="5"/>
  <c r="K844" i="5"/>
  <c r="M844" i="5" s="1"/>
  <c r="K845" i="5"/>
  <c r="M845" i="5" s="1"/>
  <c r="K846" i="5"/>
  <c r="M846" i="5" s="1"/>
  <c r="K847" i="5"/>
  <c r="M847" i="5"/>
  <c r="K848" i="5"/>
  <c r="M848" i="5" s="1"/>
  <c r="K849" i="5"/>
  <c r="M849" i="5"/>
  <c r="K850" i="5"/>
  <c r="M850" i="5" s="1"/>
  <c r="K851" i="5"/>
  <c r="M851" i="5"/>
  <c r="K852" i="5"/>
  <c r="M852" i="5" s="1"/>
  <c r="K853" i="5"/>
  <c r="M853" i="5" s="1"/>
  <c r="K854" i="5"/>
  <c r="M854" i="5" s="1"/>
  <c r="K855" i="5"/>
  <c r="M855" i="5"/>
  <c r="K856" i="5"/>
  <c r="M856" i="5" s="1"/>
  <c r="K857" i="5"/>
  <c r="M857" i="5"/>
  <c r="K858" i="5"/>
  <c r="M858" i="5" s="1"/>
  <c r="K859" i="5"/>
  <c r="M859" i="5"/>
  <c r="K860" i="5"/>
  <c r="M860" i="5" s="1"/>
  <c r="K861" i="5"/>
  <c r="M861" i="5" s="1"/>
  <c r="K862" i="5"/>
  <c r="M862" i="5" s="1"/>
  <c r="K863" i="5"/>
  <c r="M863" i="5"/>
  <c r="K864" i="5"/>
  <c r="M864" i="5" s="1"/>
  <c r="K865" i="5"/>
  <c r="M865" i="5"/>
  <c r="K866" i="5"/>
  <c r="M866" i="5" s="1"/>
  <c r="K867" i="5"/>
  <c r="M867" i="5"/>
  <c r="K868" i="5"/>
  <c r="M868" i="5" s="1"/>
  <c r="K869" i="5"/>
  <c r="M869" i="5" s="1"/>
  <c r="K870" i="5"/>
  <c r="M870" i="5" s="1"/>
  <c r="K871" i="5"/>
  <c r="M871" i="5"/>
  <c r="K872" i="5"/>
  <c r="M872" i="5" s="1"/>
  <c r="K873" i="5"/>
  <c r="M873" i="5"/>
  <c r="K874" i="5"/>
  <c r="M874" i="5" s="1"/>
  <c r="K875" i="5"/>
  <c r="M875" i="5"/>
  <c r="K876" i="5"/>
  <c r="M876" i="5" s="1"/>
  <c r="K877" i="5"/>
  <c r="M877" i="5" s="1"/>
  <c r="K878" i="5"/>
  <c r="M878" i="5" s="1"/>
  <c r="K879" i="5"/>
  <c r="M879" i="5"/>
  <c r="K880" i="5"/>
  <c r="M880" i="5" s="1"/>
  <c r="K881" i="5"/>
  <c r="M881" i="5"/>
  <c r="K882" i="5"/>
  <c r="M882" i="5" s="1"/>
  <c r="K883" i="5"/>
  <c r="M883" i="5"/>
  <c r="K884" i="5"/>
  <c r="M884" i="5" s="1"/>
  <c r="K885" i="5"/>
  <c r="M885" i="5" s="1"/>
  <c r="K886" i="5"/>
  <c r="M886" i="5" s="1"/>
  <c r="K887" i="5"/>
  <c r="M887" i="5"/>
  <c r="K888" i="5"/>
  <c r="M888" i="5" s="1"/>
  <c r="K889" i="5"/>
  <c r="M889" i="5"/>
  <c r="K890" i="5"/>
  <c r="M890" i="5" s="1"/>
  <c r="K891" i="5"/>
  <c r="M891" i="5"/>
  <c r="K892" i="5"/>
  <c r="M892" i="5" s="1"/>
  <c r="K893" i="5"/>
  <c r="M893" i="5" s="1"/>
  <c r="K894" i="5"/>
  <c r="M894" i="5" s="1"/>
  <c r="K895" i="5"/>
  <c r="M895" i="5"/>
  <c r="K896" i="5"/>
  <c r="M896" i="5" s="1"/>
  <c r="K897" i="5"/>
  <c r="M897" i="5"/>
  <c r="K898" i="5"/>
  <c r="M898" i="5" s="1"/>
  <c r="K899" i="5"/>
  <c r="M899" i="5"/>
  <c r="K900" i="5"/>
  <c r="M900" i="5" s="1"/>
  <c r="K901" i="5"/>
  <c r="M901" i="5" s="1"/>
  <c r="K902" i="5"/>
  <c r="M902" i="5" s="1"/>
  <c r="K903" i="5"/>
  <c r="M903" i="5"/>
  <c r="K904" i="5"/>
  <c r="M904" i="5" s="1"/>
  <c r="K905" i="5"/>
  <c r="M905" i="5"/>
  <c r="K906" i="5"/>
  <c r="M906" i="5" s="1"/>
  <c r="K907" i="5"/>
  <c r="M907" i="5"/>
  <c r="K908" i="5"/>
  <c r="M908" i="5" s="1"/>
  <c r="K909" i="5"/>
  <c r="M909" i="5" s="1"/>
  <c r="K910" i="5"/>
  <c r="M910" i="5" s="1"/>
  <c r="K911" i="5"/>
  <c r="M911" i="5"/>
  <c r="K912" i="5"/>
  <c r="M912" i="5" s="1"/>
  <c r="K913" i="5"/>
  <c r="M913" i="5"/>
  <c r="K914" i="5"/>
  <c r="M914" i="5" s="1"/>
  <c r="K915" i="5"/>
  <c r="M915" i="5"/>
  <c r="K916" i="5"/>
  <c r="M916" i="5" s="1"/>
  <c r="K917" i="5"/>
  <c r="M917" i="5" s="1"/>
  <c r="K918" i="5"/>
  <c r="M918" i="5" s="1"/>
  <c r="K919" i="5"/>
  <c r="M919" i="5"/>
  <c r="K920" i="5"/>
  <c r="M920" i="5" s="1"/>
  <c r="K921" i="5"/>
  <c r="M921" i="5"/>
  <c r="K922" i="5"/>
  <c r="M922" i="5" s="1"/>
  <c r="K923" i="5"/>
  <c r="M923" i="5"/>
  <c r="K924" i="5"/>
  <c r="M924" i="5" s="1"/>
  <c r="K925" i="5"/>
  <c r="M925" i="5" s="1"/>
  <c r="K926" i="5"/>
  <c r="M926" i="5" s="1"/>
  <c r="K927" i="5"/>
  <c r="M927" i="5"/>
  <c r="K928" i="5"/>
  <c r="M928" i="5" s="1"/>
  <c r="K929" i="5"/>
  <c r="M929" i="5"/>
  <c r="K930" i="5"/>
  <c r="M930" i="5" s="1"/>
  <c r="K931" i="5"/>
  <c r="M931" i="5"/>
  <c r="K932" i="5"/>
  <c r="M932" i="5" s="1"/>
  <c r="K933" i="5"/>
  <c r="M933" i="5" s="1"/>
  <c r="K934" i="5"/>
  <c r="M934" i="5" s="1"/>
  <c r="K935" i="5"/>
  <c r="M935" i="5"/>
  <c r="K936" i="5"/>
  <c r="M936" i="5" s="1"/>
  <c r="K937" i="5"/>
  <c r="M937" i="5"/>
  <c r="K938" i="5"/>
  <c r="M938" i="5" s="1"/>
  <c r="K939" i="5"/>
  <c r="M939" i="5"/>
  <c r="K940" i="5"/>
  <c r="M940" i="5" s="1"/>
  <c r="K941" i="5"/>
  <c r="M941" i="5" s="1"/>
  <c r="K942" i="5"/>
  <c r="M942" i="5" s="1"/>
  <c r="K943" i="5"/>
  <c r="M943" i="5"/>
  <c r="K944" i="5"/>
  <c r="M944" i="5" s="1"/>
  <c r="K945" i="5"/>
  <c r="M945" i="5"/>
  <c r="K946" i="5"/>
  <c r="M946" i="5" s="1"/>
  <c r="K947" i="5"/>
  <c r="M947" i="5"/>
  <c r="K948" i="5"/>
  <c r="M948" i="5" s="1"/>
  <c r="K949" i="5"/>
  <c r="M949" i="5" s="1"/>
  <c r="K950" i="5"/>
  <c r="M950" i="5" s="1"/>
  <c r="K951" i="5"/>
  <c r="M951" i="5"/>
  <c r="K952" i="5"/>
  <c r="M952" i="5" s="1"/>
  <c r="K953" i="5"/>
  <c r="M953" i="5"/>
  <c r="K954" i="5"/>
  <c r="M954" i="5" s="1"/>
  <c r="K955" i="5"/>
  <c r="M955" i="5"/>
  <c r="K956" i="5"/>
  <c r="M956" i="5" s="1"/>
  <c r="K957" i="5"/>
  <c r="M957" i="5" s="1"/>
  <c r="K958" i="5"/>
  <c r="M958" i="5" s="1"/>
  <c r="K959" i="5"/>
  <c r="M959" i="5"/>
  <c r="K960" i="5"/>
  <c r="M960" i="5" s="1"/>
  <c r="K961" i="5"/>
  <c r="M961" i="5"/>
  <c r="K962" i="5"/>
  <c r="M962" i="5" s="1"/>
  <c r="K963" i="5"/>
  <c r="M963" i="5"/>
  <c r="K964" i="5"/>
  <c r="M964" i="5" s="1"/>
  <c r="K965" i="5"/>
  <c r="M965" i="5" s="1"/>
  <c r="K966" i="5"/>
  <c r="M966" i="5" s="1"/>
  <c r="K967" i="5"/>
  <c r="M967" i="5"/>
  <c r="K968" i="5"/>
  <c r="M968" i="5" s="1"/>
  <c r="K969" i="5"/>
  <c r="M969" i="5"/>
  <c r="K970" i="5"/>
  <c r="M970" i="5" s="1"/>
  <c r="K971" i="5"/>
  <c r="M971" i="5"/>
  <c r="K972" i="5"/>
  <c r="M972" i="5" s="1"/>
  <c r="K973" i="5"/>
  <c r="M973" i="5" s="1"/>
  <c r="K974" i="5"/>
  <c r="M974" i="5" s="1"/>
  <c r="K975" i="5"/>
  <c r="M975" i="5"/>
  <c r="K976" i="5"/>
  <c r="M976" i="5" s="1"/>
  <c r="K977" i="5"/>
  <c r="M977" i="5"/>
  <c r="K978" i="5"/>
  <c r="M978" i="5" s="1"/>
  <c r="K979" i="5"/>
  <c r="M979" i="5"/>
  <c r="K980" i="5"/>
  <c r="M980" i="5" s="1"/>
  <c r="K981" i="5"/>
  <c r="M981" i="5" s="1"/>
  <c r="K982" i="5"/>
  <c r="M982" i="5" s="1"/>
  <c r="K983" i="5"/>
  <c r="M983" i="5"/>
  <c r="K984" i="5"/>
  <c r="M984" i="5" s="1"/>
  <c r="K985" i="5"/>
  <c r="M985" i="5"/>
  <c r="K986" i="5"/>
  <c r="M986" i="5" s="1"/>
  <c r="K987" i="5"/>
  <c r="M987" i="5"/>
  <c r="K988" i="5"/>
  <c r="M988" i="5" s="1"/>
  <c r="K989" i="5"/>
  <c r="M989" i="5" s="1"/>
  <c r="K990" i="5"/>
  <c r="M990" i="5" s="1"/>
  <c r="K991" i="5"/>
  <c r="M991" i="5"/>
  <c r="K992" i="5"/>
  <c r="M992" i="5" s="1"/>
  <c r="K993" i="5"/>
  <c r="M993" i="5"/>
  <c r="K994" i="5"/>
  <c r="M994" i="5" s="1"/>
  <c r="K995" i="5"/>
  <c r="M995" i="5"/>
  <c r="K996" i="5"/>
  <c r="M996" i="5" s="1"/>
  <c r="K997" i="5"/>
  <c r="M997" i="5" s="1"/>
  <c r="K998" i="5"/>
  <c r="M998" i="5" s="1"/>
  <c r="K999" i="5"/>
  <c r="M999" i="5"/>
  <c r="K1000" i="5"/>
  <c r="M1000" i="5" s="1"/>
  <c r="K1001" i="5"/>
  <c r="M1001" i="5"/>
  <c r="K1002" i="5"/>
  <c r="M1002" i="5" s="1"/>
  <c r="K1003" i="5"/>
  <c r="M1003" i="5"/>
  <c r="K1004" i="5"/>
  <c r="M1004" i="5" s="1"/>
  <c r="K1005" i="5"/>
  <c r="M1005" i="5" s="1"/>
  <c r="K1006" i="5"/>
  <c r="M1006" i="5" s="1"/>
  <c r="K1007" i="5"/>
  <c r="M1007" i="5"/>
  <c r="K1008" i="5"/>
  <c r="M1008" i="5" s="1"/>
  <c r="K1009" i="5"/>
  <c r="M1009" i="5"/>
  <c r="K1010" i="5"/>
  <c r="M1010" i="5" s="1"/>
  <c r="K1011" i="5"/>
  <c r="M1011" i="5"/>
  <c r="K1012" i="5"/>
  <c r="M1012" i="5" s="1"/>
  <c r="K1013" i="5"/>
  <c r="M1013" i="5" s="1"/>
  <c r="K1014" i="5"/>
  <c r="M1014" i="5" s="1"/>
  <c r="K1015" i="5"/>
  <c r="M1015" i="5"/>
  <c r="K1016" i="5"/>
  <c r="M1016" i="5" s="1"/>
  <c r="K1017" i="5"/>
  <c r="M1017" i="5"/>
  <c r="K1018" i="5"/>
  <c r="M1018" i="5" s="1"/>
  <c r="K1019" i="5"/>
  <c r="M1019" i="5"/>
  <c r="K1020" i="5"/>
  <c r="M1020" i="5" s="1"/>
  <c r="K1021" i="5"/>
  <c r="M1021" i="5" s="1"/>
  <c r="K1022" i="5"/>
  <c r="M1022" i="5" s="1"/>
  <c r="K1023" i="5"/>
  <c r="M1023" i="5"/>
  <c r="K1024" i="5"/>
  <c r="M1024" i="5" s="1"/>
  <c r="K1025" i="5"/>
  <c r="M1025" i="5"/>
  <c r="K1026" i="5"/>
  <c r="M1026" i="5" s="1"/>
  <c r="K1027" i="5"/>
  <c r="M1027" i="5"/>
  <c r="K1028" i="5"/>
  <c r="M1028" i="5" s="1"/>
  <c r="K1029" i="5"/>
  <c r="M1029" i="5" s="1"/>
  <c r="K1030" i="5"/>
  <c r="M1030" i="5" s="1"/>
  <c r="K1031" i="5"/>
  <c r="M1031" i="5"/>
  <c r="K1032" i="5"/>
  <c r="M1032" i="5" s="1"/>
  <c r="K1033" i="5"/>
  <c r="M1033" i="5"/>
  <c r="K1034" i="5"/>
  <c r="M1034" i="5" s="1"/>
  <c r="K1035" i="5"/>
  <c r="M1035" i="5"/>
  <c r="K1036" i="5"/>
  <c r="M1036" i="5" s="1"/>
  <c r="K1037" i="5"/>
  <c r="M1037" i="5" s="1"/>
  <c r="K1038" i="5"/>
  <c r="M1038" i="5" s="1"/>
  <c r="K1039" i="5"/>
  <c r="M1039" i="5"/>
  <c r="K1040" i="5"/>
  <c r="M1040" i="5" s="1"/>
  <c r="K1041" i="5"/>
  <c r="M1041" i="5"/>
  <c r="K1042" i="5"/>
  <c r="M1042" i="5" s="1"/>
  <c r="K1043" i="5"/>
  <c r="M1043" i="5"/>
  <c r="K1044" i="5"/>
  <c r="M1044" i="5" s="1"/>
  <c r="K1045" i="5"/>
  <c r="M1045" i="5" s="1"/>
  <c r="K1046" i="5"/>
  <c r="M1046" i="5" s="1"/>
  <c r="K1047" i="5"/>
  <c r="M1047" i="5"/>
  <c r="K1048" i="5"/>
  <c r="M1048" i="5" s="1"/>
  <c r="K1049" i="5"/>
  <c r="M1049" i="5"/>
  <c r="K1050" i="5"/>
  <c r="M1050" i="5" s="1"/>
  <c r="K1051" i="5"/>
  <c r="M1051" i="5"/>
  <c r="K1052" i="5"/>
  <c r="M1052" i="5" s="1"/>
  <c r="K1053" i="5"/>
  <c r="M1053" i="5" s="1"/>
  <c r="K1054" i="5"/>
  <c r="M1054" i="5" s="1"/>
  <c r="K1055" i="5"/>
  <c r="M1055" i="5"/>
  <c r="K1056" i="5"/>
  <c r="M1056" i="5" s="1"/>
  <c r="K1057" i="5"/>
  <c r="M1057" i="5"/>
  <c r="K1058" i="5"/>
  <c r="M1058" i="5" s="1"/>
  <c r="K1059" i="5"/>
  <c r="M1059" i="5"/>
  <c r="K1060" i="5"/>
  <c r="M1060" i="5" s="1"/>
  <c r="K1061" i="5"/>
  <c r="M1061" i="5" s="1"/>
  <c r="K1062" i="5"/>
  <c r="M1062" i="5" s="1"/>
  <c r="K1063" i="5"/>
  <c r="M1063" i="5"/>
  <c r="K1064" i="5"/>
  <c r="M1064" i="5" s="1"/>
  <c r="K1065" i="5"/>
  <c r="M1065" i="5"/>
  <c r="K1066" i="5"/>
  <c r="M1066" i="5" s="1"/>
  <c r="K1067" i="5"/>
  <c r="M1067" i="5"/>
  <c r="K1068" i="5"/>
  <c r="M1068" i="5" s="1"/>
  <c r="K1069" i="5"/>
  <c r="M1069" i="5" s="1"/>
  <c r="K1070" i="5"/>
  <c r="M1070" i="5" s="1"/>
  <c r="K1071" i="5"/>
  <c r="M1071" i="5"/>
  <c r="K1072" i="5"/>
  <c r="M1072" i="5" s="1"/>
  <c r="K1073" i="5"/>
  <c r="M1073" i="5"/>
  <c r="K1074" i="5"/>
  <c r="M1074" i="5" s="1"/>
  <c r="K1075" i="5"/>
  <c r="M1075" i="5"/>
  <c r="K1076" i="5"/>
  <c r="M1076" i="5" s="1"/>
  <c r="K1077" i="5"/>
  <c r="M1077" i="5" s="1"/>
  <c r="K1078" i="5"/>
  <c r="M1078" i="5" s="1"/>
  <c r="K1079" i="5"/>
  <c r="M1079" i="5"/>
  <c r="K1080" i="5"/>
  <c r="M1080" i="5" s="1"/>
  <c r="K1081" i="5"/>
  <c r="M1081" i="5"/>
  <c r="K1082" i="5"/>
  <c r="M1082" i="5" s="1"/>
  <c r="K1083" i="5"/>
  <c r="M1083" i="5"/>
  <c r="K1084" i="5"/>
  <c r="M1084" i="5" s="1"/>
  <c r="K1085" i="5"/>
  <c r="M1085" i="5" s="1"/>
  <c r="K1086" i="5"/>
  <c r="M1086" i="5" s="1"/>
  <c r="K1087" i="5"/>
  <c r="M1087" i="5"/>
  <c r="K1088" i="5"/>
  <c r="M1088" i="5" s="1"/>
  <c r="K1089" i="5"/>
  <c r="M1089" i="5"/>
  <c r="K1090" i="5"/>
  <c r="M1090" i="5" s="1"/>
  <c r="K1091" i="5"/>
  <c r="M1091" i="5"/>
  <c r="K1092" i="5"/>
  <c r="M1092" i="5" s="1"/>
  <c r="K1093" i="5"/>
  <c r="M1093" i="5" s="1"/>
  <c r="K1094" i="5"/>
  <c r="M1094" i="5" s="1"/>
  <c r="K1095" i="5"/>
  <c r="M1095" i="5"/>
  <c r="K1096" i="5"/>
  <c r="M1096" i="5" s="1"/>
  <c r="K1097" i="5"/>
  <c r="M1097" i="5"/>
  <c r="K1098" i="5"/>
  <c r="M1098" i="5" s="1"/>
  <c r="K1099" i="5"/>
  <c r="M1099" i="5"/>
  <c r="K1100" i="5"/>
  <c r="M1100" i="5" s="1"/>
  <c r="K1101" i="5"/>
  <c r="M1101" i="5" s="1"/>
  <c r="K1102" i="5"/>
  <c r="M1102" i="5" s="1"/>
  <c r="K1103" i="5"/>
  <c r="M1103" i="5"/>
  <c r="K1104" i="5"/>
  <c r="M1104" i="5" s="1"/>
  <c r="K1105" i="5"/>
  <c r="M1105" i="5"/>
  <c r="K1106" i="5"/>
  <c r="M1106" i="5" s="1"/>
  <c r="K1107" i="5"/>
  <c r="M1107" i="5"/>
  <c r="K1108" i="5"/>
  <c r="M1108" i="5" s="1"/>
  <c r="K1109" i="5"/>
  <c r="M1109" i="5" s="1"/>
  <c r="K1110" i="5"/>
  <c r="M1110" i="5" s="1"/>
  <c r="K1111" i="5"/>
  <c r="M1111" i="5"/>
  <c r="K1112" i="5"/>
  <c r="M1112" i="5" s="1"/>
  <c r="K1113" i="5"/>
  <c r="M1113" i="5"/>
  <c r="K1114" i="5"/>
  <c r="M1114" i="5" s="1"/>
  <c r="K1115" i="5"/>
  <c r="M1115" i="5"/>
  <c r="K1116" i="5"/>
  <c r="M1116" i="5" s="1"/>
  <c r="K1117" i="5"/>
  <c r="M1117" i="5" s="1"/>
  <c r="K1118" i="5"/>
  <c r="M1118" i="5" s="1"/>
  <c r="K1119" i="5"/>
  <c r="M1119" i="5"/>
  <c r="K1120" i="5"/>
  <c r="M1120" i="5" s="1"/>
  <c r="K1121" i="5"/>
  <c r="M1121" i="5"/>
  <c r="K1122" i="5"/>
  <c r="M1122" i="5" s="1"/>
  <c r="K1123" i="5"/>
  <c r="M1123" i="5"/>
  <c r="K1124" i="5"/>
  <c r="M1124" i="5" s="1"/>
  <c r="K1125" i="5"/>
  <c r="M1125" i="5" s="1"/>
  <c r="K1126" i="5"/>
  <c r="M1126" i="5" s="1"/>
  <c r="K1127" i="5"/>
  <c r="M1127" i="5"/>
  <c r="K1128" i="5"/>
  <c r="M1128" i="5" s="1"/>
  <c r="K1129" i="5"/>
  <c r="M1129" i="5"/>
  <c r="K1130" i="5"/>
  <c r="M1130" i="5" s="1"/>
  <c r="K1131" i="5"/>
  <c r="M1131" i="5"/>
  <c r="K1132" i="5"/>
  <c r="M1132" i="5" s="1"/>
  <c r="K1133" i="5"/>
  <c r="M1133" i="5" s="1"/>
  <c r="K1134" i="5"/>
  <c r="M1134" i="5" s="1"/>
  <c r="K1135" i="5"/>
  <c r="M1135" i="5"/>
  <c r="K1136" i="5"/>
  <c r="M1136" i="5" s="1"/>
  <c r="K1137" i="5"/>
  <c r="M1137" i="5"/>
  <c r="K1138" i="5"/>
  <c r="M1138" i="5" s="1"/>
  <c r="K1139" i="5"/>
  <c r="M1139" i="5"/>
  <c r="K1140" i="5"/>
  <c r="M1140" i="5" s="1"/>
  <c r="K1141" i="5"/>
  <c r="M1141" i="5" s="1"/>
  <c r="K1142" i="5"/>
  <c r="M1142" i="5" s="1"/>
  <c r="K1143" i="5"/>
  <c r="M1143" i="5"/>
  <c r="K1144" i="5"/>
  <c r="M1144" i="5" s="1"/>
  <c r="K1145" i="5"/>
  <c r="M1145" i="5"/>
  <c r="K1146" i="5"/>
  <c r="M1146" i="5" s="1"/>
  <c r="K1147" i="5"/>
  <c r="M1147" i="5"/>
  <c r="K1148" i="5"/>
  <c r="M1148" i="5" s="1"/>
  <c r="K1149" i="5"/>
  <c r="M1149" i="5" s="1"/>
  <c r="K1150" i="5"/>
  <c r="M1150" i="5" s="1"/>
  <c r="K1151" i="5"/>
  <c r="M1151" i="5"/>
  <c r="K1152" i="5"/>
  <c r="M1152" i="5" s="1"/>
  <c r="K1153" i="5"/>
  <c r="M1153" i="5"/>
  <c r="K1154" i="5"/>
  <c r="M1154" i="5" s="1"/>
  <c r="K1155" i="5"/>
  <c r="M1155" i="5"/>
  <c r="K1156" i="5"/>
  <c r="M1156" i="5" s="1"/>
  <c r="K1157" i="5"/>
  <c r="M1157" i="5" s="1"/>
  <c r="K1158" i="5"/>
  <c r="M1158" i="5" s="1"/>
  <c r="K1159" i="5"/>
  <c r="M1159" i="5"/>
  <c r="K1160" i="5"/>
  <c r="M1160" i="5" s="1"/>
  <c r="K1161" i="5"/>
  <c r="M1161" i="5"/>
  <c r="K1162" i="5"/>
  <c r="M1162" i="5" s="1"/>
  <c r="K1163" i="5"/>
  <c r="M1163" i="5"/>
  <c r="K1164" i="5"/>
  <c r="M1164" i="5" s="1"/>
  <c r="K1165" i="5"/>
  <c r="M1165" i="5" s="1"/>
  <c r="K1166" i="5"/>
  <c r="M1166" i="5" s="1"/>
  <c r="K1167" i="5"/>
  <c r="M1167" i="5"/>
  <c r="K1168" i="5"/>
  <c r="M1168" i="5" s="1"/>
  <c r="K1169" i="5"/>
  <c r="M1169" i="5"/>
  <c r="K1170" i="5"/>
  <c r="M1170" i="5" s="1"/>
  <c r="K1171" i="5"/>
  <c r="M1171" i="5"/>
  <c r="K1172" i="5"/>
  <c r="M1172" i="5" s="1"/>
  <c r="K1173" i="5"/>
  <c r="M1173" i="5" s="1"/>
  <c r="K1174" i="5"/>
  <c r="M1174" i="5" s="1"/>
  <c r="K1175" i="5"/>
  <c r="M1175" i="5"/>
  <c r="K1176" i="5"/>
  <c r="M1176" i="5" s="1"/>
  <c r="K1177" i="5"/>
  <c r="M1177" i="5"/>
  <c r="K1178" i="5"/>
  <c r="M1178" i="5" s="1"/>
  <c r="K1179" i="5"/>
  <c r="M1179" i="5"/>
  <c r="K1180" i="5"/>
  <c r="M1180" i="5" s="1"/>
  <c r="K1181" i="5"/>
  <c r="M1181" i="5" s="1"/>
  <c r="K1182" i="5"/>
  <c r="M1182" i="5" s="1"/>
  <c r="K1183" i="5"/>
  <c r="M1183" i="5"/>
  <c r="K1184" i="5"/>
  <c r="M1184" i="5" s="1"/>
  <c r="K1185" i="5"/>
  <c r="M1185" i="5"/>
  <c r="K1186" i="5"/>
  <c r="M1186" i="5" s="1"/>
  <c r="K1187" i="5"/>
  <c r="M1187" i="5"/>
  <c r="K1188" i="5"/>
  <c r="M1188" i="5" s="1"/>
  <c r="K1189" i="5"/>
  <c r="M1189" i="5" s="1"/>
  <c r="K1190" i="5"/>
  <c r="M1190" i="5" s="1"/>
  <c r="K1191" i="5"/>
  <c r="M1191" i="5"/>
  <c r="K1192" i="5"/>
  <c r="M1192" i="5" s="1"/>
  <c r="K1193" i="5"/>
  <c r="M1193" i="5"/>
  <c r="K1194" i="5"/>
  <c r="M1194" i="5" s="1"/>
  <c r="K1195" i="5"/>
  <c r="M1195" i="5"/>
  <c r="K1196" i="5"/>
  <c r="M1196" i="5" s="1"/>
  <c r="K1197" i="5"/>
  <c r="M1197" i="5" s="1"/>
  <c r="K1198" i="5"/>
  <c r="M1198" i="5" s="1"/>
  <c r="K1199" i="5"/>
  <c r="M1199" i="5"/>
  <c r="K1200" i="5"/>
  <c r="M1200" i="5" s="1"/>
  <c r="K1201" i="5"/>
  <c r="M1201" i="5"/>
  <c r="K1202" i="5"/>
  <c r="M1202" i="5" s="1"/>
  <c r="K1203" i="5"/>
  <c r="M1203" i="5"/>
  <c r="K1204" i="5"/>
  <c r="M1204" i="5" s="1"/>
  <c r="K1205" i="5"/>
  <c r="M1205" i="5" s="1"/>
  <c r="K45" i="5"/>
  <c r="M45" i="5" s="1"/>
  <c r="L45" i="5"/>
  <c r="K46" i="5"/>
  <c r="M46" i="5" s="1"/>
  <c r="L46" i="5"/>
  <c r="K47" i="5"/>
  <c r="M47" i="5"/>
  <c r="L47" i="5"/>
  <c r="K48" i="5"/>
  <c r="M48" i="5" s="1"/>
  <c r="L48" i="5"/>
  <c r="K49" i="5"/>
  <c r="M49" i="5" s="1"/>
  <c r="L49" i="5"/>
  <c r="K50" i="5"/>
  <c r="M50" i="5" s="1"/>
  <c r="L50" i="5"/>
  <c r="K51" i="5"/>
  <c r="M51" i="5"/>
  <c r="L51" i="5"/>
  <c r="K52" i="5"/>
  <c r="M52" i="5" s="1"/>
  <c r="L52" i="5"/>
  <c r="K53" i="5"/>
  <c r="M53" i="5" s="1"/>
  <c r="L53" i="5"/>
  <c r="K54" i="5"/>
  <c r="M54" i="5" s="1"/>
  <c r="L54" i="5"/>
  <c r="K55" i="5"/>
  <c r="M55" i="5" s="1"/>
  <c r="L55" i="5"/>
  <c r="K56" i="5"/>
  <c r="M56" i="5" s="1"/>
  <c r="L56" i="5"/>
  <c r="K57" i="5"/>
  <c r="M57" i="5" s="1"/>
  <c r="L57" i="5"/>
  <c r="K58" i="5"/>
  <c r="M58" i="5" s="1"/>
  <c r="L58" i="5"/>
  <c r="K59" i="5"/>
  <c r="M59" i="5"/>
  <c r="L59" i="5"/>
  <c r="K60" i="5"/>
  <c r="M60" i="5" s="1"/>
  <c r="L60" i="5"/>
  <c r="K61" i="5"/>
  <c r="M61" i="5" s="1"/>
  <c r="L61" i="5"/>
  <c r="K62" i="5"/>
  <c r="M62" i="5" s="1"/>
  <c r="L62" i="5"/>
  <c r="K63" i="5"/>
  <c r="M63" i="5"/>
  <c r="L63" i="5"/>
  <c r="K64" i="5"/>
  <c r="M64" i="5" s="1"/>
  <c r="L64" i="5"/>
  <c r="K65" i="5"/>
  <c r="M65" i="5" s="1"/>
  <c r="L65" i="5"/>
  <c r="K66" i="5"/>
  <c r="M66" i="5" s="1"/>
  <c r="L66" i="5"/>
  <c r="K67" i="5"/>
  <c r="M67" i="5"/>
  <c r="L67" i="5"/>
  <c r="K68" i="5"/>
  <c r="M68" i="5" s="1"/>
  <c r="L68" i="5"/>
  <c r="K69" i="5"/>
  <c r="M69" i="5" s="1"/>
  <c r="L69" i="5"/>
  <c r="K70" i="5"/>
  <c r="M70" i="5" s="1"/>
  <c r="L70" i="5"/>
  <c r="K71" i="5"/>
  <c r="M71" i="5" s="1"/>
  <c r="L71" i="5"/>
  <c r="K72" i="5"/>
  <c r="M72" i="5" s="1"/>
  <c r="L72" i="5"/>
  <c r="K73" i="5"/>
  <c r="M73" i="5" s="1"/>
  <c r="L73" i="5"/>
  <c r="K74" i="5"/>
  <c r="M74" i="5" s="1"/>
  <c r="L74" i="5"/>
  <c r="K75" i="5"/>
  <c r="M75" i="5"/>
  <c r="L75" i="5"/>
  <c r="K76" i="5"/>
  <c r="M76" i="5" s="1"/>
  <c r="L76" i="5"/>
  <c r="K77" i="5"/>
  <c r="M77" i="5" s="1"/>
  <c r="L77" i="5"/>
  <c r="K78" i="5"/>
  <c r="M78" i="5" s="1"/>
  <c r="L78" i="5"/>
  <c r="K79" i="5"/>
  <c r="M79" i="5"/>
  <c r="L79" i="5"/>
  <c r="K80" i="5"/>
  <c r="M80" i="5" s="1"/>
  <c r="L80" i="5"/>
  <c r="K81" i="5"/>
  <c r="M81" i="5" s="1"/>
  <c r="L81" i="5"/>
  <c r="K82" i="5"/>
  <c r="M82" i="5" s="1"/>
  <c r="L82" i="5"/>
  <c r="K83" i="5"/>
  <c r="M83" i="5"/>
  <c r="L83" i="5"/>
  <c r="K84" i="5"/>
  <c r="M84" i="5" s="1"/>
  <c r="L84" i="5"/>
  <c r="K85" i="5"/>
  <c r="M85" i="5" s="1"/>
  <c r="L85" i="5"/>
  <c r="K86" i="5"/>
  <c r="M86" i="5" s="1"/>
  <c r="L86" i="5"/>
  <c r="K87" i="5"/>
  <c r="M87" i="5" s="1"/>
  <c r="L87" i="5"/>
  <c r="K88" i="5"/>
  <c r="M88" i="5" s="1"/>
  <c r="L88" i="5"/>
  <c r="K89" i="5"/>
  <c r="M89" i="5" s="1"/>
  <c r="L89" i="5"/>
  <c r="K90" i="5"/>
  <c r="M90" i="5" s="1"/>
  <c r="L90" i="5"/>
  <c r="K91" i="5"/>
  <c r="M91" i="5"/>
  <c r="L91" i="5"/>
  <c r="K92" i="5"/>
  <c r="M92" i="5" s="1"/>
  <c r="L92" i="5"/>
  <c r="K93" i="5"/>
  <c r="M93" i="5" s="1"/>
  <c r="L93" i="5"/>
  <c r="K94" i="5"/>
  <c r="M94" i="5" s="1"/>
  <c r="L94" i="5"/>
  <c r="K95" i="5"/>
  <c r="M95" i="5"/>
  <c r="L95" i="5"/>
  <c r="K96" i="5"/>
  <c r="M96" i="5" s="1"/>
  <c r="L96" i="5"/>
  <c r="K97" i="5"/>
  <c r="M97" i="5" s="1"/>
  <c r="L97" i="5"/>
  <c r="K98" i="5"/>
  <c r="M98" i="5" s="1"/>
  <c r="L98" i="5"/>
  <c r="K99" i="5"/>
  <c r="M99" i="5"/>
  <c r="L99" i="5"/>
  <c r="K100" i="5"/>
  <c r="M100" i="5" s="1"/>
  <c r="L100" i="5"/>
  <c r="K101" i="5"/>
  <c r="M101" i="5" s="1"/>
  <c r="L101" i="5"/>
  <c r="K102" i="5"/>
  <c r="M102" i="5" s="1"/>
  <c r="L102" i="5"/>
  <c r="K103" i="5"/>
  <c r="M103" i="5" s="1"/>
  <c r="L103" i="5"/>
  <c r="K104" i="5"/>
  <c r="M104" i="5" s="1"/>
  <c r="L104" i="5"/>
  <c r="K105" i="5"/>
  <c r="M105" i="5" s="1"/>
  <c r="L105" i="5"/>
  <c r="K106" i="5"/>
  <c r="M106" i="5" s="1"/>
  <c r="L106" i="5"/>
  <c r="K107" i="5"/>
  <c r="M107" i="5"/>
  <c r="L107" i="5"/>
  <c r="K108" i="5"/>
  <c r="M108" i="5" s="1"/>
  <c r="L108" i="5"/>
  <c r="K109" i="5"/>
  <c r="M109" i="5" s="1"/>
  <c r="L109" i="5"/>
  <c r="K110" i="5"/>
  <c r="M110" i="5" s="1"/>
  <c r="L110" i="5"/>
  <c r="K111" i="5"/>
  <c r="M111" i="5"/>
  <c r="L111" i="5"/>
  <c r="K112" i="5"/>
  <c r="M112" i="5" s="1"/>
  <c r="L112" i="5"/>
  <c r="K113" i="5"/>
  <c r="M113" i="5" s="1"/>
  <c r="L113" i="5"/>
  <c r="K114" i="5"/>
  <c r="M114" i="5" s="1"/>
  <c r="L114" i="5"/>
  <c r="K115" i="5"/>
  <c r="M115" i="5"/>
  <c r="L115" i="5"/>
  <c r="K116" i="5"/>
  <c r="M116" i="5" s="1"/>
  <c r="L116" i="5"/>
  <c r="K117" i="5"/>
  <c r="M117" i="5" s="1"/>
  <c r="L117" i="5"/>
  <c r="K118" i="5"/>
  <c r="M118" i="5" s="1"/>
  <c r="L118" i="5"/>
  <c r="K119" i="5"/>
  <c r="M119" i="5" s="1"/>
  <c r="L119" i="5"/>
  <c r="K120" i="5"/>
  <c r="M120" i="5" s="1"/>
  <c r="L120" i="5"/>
  <c r="K121" i="5"/>
  <c r="M121" i="5" s="1"/>
  <c r="L121" i="5"/>
  <c r="K122" i="5"/>
  <c r="M122" i="5" s="1"/>
  <c r="L122" i="5"/>
  <c r="K123" i="5"/>
  <c r="M123" i="5"/>
  <c r="L123" i="5"/>
  <c r="K124" i="5"/>
  <c r="M124" i="5" s="1"/>
  <c r="L124" i="5"/>
  <c r="K125" i="5"/>
  <c r="M125" i="5" s="1"/>
  <c r="L125" i="5"/>
  <c r="K126" i="5"/>
  <c r="M126" i="5" s="1"/>
  <c r="L126" i="5"/>
  <c r="K127" i="5"/>
  <c r="M127" i="5"/>
  <c r="L127" i="5"/>
  <c r="K128" i="5"/>
  <c r="M128" i="5" s="1"/>
  <c r="L128" i="5"/>
  <c r="K129" i="5"/>
  <c r="M129" i="5" s="1"/>
  <c r="L129" i="5"/>
  <c r="K130" i="5"/>
  <c r="M130" i="5" s="1"/>
  <c r="L130" i="5"/>
  <c r="K131" i="5"/>
  <c r="M131" i="5"/>
  <c r="L131" i="5"/>
  <c r="K132" i="5"/>
  <c r="M132" i="5" s="1"/>
  <c r="L132" i="5"/>
  <c r="K133" i="5"/>
  <c r="M133" i="5" s="1"/>
  <c r="L133" i="5"/>
  <c r="K134" i="5"/>
  <c r="M134" i="5" s="1"/>
  <c r="L134" i="5"/>
  <c r="K135" i="5"/>
  <c r="M135" i="5" s="1"/>
  <c r="L135" i="5"/>
  <c r="K136" i="5"/>
  <c r="M136" i="5" s="1"/>
  <c r="L136" i="5"/>
  <c r="K137" i="5"/>
  <c r="M137" i="5" s="1"/>
  <c r="L137" i="5"/>
  <c r="K138" i="5"/>
  <c r="M138" i="5" s="1"/>
  <c r="L138" i="5"/>
  <c r="K139" i="5"/>
  <c r="M139" i="5"/>
  <c r="L139" i="5"/>
  <c r="K140" i="5"/>
  <c r="M140" i="5" s="1"/>
  <c r="L140" i="5"/>
  <c r="K141" i="5"/>
  <c r="M141" i="5" s="1"/>
  <c r="L141" i="5"/>
  <c r="K142" i="5"/>
  <c r="M142" i="5" s="1"/>
  <c r="L142" i="5"/>
  <c r="K143" i="5"/>
  <c r="M143" i="5"/>
  <c r="L143" i="5"/>
  <c r="K144" i="5"/>
  <c r="M144" i="5" s="1"/>
  <c r="L144" i="5"/>
  <c r="K145" i="5"/>
  <c r="M145" i="5" s="1"/>
  <c r="L145" i="5"/>
  <c r="K146" i="5"/>
  <c r="M146" i="5" s="1"/>
  <c r="L146" i="5"/>
  <c r="K147" i="5"/>
  <c r="M147" i="5"/>
  <c r="L147" i="5"/>
  <c r="K148" i="5"/>
  <c r="M148" i="5" s="1"/>
  <c r="L148" i="5"/>
  <c r="K149" i="5"/>
  <c r="M149" i="5" s="1"/>
  <c r="L149" i="5"/>
  <c r="K150" i="5"/>
  <c r="M150" i="5" s="1"/>
  <c r="L150" i="5"/>
  <c r="K151" i="5"/>
  <c r="M151" i="5" s="1"/>
  <c r="L151" i="5"/>
  <c r="K152" i="5"/>
  <c r="M152" i="5" s="1"/>
  <c r="L152" i="5"/>
  <c r="K153" i="5"/>
  <c r="M153" i="5" s="1"/>
  <c r="L153" i="5"/>
  <c r="K154" i="5"/>
  <c r="M154" i="5" s="1"/>
  <c r="L154" i="5"/>
  <c r="K155" i="5"/>
  <c r="M155" i="5"/>
  <c r="L155" i="5"/>
  <c r="K156" i="5"/>
  <c r="M156" i="5" s="1"/>
  <c r="L156" i="5"/>
  <c r="K157" i="5"/>
  <c r="M157" i="5" s="1"/>
  <c r="L157" i="5"/>
  <c r="K158" i="5"/>
  <c r="M158" i="5" s="1"/>
  <c r="L158" i="5"/>
  <c r="K159" i="5"/>
  <c r="M159" i="5"/>
  <c r="L159" i="5"/>
  <c r="K160" i="5"/>
  <c r="M160" i="5" s="1"/>
  <c r="L160" i="5"/>
  <c r="K161" i="5"/>
  <c r="M161" i="5" s="1"/>
  <c r="L161" i="5"/>
  <c r="K162" i="5"/>
  <c r="M162" i="5" s="1"/>
  <c r="L162" i="5"/>
  <c r="K163" i="5"/>
  <c r="M163" i="5"/>
  <c r="L163" i="5"/>
  <c r="K164" i="5"/>
  <c r="M164" i="5" s="1"/>
  <c r="L164" i="5"/>
  <c r="K165" i="5"/>
  <c r="M165" i="5" s="1"/>
  <c r="L165" i="5"/>
  <c r="K166" i="5"/>
  <c r="M166" i="5" s="1"/>
  <c r="L166" i="5"/>
  <c r="K167" i="5"/>
  <c r="M167" i="5" s="1"/>
  <c r="L167" i="5"/>
  <c r="K168" i="5"/>
  <c r="M168" i="5" s="1"/>
  <c r="L168" i="5"/>
  <c r="K169" i="5"/>
  <c r="M169" i="5" s="1"/>
  <c r="L169" i="5"/>
  <c r="K170" i="5"/>
  <c r="M170" i="5" s="1"/>
  <c r="L170" i="5"/>
  <c r="K171" i="5"/>
  <c r="M171" i="5"/>
  <c r="L171" i="5"/>
  <c r="K172" i="5"/>
  <c r="M172" i="5" s="1"/>
  <c r="L172" i="5"/>
  <c r="K173" i="5"/>
  <c r="M173" i="5" s="1"/>
  <c r="L173" i="5"/>
  <c r="K174" i="5"/>
  <c r="M174" i="5" s="1"/>
  <c r="L174" i="5"/>
  <c r="K175" i="5"/>
  <c r="M175" i="5"/>
  <c r="L175" i="5"/>
  <c r="K176" i="5"/>
  <c r="M176" i="5" s="1"/>
  <c r="L176" i="5"/>
  <c r="K177" i="5"/>
  <c r="M177" i="5" s="1"/>
  <c r="L177" i="5"/>
  <c r="K178" i="5"/>
  <c r="M178" i="5" s="1"/>
  <c r="L178" i="5"/>
  <c r="K179" i="5"/>
  <c r="M179" i="5"/>
  <c r="L179" i="5"/>
  <c r="K180" i="5"/>
  <c r="M180" i="5" s="1"/>
  <c r="L180" i="5"/>
  <c r="K181" i="5"/>
  <c r="M181" i="5" s="1"/>
  <c r="L181" i="5"/>
  <c r="K182" i="5"/>
  <c r="M182" i="5" s="1"/>
  <c r="L182" i="5"/>
  <c r="K183" i="5"/>
  <c r="M183" i="5" s="1"/>
  <c r="L183" i="5"/>
  <c r="K184" i="5"/>
  <c r="M184" i="5" s="1"/>
  <c r="L184" i="5"/>
  <c r="K185" i="5"/>
  <c r="M185" i="5" s="1"/>
  <c r="L185" i="5"/>
  <c r="K186" i="5"/>
  <c r="M186" i="5" s="1"/>
  <c r="L186" i="5"/>
  <c r="K187" i="5"/>
  <c r="M187" i="5"/>
  <c r="L187" i="5"/>
  <c r="K188" i="5"/>
  <c r="M188" i="5" s="1"/>
  <c r="L188" i="5"/>
  <c r="K189" i="5"/>
  <c r="M189" i="5" s="1"/>
  <c r="L189" i="5"/>
  <c r="K190" i="5"/>
  <c r="M190" i="5" s="1"/>
  <c r="L190" i="5"/>
  <c r="K191" i="5"/>
  <c r="M191" i="5"/>
  <c r="L191" i="5"/>
  <c r="K192" i="5"/>
  <c r="M192" i="5" s="1"/>
  <c r="L192" i="5"/>
  <c r="K193" i="5"/>
  <c r="M193" i="5" s="1"/>
  <c r="L193" i="5"/>
  <c r="K194" i="5"/>
  <c r="M194" i="5" s="1"/>
  <c r="L194" i="5"/>
  <c r="K195" i="5"/>
  <c r="M195" i="5"/>
  <c r="L195" i="5"/>
  <c r="K196" i="5"/>
  <c r="M196" i="5" s="1"/>
  <c r="L196" i="5"/>
  <c r="K197" i="5"/>
  <c r="M197" i="5" s="1"/>
  <c r="L197" i="5"/>
  <c r="K198" i="5"/>
  <c r="M198" i="5" s="1"/>
  <c r="L198" i="5"/>
  <c r="K199" i="5"/>
  <c r="M199" i="5" s="1"/>
  <c r="L199" i="5"/>
  <c r="K200" i="5"/>
  <c r="M200" i="5" s="1"/>
  <c r="L200" i="5"/>
  <c r="K201" i="5"/>
  <c r="M201" i="5" s="1"/>
  <c r="L201" i="5"/>
  <c r="K202" i="5"/>
  <c r="M202" i="5" s="1"/>
  <c r="L202" i="5"/>
  <c r="K203" i="5"/>
  <c r="M203" i="5"/>
  <c r="L203" i="5"/>
  <c r="K204" i="5"/>
  <c r="M204" i="5" s="1"/>
  <c r="L204" i="5"/>
  <c r="K205" i="5"/>
  <c r="M205" i="5" s="1"/>
  <c r="L205" i="5"/>
  <c r="K206" i="5"/>
  <c r="M206" i="5" s="1"/>
  <c r="L206" i="5"/>
  <c r="K207" i="5"/>
  <c r="M207" i="5"/>
  <c r="L207" i="5"/>
  <c r="K208" i="5"/>
  <c r="M208" i="5" s="1"/>
  <c r="L208" i="5"/>
  <c r="K209" i="5"/>
  <c r="M209" i="5" s="1"/>
  <c r="L209" i="5"/>
  <c r="K210" i="5"/>
  <c r="M210" i="5" s="1"/>
  <c r="L210" i="5"/>
  <c r="K211" i="5"/>
  <c r="M211" i="5"/>
  <c r="L211" i="5"/>
  <c r="K212" i="5"/>
  <c r="M212" i="5" s="1"/>
  <c r="L212" i="5"/>
  <c r="K213" i="5"/>
  <c r="M213" i="5" s="1"/>
  <c r="L213" i="5"/>
  <c r="K214" i="5"/>
  <c r="M214" i="5" s="1"/>
  <c r="L214" i="5"/>
  <c r="K215" i="5"/>
  <c r="M215" i="5" s="1"/>
  <c r="L215" i="5"/>
  <c r="K216" i="5"/>
  <c r="M216" i="5" s="1"/>
  <c r="L216" i="5"/>
  <c r="K217" i="5"/>
  <c r="M217" i="5" s="1"/>
  <c r="L217" i="5"/>
  <c r="K218" i="5"/>
  <c r="M218" i="5" s="1"/>
  <c r="L218" i="5"/>
  <c r="K219" i="5"/>
  <c r="M219" i="5"/>
  <c r="L219" i="5"/>
  <c r="K220" i="5"/>
  <c r="M220" i="5" s="1"/>
  <c r="L220" i="5"/>
  <c r="K221" i="5"/>
  <c r="M221" i="5" s="1"/>
  <c r="L221" i="5"/>
  <c r="K222" i="5"/>
  <c r="M222" i="5" s="1"/>
  <c r="L222" i="5"/>
  <c r="K223" i="5"/>
  <c r="M223" i="5"/>
  <c r="L223" i="5"/>
  <c r="K224" i="5"/>
  <c r="M224" i="5" s="1"/>
  <c r="L224" i="5"/>
  <c r="K225" i="5"/>
  <c r="M225" i="5" s="1"/>
  <c r="L225" i="5"/>
  <c r="K226" i="5"/>
  <c r="M226" i="5" s="1"/>
  <c r="L226" i="5"/>
  <c r="K227" i="5"/>
  <c r="M227" i="5"/>
  <c r="L227" i="5"/>
  <c r="K228" i="5"/>
  <c r="M228" i="5" s="1"/>
  <c r="L228" i="5"/>
  <c r="K229" i="5"/>
  <c r="M229" i="5" s="1"/>
  <c r="L229" i="5"/>
  <c r="K230" i="5"/>
  <c r="M230" i="5" s="1"/>
  <c r="L230" i="5"/>
  <c r="K231" i="5"/>
  <c r="M231" i="5" s="1"/>
  <c r="L231" i="5"/>
  <c r="K232" i="5"/>
  <c r="M232" i="5" s="1"/>
  <c r="L232" i="5"/>
  <c r="K233" i="5"/>
  <c r="M233" i="5" s="1"/>
  <c r="L233" i="5"/>
  <c r="K234" i="5"/>
  <c r="M234" i="5" s="1"/>
  <c r="L234" i="5"/>
  <c r="K235" i="5"/>
  <c r="M235" i="5"/>
  <c r="L235" i="5"/>
  <c r="K236" i="5"/>
  <c r="M236" i="5" s="1"/>
  <c r="L236" i="5"/>
  <c r="K237" i="5"/>
  <c r="M237" i="5" s="1"/>
  <c r="L237" i="5"/>
  <c r="K238" i="5"/>
  <c r="M238" i="5" s="1"/>
  <c r="L238" i="5"/>
  <c r="K239" i="5"/>
  <c r="M239" i="5"/>
  <c r="L239" i="5"/>
  <c r="K240" i="5"/>
  <c r="M240" i="5" s="1"/>
  <c r="L240" i="5"/>
  <c r="K241" i="5"/>
  <c r="M241" i="5" s="1"/>
  <c r="L241" i="5"/>
  <c r="K242" i="5"/>
  <c r="M242" i="5" s="1"/>
  <c r="L242" i="5"/>
  <c r="K243" i="5"/>
  <c r="M243" i="5"/>
  <c r="L243" i="5"/>
  <c r="K244" i="5"/>
  <c r="M244" i="5" s="1"/>
  <c r="L244" i="5"/>
  <c r="K245" i="5"/>
  <c r="M245" i="5" s="1"/>
  <c r="L245" i="5"/>
  <c r="K246" i="5"/>
  <c r="M246" i="5" s="1"/>
  <c r="L246" i="5"/>
  <c r="K247" i="5"/>
  <c r="M247" i="5" s="1"/>
  <c r="L247" i="5"/>
  <c r="K248" i="5"/>
  <c r="M248" i="5" s="1"/>
  <c r="L248" i="5"/>
  <c r="K249" i="5"/>
  <c r="M249" i="5" s="1"/>
  <c r="L249" i="5"/>
  <c r="K250" i="5"/>
  <c r="M250" i="5" s="1"/>
  <c r="L250" i="5"/>
  <c r="K251" i="5"/>
  <c r="M251" i="5"/>
  <c r="L251" i="5"/>
  <c r="K252" i="5"/>
  <c r="M252" i="5" s="1"/>
  <c r="L252" i="5"/>
  <c r="K253" i="5"/>
  <c r="M253" i="5" s="1"/>
  <c r="L253" i="5"/>
  <c r="K254" i="5"/>
  <c r="M254" i="5" s="1"/>
  <c r="L254" i="5"/>
  <c r="K255" i="5"/>
  <c r="M255" i="5"/>
  <c r="L255" i="5"/>
  <c r="K256" i="5"/>
  <c r="M256" i="5" s="1"/>
  <c r="L256" i="5"/>
  <c r="K257" i="5"/>
  <c r="M257" i="5" s="1"/>
  <c r="L257" i="5"/>
  <c r="K258" i="5"/>
  <c r="M258" i="5" s="1"/>
  <c r="L258" i="5"/>
  <c r="K259" i="5"/>
  <c r="M259" i="5"/>
  <c r="L259" i="5"/>
  <c r="K260" i="5"/>
  <c r="M260" i="5" s="1"/>
  <c r="L260" i="5"/>
  <c r="K261" i="5"/>
  <c r="M261" i="5" s="1"/>
  <c r="L261" i="5"/>
  <c r="K262" i="5"/>
  <c r="M262" i="5" s="1"/>
  <c r="L262" i="5"/>
  <c r="K263" i="5"/>
  <c r="M263" i="5" s="1"/>
  <c r="L263" i="5"/>
  <c r="K264" i="5"/>
  <c r="M264" i="5" s="1"/>
  <c r="L264" i="5"/>
  <c r="K265" i="5"/>
  <c r="M265" i="5" s="1"/>
  <c r="L265" i="5"/>
  <c r="K266" i="5"/>
  <c r="M266" i="5" s="1"/>
  <c r="L266" i="5"/>
  <c r="K267" i="5"/>
  <c r="M267" i="5"/>
  <c r="L267" i="5"/>
  <c r="K268" i="5"/>
  <c r="M268" i="5" s="1"/>
  <c r="L268" i="5"/>
  <c r="K269" i="5"/>
  <c r="M269" i="5" s="1"/>
  <c r="L269" i="5"/>
  <c r="K270" i="5"/>
  <c r="M270" i="5" s="1"/>
  <c r="L270" i="5"/>
  <c r="K271" i="5"/>
  <c r="M271" i="5"/>
  <c r="L271" i="5"/>
  <c r="K272" i="5"/>
  <c r="M272" i="5" s="1"/>
  <c r="L272" i="5"/>
  <c r="K273" i="5"/>
  <c r="M273" i="5" s="1"/>
  <c r="L273" i="5"/>
  <c r="K274" i="5"/>
  <c r="M274" i="5" s="1"/>
  <c r="L274" i="5"/>
  <c r="K275" i="5"/>
  <c r="M275" i="5"/>
  <c r="L275" i="5"/>
  <c r="K276" i="5"/>
  <c r="M276" i="5" s="1"/>
  <c r="L276" i="5"/>
  <c r="K277" i="5"/>
  <c r="M277" i="5" s="1"/>
  <c r="L277" i="5"/>
  <c r="K278" i="5"/>
  <c r="M278" i="5" s="1"/>
  <c r="L278" i="5"/>
  <c r="K279" i="5"/>
  <c r="M279" i="5" s="1"/>
  <c r="L279" i="5"/>
  <c r="K280" i="5"/>
  <c r="M280" i="5" s="1"/>
  <c r="L280" i="5"/>
  <c r="K281" i="5"/>
  <c r="M281" i="5" s="1"/>
  <c r="L281" i="5"/>
  <c r="K282" i="5"/>
  <c r="M282" i="5" s="1"/>
  <c r="L282" i="5"/>
  <c r="K283" i="5"/>
  <c r="M283" i="5"/>
  <c r="L283" i="5"/>
  <c r="K284" i="5"/>
  <c r="M284" i="5" s="1"/>
  <c r="L284" i="5"/>
  <c r="K285" i="5"/>
  <c r="M285" i="5" s="1"/>
  <c r="L285" i="5"/>
  <c r="K286" i="5"/>
  <c r="M286" i="5" s="1"/>
  <c r="L286" i="5"/>
  <c r="K287" i="5"/>
  <c r="M287" i="5"/>
  <c r="L287" i="5"/>
  <c r="K288" i="5"/>
  <c r="M288" i="5" s="1"/>
  <c r="L288" i="5"/>
  <c r="K289" i="5"/>
  <c r="M289" i="5" s="1"/>
  <c r="L289" i="5"/>
  <c r="K290" i="5"/>
  <c r="M290" i="5" s="1"/>
  <c r="L290" i="5"/>
  <c r="K291" i="5"/>
  <c r="M291" i="5"/>
  <c r="L291" i="5"/>
  <c r="K292" i="5"/>
  <c r="M292" i="5" s="1"/>
  <c r="L292" i="5"/>
  <c r="K293" i="5"/>
  <c r="M293" i="5" s="1"/>
  <c r="L293" i="5"/>
  <c r="K294" i="5"/>
  <c r="M294" i="5" s="1"/>
  <c r="L294" i="5"/>
  <c r="K295" i="5"/>
  <c r="M295" i="5" s="1"/>
  <c r="L295" i="5"/>
  <c r="K296" i="5"/>
  <c r="M296" i="5" s="1"/>
  <c r="L296" i="5"/>
  <c r="K297" i="5"/>
  <c r="M297" i="5" s="1"/>
  <c r="L297" i="5"/>
  <c r="K298" i="5"/>
  <c r="M298" i="5" s="1"/>
  <c r="L298" i="5"/>
  <c r="K299" i="5"/>
  <c r="M299" i="5"/>
  <c r="L299" i="5"/>
  <c r="K300" i="5"/>
  <c r="M300" i="5" s="1"/>
  <c r="L300" i="5"/>
  <c r="K301" i="5"/>
  <c r="M301" i="5" s="1"/>
  <c r="L301" i="5"/>
  <c r="K302" i="5"/>
  <c r="M302" i="5" s="1"/>
  <c r="L302" i="5"/>
  <c r="K303" i="5"/>
  <c r="M303" i="5"/>
  <c r="L303" i="5"/>
  <c r="K304" i="5"/>
  <c r="M304" i="5" s="1"/>
  <c r="L304" i="5"/>
  <c r="K305" i="5"/>
  <c r="M305" i="5" s="1"/>
  <c r="L305" i="5"/>
  <c r="K306" i="5"/>
  <c r="M306" i="5" s="1"/>
  <c r="L306" i="5"/>
  <c r="K307" i="5"/>
  <c r="M307" i="5"/>
  <c r="L307" i="5"/>
  <c r="K308" i="5"/>
  <c r="M308" i="5" s="1"/>
  <c r="L308" i="5"/>
  <c r="K309" i="5"/>
  <c r="M309" i="5" s="1"/>
  <c r="L309" i="5"/>
  <c r="K310" i="5"/>
  <c r="M310" i="5" s="1"/>
  <c r="L310" i="5"/>
  <c r="K311" i="5"/>
  <c r="M311" i="5" s="1"/>
  <c r="L311" i="5"/>
  <c r="K312" i="5"/>
  <c r="M312" i="5" s="1"/>
  <c r="L312" i="5"/>
  <c r="K313" i="5"/>
  <c r="M313" i="5" s="1"/>
  <c r="L313" i="5"/>
  <c r="K314" i="5"/>
  <c r="M314" i="5" s="1"/>
  <c r="L314" i="5"/>
  <c r="K315" i="5"/>
  <c r="M315" i="5"/>
  <c r="L315" i="5"/>
  <c r="K316" i="5"/>
  <c r="M316" i="5" s="1"/>
  <c r="L316" i="5"/>
  <c r="K317" i="5"/>
  <c r="M317" i="5" s="1"/>
  <c r="L317" i="5"/>
  <c r="K318" i="5"/>
  <c r="M318" i="5" s="1"/>
  <c r="L318" i="5"/>
  <c r="K319" i="5"/>
  <c r="M319" i="5"/>
  <c r="L319" i="5"/>
  <c r="K320" i="5"/>
  <c r="M320" i="5" s="1"/>
  <c r="L320" i="5"/>
  <c r="K321" i="5"/>
  <c r="M321" i="5" s="1"/>
  <c r="L321" i="5"/>
  <c r="K322" i="5"/>
  <c r="M322" i="5" s="1"/>
  <c r="L322" i="5"/>
  <c r="K323" i="5"/>
  <c r="M323" i="5"/>
  <c r="L323" i="5"/>
  <c r="K324" i="5"/>
  <c r="M324" i="5" s="1"/>
  <c r="L324" i="5"/>
  <c r="K325" i="5"/>
  <c r="M325" i="5" s="1"/>
  <c r="L325" i="5"/>
  <c r="K326" i="5"/>
  <c r="M326" i="5" s="1"/>
  <c r="L326" i="5"/>
  <c r="K327" i="5"/>
  <c r="M327" i="5" s="1"/>
  <c r="L327" i="5"/>
  <c r="K328" i="5"/>
  <c r="M328" i="5" s="1"/>
  <c r="L328" i="5"/>
  <c r="K329" i="5"/>
  <c r="M329" i="5" s="1"/>
  <c r="L329" i="5"/>
  <c r="K330" i="5"/>
  <c r="M330" i="5" s="1"/>
  <c r="L330" i="5"/>
  <c r="K331" i="5"/>
  <c r="M331" i="5"/>
  <c r="L331" i="5"/>
  <c r="K332" i="5"/>
  <c r="M332" i="5" s="1"/>
  <c r="L332" i="5"/>
  <c r="K333" i="5"/>
  <c r="M333" i="5" s="1"/>
  <c r="L333" i="5"/>
  <c r="K334" i="5"/>
  <c r="M334" i="5" s="1"/>
  <c r="L334" i="5"/>
  <c r="K335" i="5"/>
  <c r="M335" i="5"/>
  <c r="L335" i="5"/>
  <c r="K336" i="5"/>
  <c r="M336" i="5" s="1"/>
  <c r="L336" i="5"/>
  <c r="K337" i="5"/>
  <c r="M337" i="5" s="1"/>
  <c r="L337" i="5"/>
  <c r="K338" i="5"/>
  <c r="M338" i="5" s="1"/>
  <c r="L338" i="5"/>
  <c r="K339" i="5"/>
  <c r="M339" i="5"/>
  <c r="L339" i="5"/>
  <c r="K340" i="5"/>
  <c r="M340" i="5" s="1"/>
  <c r="L340" i="5"/>
  <c r="K341" i="5"/>
  <c r="M341" i="5" s="1"/>
  <c r="L341" i="5"/>
  <c r="K342" i="5"/>
  <c r="M342" i="5" s="1"/>
  <c r="L342" i="5"/>
  <c r="K343" i="5"/>
  <c r="M343" i="5" s="1"/>
  <c r="L343" i="5"/>
  <c r="K344" i="5"/>
  <c r="M344" i="5" s="1"/>
  <c r="L344" i="5"/>
  <c r="K345" i="5"/>
  <c r="M345" i="5" s="1"/>
  <c r="L345" i="5"/>
  <c r="K346" i="5"/>
  <c r="M346" i="5" s="1"/>
  <c r="L346" i="5"/>
  <c r="K347" i="5"/>
  <c r="M347" i="5"/>
  <c r="L347" i="5"/>
  <c r="K348" i="5"/>
  <c r="M348" i="5" s="1"/>
  <c r="L348" i="5"/>
  <c r="K349" i="5"/>
  <c r="M349" i="5" s="1"/>
  <c r="L349" i="5"/>
  <c r="K350" i="5"/>
  <c r="M350" i="5" s="1"/>
  <c r="L350" i="5"/>
  <c r="K351" i="5"/>
  <c r="M351" i="5"/>
  <c r="L351" i="5"/>
  <c r="K352" i="5"/>
  <c r="M352" i="5" s="1"/>
  <c r="L352" i="5"/>
  <c r="K353" i="5"/>
  <c r="M353" i="5" s="1"/>
  <c r="L353" i="5"/>
  <c r="K354" i="5"/>
  <c r="M354" i="5" s="1"/>
  <c r="L354" i="5"/>
  <c r="K355" i="5"/>
  <c r="M355" i="5"/>
  <c r="L355" i="5"/>
  <c r="K356" i="5"/>
  <c r="M356" i="5" s="1"/>
  <c r="L356" i="5"/>
  <c r="K357" i="5"/>
  <c r="M357" i="5" s="1"/>
  <c r="L357" i="5"/>
  <c r="K358" i="5"/>
  <c r="M358" i="5" s="1"/>
  <c r="L358" i="5"/>
  <c r="K359" i="5"/>
  <c r="M359" i="5" s="1"/>
  <c r="L359" i="5"/>
  <c r="K360" i="5"/>
  <c r="M360" i="5" s="1"/>
  <c r="L360" i="5"/>
  <c r="K361" i="5"/>
  <c r="M361" i="5" s="1"/>
  <c r="L361" i="5"/>
  <c r="K362" i="5"/>
  <c r="M362" i="5" s="1"/>
  <c r="L362" i="5"/>
  <c r="K363" i="5"/>
  <c r="M363" i="5"/>
  <c r="L363" i="5"/>
  <c r="K364" i="5"/>
  <c r="M364" i="5" s="1"/>
  <c r="L364" i="5"/>
  <c r="K365" i="5"/>
  <c r="M365" i="5" s="1"/>
  <c r="L365" i="5"/>
  <c r="K366" i="5"/>
  <c r="M366" i="5" s="1"/>
  <c r="L366" i="5"/>
  <c r="K367" i="5"/>
  <c r="M367" i="5"/>
  <c r="L367" i="5"/>
  <c r="K368" i="5"/>
  <c r="M368" i="5" s="1"/>
  <c r="L368" i="5"/>
  <c r="K369" i="5"/>
  <c r="M369" i="5" s="1"/>
  <c r="L369" i="5"/>
  <c r="K370" i="5"/>
  <c r="M370" i="5" s="1"/>
  <c r="L370" i="5"/>
  <c r="K371" i="5"/>
  <c r="M371" i="5"/>
  <c r="L371" i="5"/>
  <c r="K372" i="5"/>
  <c r="M372" i="5" s="1"/>
  <c r="L372" i="5"/>
  <c r="K373" i="5"/>
  <c r="M373" i="5" s="1"/>
  <c r="L373" i="5"/>
  <c r="K374" i="5"/>
  <c r="M374" i="5" s="1"/>
  <c r="L374" i="5"/>
  <c r="K375" i="5"/>
  <c r="M375" i="5" s="1"/>
  <c r="L375" i="5"/>
  <c r="K376" i="5"/>
  <c r="M376" i="5" s="1"/>
  <c r="L376" i="5"/>
  <c r="K377" i="5"/>
  <c r="M377" i="5" s="1"/>
  <c r="L377" i="5"/>
  <c r="K378" i="5"/>
  <c r="M378" i="5" s="1"/>
  <c r="L378" i="5"/>
  <c r="K379" i="5"/>
  <c r="M379" i="5"/>
  <c r="L379" i="5"/>
  <c r="K380" i="5"/>
  <c r="M380" i="5" s="1"/>
  <c r="L380" i="5"/>
  <c r="K381" i="5"/>
  <c r="M381" i="5" s="1"/>
  <c r="L381" i="5"/>
  <c r="K382" i="5"/>
  <c r="M382" i="5" s="1"/>
  <c r="L382" i="5"/>
  <c r="K383" i="5"/>
  <c r="M383" i="5"/>
  <c r="L383" i="5"/>
  <c r="K384" i="5"/>
  <c r="M384" i="5" s="1"/>
  <c r="L384" i="5"/>
  <c r="K385" i="5"/>
  <c r="M385" i="5" s="1"/>
  <c r="L385" i="5"/>
  <c r="K386" i="5"/>
  <c r="M386" i="5" s="1"/>
  <c r="L386" i="5"/>
  <c r="K387" i="5"/>
  <c r="M387" i="5"/>
  <c r="L387" i="5"/>
  <c r="K388" i="5"/>
  <c r="M388" i="5" s="1"/>
  <c r="L388" i="5"/>
  <c r="K389" i="5"/>
  <c r="M389" i="5" s="1"/>
  <c r="L389" i="5"/>
  <c r="K390" i="5"/>
  <c r="M390" i="5"/>
  <c r="L390" i="5"/>
  <c r="K391" i="5"/>
  <c r="M391" i="5"/>
  <c r="L391" i="5"/>
  <c r="K392" i="5"/>
  <c r="M392" i="5" s="1"/>
  <c r="L392" i="5"/>
  <c r="K393" i="5"/>
  <c r="M393" i="5" s="1"/>
  <c r="L393" i="5"/>
  <c r="K394" i="5"/>
  <c r="M394" i="5" s="1"/>
  <c r="L394" i="5"/>
  <c r="K395" i="5"/>
  <c r="M395" i="5"/>
  <c r="L395" i="5"/>
  <c r="K396" i="5"/>
  <c r="M396" i="5" s="1"/>
  <c r="L396" i="5"/>
  <c r="K397" i="5"/>
  <c r="M397" i="5" s="1"/>
  <c r="L397" i="5"/>
  <c r="K398" i="5"/>
  <c r="M398" i="5"/>
  <c r="L398" i="5"/>
  <c r="K399" i="5"/>
  <c r="M399" i="5" s="1"/>
  <c r="L399" i="5"/>
  <c r="K400" i="5"/>
  <c r="M400" i="5" s="1"/>
  <c r="L400" i="5"/>
  <c r="K401" i="5"/>
  <c r="M401" i="5" s="1"/>
  <c r="L401" i="5"/>
  <c r="K402" i="5"/>
  <c r="M402" i="5" s="1"/>
  <c r="L402" i="5"/>
  <c r="K403" i="5"/>
  <c r="M403" i="5"/>
  <c r="L403" i="5"/>
  <c r="K404" i="5"/>
  <c r="M404" i="5" s="1"/>
  <c r="L404" i="5"/>
  <c r="K405" i="5"/>
  <c r="M405" i="5" s="1"/>
  <c r="L405" i="5"/>
  <c r="K406" i="5"/>
  <c r="M406" i="5" s="1"/>
  <c r="L406" i="5"/>
  <c r="K407" i="5"/>
  <c r="M407" i="5"/>
  <c r="L407" i="5"/>
  <c r="K408" i="5"/>
  <c r="M408" i="5" s="1"/>
  <c r="L408" i="5"/>
  <c r="K409" i="5"/>
  <c r="M409" i="5" s="1"/>
  <c r="L409" i="5"/>
  <c r="K410" i="5"/>
  <c r="M410" i="5" s="1"/>
  <c r="L410" i="5"/>
  <c r="K411" i="5"/>
  <c r="M411" i="5" s="1"/>
  <c r="L411" i="5"/>
  <c r="K412" i="5"/>
  <c r="M412" i="5" s="1"/>
  <c r="L412" i="5"/>
  <c r="K413" i="5"/>
  <c r="M413" i="5" s="1"/>
  <c r="L413" i="5"/>
  <c r="K414" i="5"/>
  <c r="M414" i="5"/>
  <c r="L414" i="5"/>
  <c r="K415" i="5"/>
  <c r="M415" i="5"/>
  <c r="L415" i="5"/>
  <c r="K416" i="5"/>
  <c r="M416" i="5" s="1"/>
  <c r="L416" i="5"/>
  <c r="K417" i="5"/>
  <c r="M417" i="5" s="1"/>
  <c r="L417" i="5"/>
  <c r="K418" i="5"/>
  <c r="M418" i="5" s="1"/>
  <c r="L418" i="5"/>
  <c r="K419" i="5"/>
  <c r="M419" i="5"/>
  <c r="L419" i="5"/>
  <c r="K420" i="5"/>
  <c r="M420" i="5" s="1"/>
  <c r="L420" i="5"/>
  <c r="K421" i="5"/>
  <c r="M421" i="5" s="1"/>
  <c r="L421" i="5"/>
  <c r="K422" i="5"/>
  <c r="M422" i="5"/>
  <c r="L422" i="5"/>
  <c r="K423" i="5"/>
  <c r="M423" i="5"/>
  <c r="L423" i="5"/>
  <c r="K424" i="5"/>
  <c r="M424" i="5" s="1"/>
  <c r="L424" i="5"/>
  <c r="K425" i="5"/>
  <c r="M425" i="5" s="1"/>
  <c r="L425" i="5"/>
  <c r="K426" i="5"/>
  <c r="M426" i="5" s="1"/>
  <c r="L426" i="5"/>
  <c r="K427" i="5"/>
  <c r="M427" i="5"/>
  <c r="L427" i="5"/>
  <c r="K428" i="5"/>
  <c r="M428" i="5" s="1"/>
  <c r="L428" i="5"/>
  <c r="K429" i="5"/>
  <c r="M429" i="5" s="1"/>
  <c r="L429" i="5"/>
  <c r="K430" i="5"/>
  <c r="M430" i="5"/>
  <c r="L430" i="5"/>
  <c r="K431" i="5"/>
  <c r="M431" i="5" s="1"/>
  <c r="L431" i="5"/>
  <c r="K432" i="5"/>
  <c r="M432" i="5" s="1"/>
  <c r="L432" i="5"/>
  <c r="K433" i="5"/>
  <c r="M433" i="5" s="1"/>
  <c r="L433" i="5"/>
  <c r="K434" i="5"/>
  <c r="M434" i="5" s="1"/>
  <c r="L434" i="5"/>
  <c r="K435" i="5"/>
  <c r="M435" i="5"/>
  <c r="L435" i="5"/>
  <c r="K436" i="5"/>
  <c r="M436" i="5" s="1"/>
  <c r="L436" i="5"/>
  <c r="K437" i="5"/>
  <c r="M437" i="5" s="1"/>
  <c r="L437" i="5"/>
  <c r="K438" i="5"/>
  <c r="M438" i="5" s="1"/>
  <c r="L438" i="5"/>
  <c r="K439" i="5"/>
  <c r="M439" i="5"/>
  <c r="L439" i="5"/>
  <c r="K440" i="5"/>
  <c r="M440" i="5" s="1"/>
  <c r="L440" i="5"/>
  <c r="K441" i="5"/>
  <c r="M441" i="5" s="1"/>
  <c r="L441" i="5"/>
  <c r="K442" i="5"/>
  <c r="M442" i="5" s="1"/>
  <c r="L442" i="5"/>
  <c r="K443" i="5"/>
  <c r="M443" i="5" s="1"/>
  <c r="L443" i="5"/>
  <c r="K444" i="5"/>
  <c r="M444" i="5" s="1"/>
  <c r="L444" i="5"/>
  <c r="K445" i="5"/>
  <c r="M445" i="5" s="1"/>
  <c r="L445" i="5"/>
  <c r="K446" i="5"/>
  <c r="M446" i="5"/>
  <c r="L446" i="5"/>
  <c r="K447" i="5"/>
  <c r="M447" i="5"/>
  <c r="L447" i="5"/>
  <c r="K448" i="5"/>
  <c r="M448" i="5" s="1"/>
  <c r="L448" i="5"/>
  <c r="K449" i="5"/>
  <c r="M449" i="5" s="1"/>
  <c r="L449" i="5"/>
  <c r="K450" i="5"/>
  <c r="M450" i="5" s="1"/>
  <c r="L450" i="5"/>
  <c r="K451" i="5"/>
  <c r="M451" i="5"/>
  <c r="L451" i="5"/>
  <c r="K452" i="5"/>
  <c r="M452" i="5" s="1"/>
  <c r="L452" i="5"/>
  <c r="K453" i="5"/>
  <c r="M453" i="5" s="1"/>
  <c r="L453" i="5"/>
  <c r="K454" i="5"/>
  <c r="M454" i="5"/>
  <c r="L454" i="5"/>
  <c r="K455" i="5"/>
  <c r="M455" i="5"/>
  <c r="L455" i="5"/>
  <c r="K456" i="5"/>
  <c r="M456" i="5" s="1"/>
  <c r="L456" i="5"/>
  <c r="K457" i="5"/>
  <c r="M457" i="5" s="1"/>
  <c r="L457" i="5"/>
  <c r="K458" i="5"/>
  <c r="M458" i="5" s="1"/>
  <c r="L458" i="5"/>
  <c r="K459" i="5"/>
  <c r="M459" i="5"/>
  <c r="L459" i="5"/>
  <c r="K460" i="5"/>
  <c r="M460" i="5" s="1"/>
  <c r="L460" i="5"/>
  <c r="K461" i="5"/>
  <c r="M461" i="5" s="1"/>
  <c r="L461" i="5"/>
  <c r="K462" i="5"/>
  <c r="M462" i="5"/>
  <c r="L462" i="5"/>
  <c r="K463" i="5"/>
  <c r="M463" i="5" s="1"/>
  <c r="L463" i="5"/>
  <c r="K464" i="5"/>
  <c r="M464" i="5" s="1"/>
  <c r="L464" i="5"/>
  <c r="K465" i="5"/>
  <c r="M465" i="5" s="1"/>
  <c r="L465" i="5"/>
  <c r="K466" i="5"/>
  <c r="M466" i="5" s="1"/>
  <c r="L466" i="5"/>
  <c r="K467" i="5"/>
  <c r="M467" i="5"/>
  <c r="L467" i="5"/>
  <c r="K468" i="5"/>
  <c r="M468" i="5" s="1"/>
  <c r="L468" i="5"/>
  <c r="K469" i="5"/>
  <c r="M469" i="5" s="1"/>
  <c r="L469" i="5"/>
  <c r="K470" i="5"/>
  <c r="M470" i="5" s="1"/>
  <c r="L470" i="5"/>
  <c r="K471" i="5"/>
  <c r="M471" i="5"/>
  <c r="L471" i="5"/>
  <c r="K472" i="5"/>
  <c r="M472" i="5" s="1"/>
  <c r="L472" i="5"/>
  <c r="K473" i="5"/>
  <c r="M473" i="5" s="1"/>
  <c r="L473" i="5"/>
  <c r="K474" i="5"/>
  <c r="M474" i="5" s="1"/>
  <c r="L474" i="5"/>
  <c r="K475" i="5"/>
  <c r="M475" i="5"/>
  <c r="L475" i="5"/>
  <c r="K476" i="5"/>
  <c r="M476" i="5" s="1"/>
  <c r="L476" i="5"/>
  <c r="K477" i="5"/>
  <c r="M477" i="5" s="1"/>
  <c r="L477" i="5"/>
  <c r="K478" i="5"/>
  <c r="M478" i="5" s="1"/>
  <c r="L478" i="5"/>
  <c r="K479" i="5"/>
  <c r="M479" i="5" s="1"/>
  <c r="L479" i="5"/>
  <c r="K480" i="5"/>
  <c r="M480" i="5" s="1"/>
  <c r="L480" i="5"/>
  <c r="K481" i="5"/>
  <c r="M481" i="5" s="1"/>
  <c r="L481" i="5"/>
  <c r="K482" i="5"/>
  <c r="M482" i="5" s="1"/>
  <c r="L482" i="5"/>
  <c r="K483" i="5"/>
  <c r="M483" i="5"/>
  <c r="L483" i="5"/>
  <c r="K484" i="5"/>
  <c r="M484" i="5" s="1"/>
  <c r="L484" i="5"/>
  <c r="K485" i="5"/>
  <c r="M485" i="5" s="1"/>
  <c r="L485" i="5"/>
  <c r="K486" i="5"/>
  <c r="M486" i="5" s="1"/>
  <c r="L486" i="5"/>
  <c r="K487" i="5"/>
  <c r="M487" i="5"/>
  <c r="L487" i="5"/>
  <c r="K488" i="5"/>
  <c r="M488" i="5" s="1"/>
  <c r="L488" i="5"/>
  <c r="K489" i="5"/>
  <c r="M489" i="5" s="1"/>
  <c r="L489" i="5"/>
  <c r="K490" i="5"/>
  <c r="M490" i="5" s="1"/>
  <c r="L490" i="5"/>
  <c r="K491" i="5"/>
  <c r="M491" i="5"/>
  <c r="L491" i="5"/>
  <c r="K492" i="5"/>
  <c r="M492" i="5" s="1"/>
  <c r="L492" i="5"/>
  <c r="K493" i="5"/>
  <c r="M493" i="5" s="1"/>
  <c r="L493" i="5"/>
  <c r="K494" i="5"/>
  <c r="M494" i="5" s="1"/>
  <c r="L494" i="5"/>
  <c r="K495" i="5"/>
  <c r="M495" i="5" s="1"/>
  <c r="L495" i="5"/>
  <c r="K496" i="5"/>
  <c r="M496" i="5" s="1"/>
  <c r="L496" i="5"/>
  <c r="K497" i="5"/>
  <c r="M497" i="5" s="1"/>
  <c r="L497" i="5"/>
  <c r="K498" i="5"/>
  <c r="M498" i="5" s="1"/>
  <c r="L498" i="5"/>
  <c r="K499" i="5"/>
  <c r="M499" i="5"/>
  <c r="L499" i="5"/>
  <c r="K500" i="5"/>
  <c r="M500" i="5" s="1"/>
  <c r="L500" i="5"/>
  <c r="K501" i="5"/>
  <c r="M501" i="5" s="1"/>
  <c r="L501" i="5"/>
  <c r="K502" i="5"/>
  <c r="M502" i="5" s="1"/>
  <c r="L502" i="5"/>
  <c r="K503" i="5"/>
  <c r="M503" i="5"/>
  <c r="L503" i="5"/>
  <c r="K504" i="5"/>
  <c r="M504" i="5" s="1"/>
  <c r="L504" i="5"/>
  <c r="K505" i="5"/>
  <c r="M505" i="5" s="1"/>
  <c r="L505" i="5"/>
  <c r="K506" i="5"/>
  <c r="M506" i="5" s="1"/>
  <c r="L506" i="5"/>
  <c r="K507" i="5"/>
  <c r="M507" i="5"/>
  <c r="L507" i="5"/>
  <c r="K508" i="5"/>
  <c r="M508" i="5" s="1"/>
  <c r="L508" i="5"/>
  <c r="K509" i="5"/>
  <c r="M509" i="5" s="1"/>
  <c r="L509" i="5"/>
  <c r="K510" i="5"/>
  <c r="M510" i="5" s="1"/>
  <c r="L510" i="5"/>
  <c r="K511" i="5"/>
  <c r="M511" i="5" s="1"/>
  <c r="L511" i="5"/>
  <c r="K512" i="5"/>
  <c r="M512" i="5" s="1"/>
  <c r="L512" i="5"/>
  <c r="K513" i="5"/>
  <c r="M513" i="5" s="1"/>
  <c r="L513" i="5"/>
  <c r="K514" i="5"/>
  <c r="M514" i="5" s="1"/>
  <c r="L514" i="5"/>
  <c r="K515" i="5"/>
  <c r="M515" i="5"/>
  <c r="L515" i="5"/>
  <c r="K516" i="5"/>
  <c r="M516" i="5" s="1"/>
  <c r="L516" i="5"/>
  <c r="K517" i="5"/>
  <c r="M517" i="5" s="1"/>
  <c r="L517" i="5"/>
  <c r="K518" i="5"/>
  <c r="M518" i="5" s="1"/>
  <c r="L518" i="5"/>
  <c r="K519" i="5"/>
  <c r="M519" i="5"/>
  <c r="L519" i="5"/>
  <c r="K520" i="5"/>
  <c r="M520" i="5" s="1"/>
  <c r="L520" i="5"/>
  <c r="K521" i="5"/>
  <c r="M521" i="5" s="1"/>
  <c r="L521" i="5"/>
  <c r="K522" i="5"/>
  <c r="M522" i="5" s="1"/>
  <c r="L522" i="5"/>
  <c r="K523" i="5"/>
  <c r="M523" i="5"/>
  <c r="L523" i="5"/>
  <c r="K524" i="5"/>
  <c r="M524" i="5" s="1"/>
  <c r="L524" i="5"/>
  <c r="K525" i="5"/>
  <c r="M525" i="5" s="1"/>
  <c r="L525" i="5"/>
  <c r="K526" i="5"/>
  <c r="M526" i="5" s="1"/>
  <c r="L526" i="5"/>
  <c r="K527" i="5"/>
  <c r="M527" i="5" s="1"/>
  <c r="L527" i="5"/>
  <c r="K528" i="5"/>
  <c r="M528" i="5" s="1"/>
  <c r="L528" i="5"/>
  <c r="K529" i="5"/>
  <c r="M529" i="5" s="1"/>
  <c r="L529" i="5"/>
  <c r="K530" i="5"/>
  <c r="M530" i="5" s="1"/>
  <c r="L530" i="5"/>
  <c r="K531" i="5"/>
  <c r="M531" i="5"/>
  <c r="L531" i="5"/>
  <c r="K532" i="5"/>
  <c r="M532" i="5" s="1"/>
  <c r="L532" i="5"/>
  <c r="K533" i="5"/>
  <c r="M533" i="5" s="1"/>
  <c r="L533" i="5"/>
  <c r="K534" i="5"/>
  <c r="M534" i="5" s="1"/>
  <c r="L534" i="5"/>
  <c r="K535" i="5"/>
  <c r="M535" i="5"/>
  <c r="L535" i="5"/>
  <c r="K536" i="5"/>
  <c r="M536" i="5" s="1"/>
  <c r="L536" i="5"/>
  <c r="K537" i="5"/>
  <c r="M537" i="5" s="1"/>
  <c r="L537" i="5"/>
  <c r="K538" i="5"/>
  <c r="M538" i="5" s="1"/>
  <c r="L538" i="5"/>
  <c r="K539" i="5"/>
  <c r="M539" i="5"/>
  <c r="L539" i="5"/>
  <c r="K540" i="5"/>
  <c r="M540" i="5" s="1"/>
  <c r="L540" i="5"/>
  <c r="K541" i="5"/>
  <c r="M541" i="5" s="1"/>
  <c r="L541" i="5"/>
  <c r="K542" i="5"/>
  <c r="M542" i="5" s="1"/>
  <c r="L542" i="5"/>
  <c r="K543" i="5"/>
  <c r="M543" i="5" s="1"/>
  <c r="L543" i="5"/>
  <c r="K544" i="5"/>
  <c r="M544" i="5" s="1"/>
  <c r="L544" i="5"/>
  <c r="K545" i="5"/>
  <c r="M545" i="5" s="1"/>
  <c r="L545" i="5"/>
  <c r="K546" i="5"/>
  <c r="M546" i="5" s="1"/>
  <c r="L546" i="5"/>
  <c r="K547" i="5"/>
  <c r="M547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3" i="5"/>
  <c r="L594" i="5"/>
  <c r="L595" i="5"/>
  <c r="L596" i="5"/>
  <c r="L597" i="5"/>
  <c r="L598" i="5"/>
  <c r="L599" i="5"/>
  <c r="L600" i="5"/>
  <c r="L601" i="5"/>
  <c r="L602" i="5"/>
  <c r="L603" i="5"/>
  <c r="L604" i="5"/>
  <c r="L605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38" i="5"/>
  <c r="L639" i="5"/>
  <c r="L640" i="5"/>
  <c r="L641" i="5"/>
  <c r="L642" i="5"/>
  <c r="L643" i="5"/>
  <c r="L644" i="5"/>
  <c r="L645" i="5"/>
  <c r="L646" i="5"/>
  <c r="L647" i="5"/>
  <c r="L648" i="5"/>
  <c r="L649" i="5"/>
  <c r="L650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3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7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1" i="5"/>
  <c r="L722" i="5"/>
  <c r="L723" i="5"/>
  <c r="L724" i="5"/>
  <c r="L725" i="5"/>
  <c r="L726" i="5"/>
  <c r="L727" i="5"/>
  <c r="L728" i="5"/>
  <c r="L729" i="5"/>
  <c r="L730" i="5"/>
  <c r="L731" i="5"/>
  <c r="L732" i="5"/>
  <c r="L733" i="5"/>
  <c r="L734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8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7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852" i="5"/>
  <c r="L853" i="5"/>
  <c r="L854" i="5"/>
  <c r="L855" i="5"/>
  <c r="L856" i="5"/>
  <c r="L857" i="5"/>
  <c r="L858" i="5"/>
  <c r="L859" i="5"/>
  <c r="L860" i="5"/>
  <c r="L861" i="5"/>
  <c r="L862" i="5"/>
  <c r="L863" i="5"/>
  <c r="L864" i="5"/>
  <c r="L865" i="5"/>
  <c r="L866" i="5"/>
  <c r="L867" i="5"/>
  <c r="L868" i="5"/>
  <c r="L869" i="5"/>
  <c r="L870" i="5"/>
  <c r="L871" i="5"/>
  <c r="L872" i="5"/>
  <c r="L873" i="5"/>
  <c r="L874" i="5"/>
  <c r="L875" i="5"/>
  <c r="L876" i="5"/>
  <c r="L877" i="5"/>
  <c r="L878" i="5"/>
  <c r="L879" i="5"/>
  <c r="L880" i="5"/>
  <c r="L881" i="5"/>
  <c r="L882" i="5"/>
  <c r="L883" i="5"/>
  <c r="L884" i="5"/>
  <c r="L885" i="5"/>
  <c r="L886" i="5"/>
  <c r="L887" i="5"/>
  <c r="L888" i="5"/>
  <c r="L889" i="5"/>
  <c r="L890" i="5"/>
  <c r="L891" i="5"/>
  <c r="L892" i="5"/>
  <c r="L893" i="5"/>
  <c r="L894" i="5"/>
  <c r="L895" i="5"/>
  <c r="L896" i="5"/>
  <c r="L897" i="5"/>
  <c r="L898" i="5"/>
  <c r="L899" i="5"/>
  <c r="L900" i="5"/>
  <c r="L901" i="5"/>
  <c r="L902" i="5"/>
  <c r="L903" i="5"/>
  <c r="L904" i="5"/>
  <c r="L905" i="5"/>
  <c r="L906" i="5"/>
  <c r="L907" i="5"/>
  <c r="L908" i="5"/>
  <c r="L909" i="5"/>
  <c r="L910" i="5"/>
  <c r="L911" i="5"/>
  <c r="L912" i="5"/>
  <c r="L913" i="5"/>
  <c r="L914" i="5"/>
  <c r="L915" i="5"/>
  <c r="L916" i="5"/>
  <c r="L917" i="5"/>
  <c r="L918" i="5"/>
  <c r="L919" i="5"/>
  <c r="L920" i="5"/>
  <c r="L921" i="5"/>
  <c r="L922" i="5"/>
  <c r="L923" i="5"/>
  <c r="L924" i="5"/>
  <c r="L925" i="5"/>
  <c r="L926" i="5"/>
  <c r="L927" i="5"/>
  <c r="L928" i="5"/>
  <c r="L929" i="5"/>
  <c r="L930" i="5"/>
  <c r="L931" i="5"/>
  <c r="L932" i="5"/>
  <c r="L933" i="5"/>
  <c r="L934" i="5"/>
  <c r="L935" i="5"/>
  <c r="L936" i="5"/>
  <c r="L937" i="5"/>
  <c r="L938" i="5"/>
  <c r="L939" i="5"/>
  <c r="L940" i="5"/>
  <c r="L941" i="5"/>
  <c r="L942" i="5"/>
  <c r="L943" i="5"/>
  <c r="L944" i="5"/>
  <c r="L945" i="5"/>
  <c r="L946" i="5"/>
  <c r="L947" i="5"/>
  <c r="L948" i="5"/>
  <c r="L949" i="5"/>
  <c r="L950" i="5"/>
  <c r="L951" i="5"/>
  <c r="L952" i="5"/>
  <c r="L953" i="5"/>
  <c r="L954" i="5"/>
  <c r="L955" i="5"/>
  <c r="L956" i="5"/>
  <c r="L957" i="5"/>
  <c r="L958" i="5"/>
  <c r="L959" i="5"/>
  <c r="L960" i="5"/>
  <c r="L961" i="5"/>
  <c r="L962" i="5"/>
  <c r="L963" i="5"/>
  <c r="L964" i="5"/>
  <c r="L965" i="5"/>
  <c r="L966" i="5"/>
  <c r="L967" i="5"/>
  <c r="L968" i="5"/>
  <c r="L969" i="5"/>
  <c r="L970" i="5"/>
  <c r="L971" i="5"/>
  <c r="L972" i="5"/>
  <c r="L973" i="5"/>
  <c r="L974" i="5"/>
  <c r="L975" i="5"/>
  <c r="L976" i="5"/>
  <c r="L977" i="5"/>
  <c r="L978" i="5"/>
  <c r="L979" i="5"/>
  <c r="L980" i="5"/>
  <c r="L981" i="5"/>
  <c r="L982" i="5"/>
  <c r="L983" i="5"/>
  <c r="L984" i="5"/>
  <c r="L985" i="5"/>
  <c r="L986" i="5"/>
  <c r="L987" i="5"/>
  <c r="L988" i="5"/>
  <c r="L989" i="5"/>
  <c r="L990" i="5"/>
  <c r="L991" i="5"/>
  <c r="L992" i="5"/>
  <c r="L993" i="5"/>
  <c r="L994" i="5"/>
  <c r="L995" i="5"/>
  <c r="L996" i="5"/>
  <c r="L997" i="5"/>
  <c r="L998" i="5"/>
  <c r="L999" i="5"/>
  <c r="L1000" i="5"/>
  <c r="L1001" i="5"/>
  <c r="L1002" i="5"/>
  <c r="L1003" i="5"/>
  <c r="L1004" i="5"/>
  <c r="L1005" i="5"/>
  <c r="L1006" i="5"/>
  <c r="L1007" i="5"/>
  <c r="L1008" i="5"/>
  <c r="L1009" i="5"/>
  <c r="L1010" i="5"/>
  <c r="L1011" i="5"/>
  <c r="L1012" i="5"/>
  <c r="L1013" i="5"/>
  <c r="L1014" i="5"/>
  <c r="L1015" i="5"/>
  <c r="L1016" i="5"/>
  <c r="L1017" i="5"/>
  <c r="L1018" i="5"/>
  <c r="L1019" i="5"/>
  <c r="L1020" i="5"/>
  <c r="L1021" i="5"/>
  <c r="L1022" i="5"/>
  <c r="L1023" i="5"/>
  <c r="L1024" i="5"/>
  <c r="L1025" i="5"/>
  <c r="L1026" i="5"/>
  <c r="L1027" i="5"/>
  <c r="L1028" i="5"/>
  <c r="L1029" i="5"/>
  <c r="L1030" i="5"/>
  <c r="L1031" i="5"/>
  <c r="L1032" i="5"/>
  <c r="L1033" i="5"/>
  <c r="L1034" i="5"/>
  <c r="L1035" i="5"/>
  <c r="L1036" i="5"/>
  <c r="L1037" i="5"/>
  <c r="L1038" i="5"/>
  <c r="L1039" i="5"/>
  <c r="L1040" i="5"/>
  <c r="L1041" i="5"/>
  <c r="L1042" i="5"/>
  <c r="L1043" i="5"/>
  <c r="L1044" i="5"/>
  <c r="L1045" i="5"/>
  <c r="L1046" i="5"/>
  <c r="L1047" i="5"/>
  <c r="L1048" i="5"/>
  <c r="L1049" i="5"/>
  <c r="L1050" i="5"/>
  <c r="L1051" i="5"/>
  <c r="L1052" i="5"/>
  <c r="L1053" i="5"/>
  <c r="L1054" i="5"/>
  <c r="L1055" i="5"/>
  <c r="L1056" i="5"/>
  <c r="L1057" i="5"/>
  <c r="L1058" i="5"/>
  <c r="L1059" i="5"/>
  <c r="L1060" i="5"/>
  <c r="L1061" i="5"/>
  <c r="L1062" i="5"/>
  <c r="L1063" i="5"/>
  <c r="L1064" i="5"/>
  <c r="L1065" i="5"/>
  <c r="L1066" i="5"/>
  <c r="L1067" i="5"/>
  <c r="L1068" i="5"/>
  <c r="L1069" i="5"/>
  <c r="L1070" i="5"/>
  <c r="L1071" i="5"/>
  <c r="L1072" i="5"/>
  <c r="L1073" i="5"/>
  <c r="L1074" i="5"/>
  <c r="L1075" i="5"/>
  <c r="L1076" i="5"/>
  <c r="L1077" i="5"/>
  <c r="L1078" i="5"/>
  <c r="L1079" i="5"/>
  <c r="L1080" i="5"/>
  <c r="L1081" i="5"/>
  <c r="L1082" i="5"/>
  <c r="L1083" i="5"/>
  <c r="L1084" i="5"/>
  <c r="L1085" i="5"/>
  <c r="L1086" i="5"/>
  <c r="L1087" i="5"/>
  <c r="L1088" i="5"/>
  <c r="L1089" i="5"/>
  <c r="L1090" i="5"/>
  <c r="L1091" i="5"/>
  <c r="L1092" i="5"/>
  <c r="L1093" i="5"/>
  <c r="L1094" i="5"/>
  <c r="L1095" i="5"/>
  <c r="L1096" i="5"/>
  <c r="L1097" i="5"/>
  <c r="L1098" i="5"/>
  <c r="L1099" i="5"/>
  <c r="L1100" i="5"/>
  <c r="L1101" i="5"/>
  <c r="L1102" i="5"/>
  <c r="L1103" i="5"/>
  <c r="L1104" i="5"/>
  <c r="L1105" i="5"/>
  <c r="L1106" i="5"/>
  <c r="L1107" i="5"/>
  <c r="L1108" i="5"/>
  <c r="L1109" i="5"/>
  <c r="L1110" i="5"/>
  <c r="L1111" i="5"/>
  <c r="L1112" i="5"/>
  <c r="L1113" i="5"/>
  <c r="L1114" i="5"/>
  <c r="L1115" i="5"/>
  <c r="L1116" i="5"/>
  <c r="L1117" i="5"/>
  <c r="L1118" i="5"/>
  <c r="L1119" i="5"/>
  <c r="L1120" i="5"/>
  <c r="L1121" i="5"/>
  <c r="L1122" i="5"/>
  <c r="L1123" i="5"/>
  <c r="L1124" i="5"/>
  <c r="L1125" i="5"/>
  <c r="L1126" i="5"/>
  <c r="L1127" i="5"/>
  <c r="L1128" i="5"/>
  <c r="L1129" i="5"/>
  <c r="L1130" i="5"/>
  <c r="L1131" i="5"/>
  <c r="L1132" i="5"/>
  <c r="L1133" i="5"/>
  <c r="L1134" i="5"/>
  <c r="L1135" i="5"/>
  <c r="L1136" i="5"/>
  <c r="L1137" i="5"/>
  <c r="L1138" i="5"/>
  <c r="L1139" i="5"/>
  <c r="L1140" i="5"/>
  <c r="L1141" i="5"/>
  <c r="L1142" i="5"/>
  <c r="L1143" i="5"/>
  <c r="L1144" i="5"/>
  <c r="L1145" i="5"/>
  <c r="L1146" i="5"/>
  <c r="L1147" i="5"/>
  <c r="L1148" i="5"/>
  <c r="L1149" i="5"/>
  <c r="L1150" i="5"/>
  <c r="L1151" i="5"/>
  <c r="L1152" i="5"/>
  <c r="L1153" i="5"/>
  <c r="L1154" i="5"/>
  <c r="L1155" i="5"/>
  <c r="L1156" i="5"/>
  <c r="L1157" i="5"/>
  <c r="L1158" i="5"/>
  <c r="L1159" i="5"/>
  <c r="L1160" i="5"/>
  <c r="L1161" i="5"/>
  <c r="L1162" i="5"/>
  <c r="L1163" i="5"/>
  <c r="L1164" i="5"/>
  <c r="L1165" i="5"/>
  <c r="L1166" i="5"/>
  <c r="L1167" i="5"/>
  <c r="L1168" i="5"/>
  <c r="L1169" i="5"/>
  <c r="L1170" i="5"/>
  <c r="L1171" i="5"/>
  <c r="L1172" i="5"/>
  <c r="L1173" i="5"/>
  <c r="L1174" i="5"/>
  <c r="L1175" i="5"/>
  <c r="L1176" i="5"/>
  <c r="L1177" i="5"/>
  <c r="L1178" i="5"/>
  <c r="L1179" i="5"/>
  <c r="L1180" i="5"/>
  <c r="L1181" i="5"/>
  <c r="L1182" i="5"/>
  <c r="L1183" i="5"/>
  <c r="L1184" i="5"/>
  <c r="L1185" i="5"/>
  <c r="L1186" i="5"/>
  <c r="L1187" i="5"/>
  <c r="L1188" i="5"/>
  <c r="L1189" i="5"/>
  <c r="L1190" i="5"/>
  <c r="L1191" i="5"/>
  <c r="L1192" i="5"/>
  <c r="L1193" i="5"/>
  <c r="L1194" i="5"/>
  <c r="L1195" i="5"/>
  <c r="L1196" i="5"/>
  <c r="L1197" i="5"/>
  <c r="L1198" i="5"/>
  <c r="L1199" i="5"/>
  <c r="L1200" i="5"/>
  <c r="L1201" i="5"/>
  <c r="L1202" i="5"/>
  <c r="L1203" i="5"/>
  <c r="L1204" i="5"/>
  <c r="L1205" i="5"/>
  <c r="K3" i="5"/>
  <c r="M3" i="5" s="1"/>
  <c r="L3" i="5"/>
  <c r="K4" i="5"/>
  <c r="M4" i="5" s="1"/>
  <c r="L4" i="5"/>
  <c r="K5" i="5"/>
  <c r="M5" i="5" s="1"/>
  <c r="L5" i="5"/>
  <c r="K6" i="5"/>
  <c r="M6" i="5" s="1"/>
  <c r="L6" i="5"/>
  <c r="K7" i="5"/>
  <c r="M7" i="5" s="1"/>
  <c r="L7" i="5"/>
  <c r="K8" i="5"/>
  <c r="M8" i="5" s="1"/>
  <c r="L8" i="5"/>
  <c r="K9" i="5"/>
  <c r="L9" i="5"/>
  <c r="K10" i="5"/>
  <c r="M10" i="5" s="1"/>
  <c r="L10" i="5"/>
  <c r="K11" i="5"/>
  <c r="M11" i="5" s="1"/>
  <c r="L11" i="5"/>
  <c r="K12" i="5"/>
  <c r="M12" i="5" s="1"/>
  <c r="L12" i="5"/>
  <c r="K13" i="5"/>
  <c r="M13" i="5"/>
  <c r="L13" i="5"/>
  <c r="K14" i="5"/>
  <c r="M14" i="5" s="1"/>
  <c r="L14" i="5"/>
  <c r="K15" i="5"/>
  <c r="M15" i="5" s="1"/>
  <c r="L15" i="5"/>
  <c r="K16" i="5"/>
  <c r="M16" i="5" s="1"/>
  <c r="L16" i="5"/>
  <c r="K17" i="5"/>
  <c r="M17" i="5"/>
  <c r="L17" i="5"/>
  <c r="K18" i="5"/>
  <c r="M18" i="5" s="1"/>
  <c r="L18" i="5"/>
  <c r="K19" i="5"/>
  <c r="M19" i="5" s="1"/>
  <c r="L19" i="5"/>
  <c r="K20" i="5"/>
  <c r="M20" i="5" s="1"/>
  <c r="L20" i="5"/>
  <c r="K21" i="5"/>
  <c r="M21" i="5" s="1"/>
  <c r="L21" i="5"/>
  <c r="K22" i="5"/>
  <c r="M22" i="5" s="1"/>
  <c r="L22" i="5"/>
  <c r="K23" i="5"/>
  <c r="M23" i="5" s="1"/>
  <c r="L23" i="5"/>
  <c r="K24" i="5"/>
  <c r="M24" i="5" s="1"/>
  <c r="L24" i="5"/>
  <c r="K25" i="5"/>
  <c r="M25" i="5"/>
  <c r="L25" i="5"/>
  <c r="K26" i="5"/>
  <c r="M26" i="5" s="1"/>
  <c r="L26" i="5"/>
  <c r="K27" i="5"/>
  <c r="M27" i="5" s="1"/>
  <c r="L27" i="5"/>
  <c r="K28" i="5"/>
  <c r="M28" i="5" s="1"/>
  <c r="L28" i="5"/>
  <c r="K29" i="5"/>
  <c r="M29" i="5"/>
  <c r="L29" i="5"/>
  <c r="K30" i="5"/>
  <c r="M30" i="5" s="1"/>
  <c r="L30" i="5"/>
  <c r="K31" i="5"/>
  <c r="M31" i="5" s="1"/>
  <c r="L31" i="5"/>
  <c r="K32" i="5"/>
  <c r="M32" i="5" s="1"/>
  <c r="L32" i="5"/>
  <c r="K33" i="5"/>
  <c r="M33" i="5"/>
  <c r="L33" i="5"/>
  <c r="K34" i="5"/>
  <c r="M34" i="5" s="1"/>
  <c r="L34" i="5"/>
  <c r="K35" i="5"/>
  <c r="M35" i="5" s="1"/>
  <c r="L35" i="5"/>
  <c r="K36" i="5"/>
  <c r="M36" i="5" s="1"/>
  <c r="L36" i="5"/>
  <c r="K37" i="5"/>
  <c r="M37" i="5" s="1"/>
  <c r="L37" i="5"/>
  <c r="K38" i="5"/>
  <c r="M38" i="5" s="1"/>
  <c r="L38" i="5"/>
  <c r="K39" i="5"/>
  <c r="M39" i="5" s="1"/>
  <c r="L39" i="5"/>
  <c r="K40" i="5"/>
  <c r="M40" i="5" s="1"/>
  <c r="L40" i="5"/>
  <c r="K41" i="5"/>
  <c r="M41" i="5"/>
  <c r="L41" i="5"/>
  <c r="K42" i="5"/>
  <c r="M42" i="5" s="1"/>
  <c r="L42" i="5"/>
  <c r="K43" i="5"/>
  <c r="M43" i="5" s="1"/>
  <c r="L43" i="5"/>
  <c r="K44" i="5"/>
  <c r="M44" i="5" s="1"/>
  <c r="L44" i="5"/>
  <c r="L2" i="5"/>
  <c r="K2" i="5"/>
  <c r="M2" i="5" s="1"/>
  <c r="B253" i="20"/>
  <c r="D253" i="20" s="1"/>
  <c r="E253" i="20" s="1"/>
  <c r="G253" i="20" s="1"/>
  <c r="C339" i="20"/>
  <c r="B339" i="20"/>
  <c r="F339" i="20"/>
  <c r="C345" i="20"/>
  <c r="E345" i="20"/>
  <c r="E344" i="20"/>
  <c r="E343" i="20"/>
  <c r="C344" i="20"/>
  <c r="C343" i="20"/>
  <c r="B345" i="20"/>
  <c r="B344" i="20"/>
  <c r="B343" i="20"/>
  <c r="C167" i="20"/>
  <c r="D167" i="20" s="1"/>
  <c r="M9" i="5"/>
  <c r="B57" i="20"/>
  <c r="C57" i="20" s="1"/>
  <c r="B56" i="20"/>
  <c r="C56" i="20" s="1"/>
  <c r="B55" i="20"/>
  <c r="C55" i="20" s="1"/>
  <c r="B54" i="20"/>
  <c r="C54" i="20" s="1"/>
  <c r="B53" i="20"/>
  <c r="C53" i="20" s="1"/>
  <c r="B52" i="20"/>
  <c r="C52" i="20" s="1"/>
  <c r="C51" i="20"/>
  <c r="C50" i="20"/>
  <c r="B4" i="28"/>
  <c r="B19" i="28"/>
  <c r="B64" i="28"/>
  <c r="B79" i="28"/>
  <c r="B94" i="28"/>
  <c r="B109" i="28"/>
  <c r="B34" i="28"/>
  <c r="B15" i="28"/>
  <c r="B16" i="28"/>
  <c r="B30" i="28"/>
  <c r="C30" i="28" s="1"/>
  <c r="B31" i="28"/>
  <c r="B45" i="28"/>
  <c r="C45" i="28" s="1"/>
  <c r="B46" i="28"/>
  <c r="C46" i="28" s="1"/>
  <c r="B3" i="28"/>
  <c r="D15" i="28" s="1"/>
  <c r="G15" i="28" s="1"/>
  <c r="H2" i="26" s="1"/>
  <c r="B111" i="28"/>
  <c r="C111" i="28" s="1"/>
  <c r="D111" i="28" s="1"/>
  <c r="G111" i="28" s="1"/>
  <c r="E9" i="26" s="1"/>
  <c r="B108" i="28"/>
  <c r="D109" i="28" s="1"/>
  <c r="G109" i="28" s="1"/>
  <c r="C9" i="26" s="1"/>
  <c r="B107" i="28"/>
  <c r="G107" i="28" s="1"/>
  <c r="A9" i="26" s="1"/>
  <c r="B96" i="28"/>
  <c r="C96" i="28" s="1"/>
  <c r="D96" i="28" s="1"/>
  <c r="G96" i="28" s="1"/>
  <c r="E8" i="26" s="1"/>
  <c r="B93" i="28"/>
  <c r="D94" i="28" s="1"/>
  <c r="G94" i="28" s="1"/>
  <c r="C8" i="26" s="1"/>
  <c r="B92" i="28"/>
  <c r="G92" i="28" s="1"/>
  <c r="A8" i="26" s="1"/>
  <c r="B81" i="28"/>
  <c r="C81" i="28" s="1"/>
  <c r="D81" i="28" s="1"/>
  <c r="G81" i="28" s="1"/>
  <c r="E7" i="26" s="1"/>
  <c r="B78" i="28"/>
  <c r="B77" i="28"/>
  <c r="G77" i="28" s="1"/>
  <c r="A7" i="26" s="1"/>
  <c r="B66" i="28"/>
  <c r="C66" i="28" s="1"/>
  <c r="D66" i="28" s="1"/>
  <c r="G66" i="28" s="1"/>
  <c r="E6" i="26" s="1"/>
  <c r="B63" i="28"/>
  <c r="D64" i="28" s="1"/>
  <c r="G64" i="28" s="1"/>
  <c r="C6" i="26" s="1"/>
  <c r="B62" i="28"/>
  <c r="G62" i="28" s="1"/>
  <c r="A6" i="26" s="1"/>
  <c r="B36" i="28"/>
  <c r="C36" i="28" s="1"/>
  <c r="D36" i="28" s="1"/>
  <c r="G36" i="28" s="1"/>
  <c r="E4" i="26" s="1"/>
  <c r="B33" i="28"/>
  <c r="D46" i="28" s="1"/>
  <c r="G46" i="28" s="1"/>
  <c r="G4" i="26" s="1"/>
  <c r="B32" i="28"/>
  <c r="G32" i="28" s="1"/>
  <c r="A4" i="26" s="1"/>
  <c r="B121" i="28"/>
  <c r="C121" i="28" s="1"/>
  <c r="B120" i="28"/>
  <c r="C120" i="28" s="1"/>
  <c r="D9" i="26"/>
  <c r="G108" i="28"/>
  <c r="B9" i="26" s="1"/>
  <c r="B106" i="28"/>
  <c r="C106" i="28" s="1"/>
  <c r="B105" i="28"/>
  <c r="C105" i="28" s="1"/>
  <c r="B91" i="28"/>
  <c r="C91" i="28" s="1"/>
  <c r="B90" i="28"/>
  <c r="C90" i="28" s="1"/>
  <c r="D7" i="26"/>
  <c r="B76" i="28"/>
  <c r="C76" i="28" s="1"/>
  <c r="B75" i="28"/>
  <c r="C75" i="28"/>
  <c r="B21" i="28"/>
  <c r="C21" i="28" s="1"/>
  <c r="D21" i="28" s="1"/>
  <c r="B18" i="28"/>
  <c r="G18" i="28" s="1"/>
  <c r="B3" i="26" s="1"/>
  <c r="B17" i="28"/>
  <c r="G17" i="28" s="1"/>
  <c r="A3" i="26" s="1"/>
  <c r="C31" i="28"/>
  <c r="G21" i="28"/>
  <c r="E3" i="26" s="1"/>
  <c r="D3" i="26"/>
  <c r="B6" i="28"/>
  <c r="C6" i="28" s="1"/>
  <c r="D6" i="28" s="1"/>
  <c r="G6" i="28" s="1"/>
  <c r="E2" i="26" s="1"/>
  <c r="B2" i="28"/>
  <c r="G2" i="28" s="1"/>
  <c r="A2" i="26" s="1"/>
  <c r="I39" i="5"/>
  <c r="I40" i="5"/>
  <c r="I41" i="5"/>
  <c r="I42" i="5"/>
  <c r="I43" i="5"/>
  <c r="I44" i="5"/>
  <c r="I45" i="5"/>
  <c r="I46" i="5"/>
  <c r="I47" i="5"/>
  <c r="I48" i="5"/>
  <c r="J48" i="5"/>
  <c r="J44" i="5"/>
  <c r="J45" i="5"/>
  <c r="J46" i="5"/>
  <c r="J47" i="5"/>
  <c r="J39" i="5"/>
  <c r="J40" i="5"/>
  <c r="J41" i="5"/>
  <c r="J42" i="5"/>
  <c r="J43" i="5"/>
  <c r="A4" i="5"/>
  <c r="A2" i="5"/>
  <c r="B351" i="20"/>
  <c r="C351" i="20" s="1"/>
  <c r="D351" i="20" s="1"/>
  <c r="G351" i="20" s="1"/>
  <c r="FA2" i="19" s="1"/>
  <c r="B350" i="20"/>
  <c r="C350" i="20" s="1"/>
  <c r="D350" i="20" s="1"/>
  <c r="G350" i="20" s="1"/>
  <c r="FB2" i="19" s="1"/>
  <c r="B349" i="20"/>
  <c r="C349" i="20" s="1"/>
  <c r="B348" i="20"/>
  <c r="C348" i="20" s="1"/>
  <c r="B347" i="20"/>
  <c r="C347" i="20" s="1"/>
  <c r="B346" i="20"/>
  <c r="C346" i="20" s="1"/>
  <c r="E342" i="20"/>
  <c r="E341" i="20"/>
  <c r="E340" i="20"/>
  <c r="E339" i="20"/>
  <c r="E338" i="20"/>
  <c r="E337" i="20"/>
  <c r="E336" i="20"/>
  <c r="E335" i="20"/>
  <c r="E334" i="20"/>
  <c r="E333" i="20"/>
  <c r="E332" i="20"/>
  <c r="C332" i="20"/>
  <c r="C333" i="20"/>
  <c r="C342" i="20"/>
  <c r="C341" i="20"/>
  <c r="C340" i="20"/>
  <c r="C337" i="20"/>
  <c r="C336" i="20"/>
  <c r="C335" i="20"/>
  <c r="C334" i="20"/>
  <c r="B342" i="20"/>
  <c r="B341" i="20"/>
  <c r="B340" i="20"/>
  <c r="B338" i="20"/>
  <c r="B337" i="20"/>
  <c r="B336" i="20"/>
  <c r="B335" i="20"/>
  <c r="B334" i="20"/>
  <c r="B333" i="20"/>
  <c r="B332" i="20"/>
  <c r="B330" i="20"/>
  <c r="C330" i="20" s="1"/>
  <c r="D330" i="20" s="1"/>
  <c r="B329" i="20"/>
  <c r="C329" i="20" s="1"/>
  <c r="B328" i="20"/>
  <c r="C328" i="20" s="1"/>
  <c r="B327" i="20"/>
  <c r="C327" i="20" s="1"/>
  <c r="B326" i="20"/>
  <c r="B325" i="20"/>
  <c r="C325" i="20" s="1"/>
  <c r="B324" i="20"/>
  <c r="B323" i="20"/>
  <c r="C323" i="20" s="1"/>
  <c r="B322" i="20"/>
  <c r="C322" i="20" s="1"/>
  <c r="B321" i="20"/>
  <c r="G321" i="20" s="1"/>
  <c r="EW2" i="19" s="1"/>
  <c r="B320" i="20"/>
  <c r="B319" i="20"/>
  <c r="G319" i="20" s="1"/>
  <c r="EU2" i="19" s="1"/>
  <c r="B318" i="20"/>
  <c r="G318" i="20" s="1"/>
  <c r="ET2" i="19" s="1"/>
  <c r="B317" i="20"/>
  <c r="G317" i="20" s="1"/>
  <c r="ES2" i="19" s="1"/>
  <c r="B232" i="20"/>
  <c r="G232" i="20" s="1"/>
  <c r="EQ2" i="19" s="1"/>
  <c r="B315" i="20"/>
  <c r="G315" i="20" s="1"/>
  <c r="EP2" i="19" s="1"/>
  <c r="B314" i="20"/>
  <c r="G314" i="20" s="1"/>
  <c r="EO2" i="19" s="1"/>
  <c r="B313" i="20"/>
  <c r="B312" i="20"/>
  <c r="G312" i="20" s="1"/>
  <c r="EM2" i="19" s="1"/>
  <c r="B311" i="20"/>
  <c r="G311" i="20" s="1"/>
  <c r="EL2" i="19" s="1"/>
  <c r="B310" i="20"/>
  <c r="G310" i="20" s="1"/>
  <c r="EK2" i="19" s="1"/>
  <c r="B309" i="20"/>
  <c r="G309" i="20" s="1"/>
  <c r="EJ2" i="19" s="1"/>
  <c r="B308" i="20"/>
  <c r="B307" i="20"/>
  <c r="G307" i="20" s="1"/>
  <c r="EH2" i="19" s="1"/>
  <c r="B306" i="20"/>
  <c r="G306" i="20" s="1"/>
  <c r="EG2" i="19" s="1"/>
  <c r="B305" i="20"/>
  <c r="G305" i="20" s="1"/>
  <c r="EF2" i="19" s="1"/>
  <c r="B303" i="20"/>
  <c r="G303" i="20" s="1"/>
  <c r="ED2" i="19" s="1"/>
  <c r="B302" i="20"/>
  <c r="G302" i="20" s="1"/>
  <c r="EC2" i="19" s="1"/>
  <c r="B301" i="20"/>
  <c r="G301" i="20" s="1"/>
  <c r="EB2" i="19" s="1"/>
  <c r="B300" i="20"/>
  <c r="G300" i="20" s="1"/>
  <c r="EA2" i="19" s="1"/>
  <c r="B299" i="20"/>
  <c r="B298" i="20"/>
  <c r="G298" i="20" s="1"/>
  <c r="DY2" i="19" s="1"/>
  <c r="B297" i="20"/>
  <c r="G297" i="20" s="1"/>
  <c r="DX2" i="19" s="1"/>
  <c r="B296" i="20"/>
  <c r="B294" i="20"/>
  <c r="B293" i="20"/>
  <c r="G293" i="20" s="1"/>
  <c r="DT2" i="19" s="1"/>
  <c r="B292" i="20"/>
  <c r="B278" i="20"/>
  <c r="B277" i="20"/>
  <c r="C277" i="20" s="1"/>
  <c r="G277" i="20" s="1"/>
  <c r="DK2" i="19" s="1"/>
  <c r="B276" i="20"/>
  <c r="G276" i="20" s="1"/>
  <c r="DJ2" i="19" s="1"/>
  <c r="B275" i="20"/>
  <c r="G275" i="20" s="1"/>
  <c r="DI2" i="19" s="1"/>
  <c r="B274" i="20"/>
  <c r="G274" i="20" s="1"/>
  <c r="DH2" i="19" s="1"/>
  <c r="B273" i="20"/>
  <c r="B272" i="20"/>
  <c r="G272" i="20" s="1"/>
  <c r="DF2" i="19" s="1"/>
  <c r="B271" i="20"/>
  <c r="G271" i="20" s="1"/>
  <c r="DE2" i="19" s="1"/>
  <c r="B270" i="20"/>
  <c r="G270" i="20" s="1"/>
  <c r="DD2" i="19" s="1"/>
  <c r="B269" i="20"/>
  <c r="B268" i="20"/>
  <c r="G268" i="20" s="1"/>
  <c r="DB2" i="19" s="1"/>
  <c r="B267" i="20"/>
  <c r="B265" i="20"/>
  <c r="G265" i="20" s="1"/>
  <c r="CY2" i="19" s="1"/>
  <c r="B266" i="20"/>
  <c r="G266" i="20" s="1"/>
  <c r="CZ2" i="19" s="1"/>
  <c r="B264" i="20"/>
  <c r="G264" i="20" s="1"/>
  <c r="CX2" i="19" s="1"/>
  <c r="B262" i="20"/>
  <c r="G262" i="20" s="1"/>
  <c r="CV2" i="19" s="1"/>
  <c r="B261" i="20"/>
  <c r="G261" i="20" s="1"/>
  <c r="CU2" i="19" s="1"/>
  <c r="B260" i="20"/>
  <c r="B259" i="20"/>
  <c r="G259" i="20" s="1"/>
  <c r="CS2" i="19" s="1"/>
  <c r="B258" i="20"/>
  <c r="B257" i="20"/>
  <c r="G257" i="20" s="1"/>
  <c r="CQ2" i="19" s="1"/>
  <c r="B256" i="20"/>
  <c r="B255" i="20"/>
  <c r="B254" i="20"/>
  <c r="B252" i="20"/>
  <c r="B231" i="20"/>
  <c r="G231" i="20" s="1"/>
  <c r="CF2" i="19" s="1"/>
  <c r="B203" i="20"/>
  <c r="B230" i="20"/>
  <c r="C230" i="20" s="1"/>
  <c r="D230" i="20" s="1"/>
  <c r="B229" i="20"/>
  <c r="C229" i="20" s="1"/>
  <c r="D229" i="20" s="1"/>
  <c r="B228" i="20"/>
  <c r="C228" i="20" s="1"/>
  <c r="D228" i="20" s="1"/>
  <c r="B227" i="20"/>
  <c r="C227" i="20" s="1"/>
  <c r="D227" i="20" s="1"/>
  <c r="B226" i="20"/>
  <c r="C226" i="20" s="1"/>
  <c r="D226" i="20" s="1"/>
  <c r="B225" i="20"/>
  <c r="G225" i="20" s="1"/>
  <c r="CC2" i="19" s="1"/>
  <c r="B224" i="20"/>
  <c r="C224" i="20" s="1"/>
  <c r="D224" i="20" s="1"/>
  <c r="G224" i="20" s="1"/>
  <c r="CB2" i="19" s="1"/>
  <c r="B223" i="20"/>
  <c r="C223" i="20" s="1"/>
  <c r="D223" i="20" s="1"/>
  <c r="G223" i="20" s="1"/>
  <c r="CA2" i="19" s="1"/>
  <c r="B222" i="20"/>
  <c r="C222" i="20" s="1"/>
  <c r="D222" i="20" s="1"/>
  <c r="G222" i="20" s="1"/>
  <c r="BZ2" i="19" s="1"/>
  <c r="B221" i="20"/>
  <c r="C221" i="20" s="1"/>
  <c r="D221" i="20" s="1"/>
  <c r="G221" i="20" s="1"/>
  <c r="BY2" i="19" s="1"/>
  <c r="B220" i="20"/>
  <c r="C220" i="20" s="1"/>
  <c r="D220" i="20" s="1"/>
  <c r="G220" i="20" s="1"/>
  <c r="BX2" i="19" s="1"/>
  <c r="B219" i="20"/>
  <c r="C219" i="20" s="1"/>
  <c r="D219" i="20" s="1"/>
  <c r="G219" i="20" s="1"/>
  <c r="BW2" i="19" s="1"/>
  <c r="B218" i="20"/>
  <c r="C218" i="20" s="1"/>
  <c r="D218" i="20" s="1"/>
  <c r="B217" i="20"/>
  <c r="C217" i="20" s="1"/>
  <c r="D217" i="20" s="1"/>
  <c r="B216" i="20"/>
  <c r="C216" i="20" s="1"/>
  <c r="D216" i="20" s="1"/>
  <c r="B215" i="20"/>
  <c r="C215" i="20" s="1"/>
  <c r="D215" i="20" s="1"/>
  <c r="B214" i="20"/>
  <c r="C214" i="20" s="1"/>
  <c r="D214" i="20" s="1"/>
  <c r="B213" i="20"/>
  <c r="C213" i="20" s="1"/>
  <c r="D213" i="20" s="1"/>
  <c r="B212" i="20"/>
  <c r="C212" i="20" s="1"/>
  <c r="D212" i="20" s="1"/>
  <c r="B211" i="20"/>
  <c r="C211" i="20" s="1"/>
  <c r="D211" i="20" s="1"/>
  <c r="B210" i="20"/>
  <c r="C210" i="20" s="1"/>
  <c r="D210" i="20" s="1"/>
  <c r="B209" i="20"/>
  <c r="C209" i="20" s="1"/>
  <c r="D209" i="20" s="1"/>
  <c r="B208" i="20"/>
  <c r="C208" i="20" s="1"/>
  <c r="D208" i="20" s="1"/>
  <c r="B207" i="20"/>
  <c r="C207" i="20" s="1"/>
  <c r="D207" i="20" s="1"/>
  <c r="B206" i="20"/>
  <c r="C206" i="20" s="1"/>
  <c r="D206" i="20" s="1"/>
  <c r="B205" i="20"/>
  <c r="C205" i="20" s="1"/>
  <c r="D205" i="20" s="1"/>
  <c r="B204" i="20"/>
  <c r="C204" i="20" s="1"/>
  <c r="D204" i="20" s="1"/>
  <c r="B202" i="20"/>
  <c r="C202" i="20" s="1"/>
  <c r="D202" i="20" s="1"/>
  <c r="G202" i="20" s="1"/>
  <c r="BN2" i="19" s="1"/>
  <c r="B201" i="20"/>
  <c r="B200" i="20"/>
  <c r="C200" i="20" s="1"/>
  <c r="D200" i="20" s="1"/>
  <c r="B199" i="20"/>
  <c r="B198" i="20"/>
  <c r="C198" i="20" s="1"/>
  <c r="D198" i="20" s="1"/>
  <c r="B197" i="20"/>
  <c r="C197" i="20" s="1"/>
  <c r="D197" i="20" s="1"/>
  <c r="B196" i="20"/>
  <c r="C196" i="20" s="1"/>
  <c r="D196" i="20" s="1"/>
  <c r="B195" i="20"/>
  <c r="C195" i="20" s="1"/>
  <c r="D195" i="20" s="1"/>
  <c r="B194" i="20"/>
  <c r="C194" i="20" s="1"/>
  <c r="D194" i="20" s="1"/>
  <c r="B193" i="20"/>
  <c r="C193" i="20" s="1"/>
  <c r="D193" i="20" s="1"/>
  <c r="B192" i="20"/>
  <c r="C192" i="20" s="1"/>
  <c r="D192" i="20" s="1"/>
  <c r="B191" i="20"/>
  <c r="C191" i="20" s="1"/>
  <c r="D191" i="20" s="1"/>
  <c r="B190" i="20"/>
  <c r="C190" i="20" s="1"/>
  <c r="D190" i="20" s="1"/>
  <c r="B189" i="20"/>
  <c r="C189" i="20" s="1"/>
  <c r="D189" i="20" s="1"/>
  <c r="B188" i="20"/>
  <c r="C188" i="20" s="1"/>
  <c r="D188" i="20" s="1"/>
  <c r="B187" i="20"/>
  <c r="C187" i="20" s="1"/>
  <c r="D187" i="20" s="1"/>
  <c r="B186" i="20"/>
  <c r="C186" i="20" s="1"/>
  <c r="D186" i="20" s="1"/>
  <c r="B185" i="20"/>
  <c r="C185" i="20" s="1"/>
  <c r="D185" i="20" s="1"/>
  <c r="B184" i="20"/>
  <c r="C184" i="20" s="1"/>
  <c r="D184" i="20" s="1"/>
  <c r="B183" i="20"/>
  <c r="C183" i="20" s="1"/>
  <c r="D183" i="20" s="1"/>
  <c r="B182" i="20"/>
  <c r="C182" i="20" s="1"/>
  <c r="D182" i="20" s="1"/>
  <c r="B181" i="20"/>
  <c r="C181" i="20" s="1"/>
  <c r="D181" i="20" s="1"/>
  <c r="B63" i="20"/>
  <c r="C63" i="20" s="1"/>
  <c r="D63" i="20" s="1"/>
  <c r="G63" i="20" s="1"/>
  <c r="AC2" i="19" s="1"/>
  <c r="B175" i="20"/>
  <c r="C175" i="20" s="1"/>
  <c r="D175" i="20" s="1"/>
  <c r="B180" i="20"/>
  <c r="C180" i="20" s="1"/>
  <c r="D180" i="20" s="1"/>
  <c r="B179" i="20"/>
  <c r="C179" i="20" s="1"/>
  <c r="D179" i="20" s="1"/>
  <c r="B178" i="20"/>
  <c r="C178" i="20" s="1"/>
  <c r="D178" i="20" s="1"/>
  <c r="B177" i="20"/>
  <c r="C177" i="20" s="1"/>
  <c r="D177" i="20" s="1"/>
  <c r="B176" i="20"/>
  <c r="C176" i="20" s="1"/>
  <c r="D176" i="20" s="1"/>
  <c r="B174" i="20"/>
  <c r="C174" i="20" s="1"/>
  <c r="D174" i="20" s="1"/>
  <c r="B173" i="20"/>
  <c r="C173" i="20" s="1"/>
  <c r="D173" i="20" s="1"/>
  <c r="B172" i="20"/>
  <c r="C172" i="20" s="1"/>
  <c r="D172" i="20" s="1"/>
  <c r="B171" i="20"/>
  <c r="C171" i="20" s="1"/>
  <c r="D171" i="20" s="1"/>
  <c r="B170" i="20"/>
  <c r="C170" i="20" s="1"/>
  <c r="D170" i="20" s="1"/>
  <c r="B169" i="20"/>
  <c r="C169" i="20" s="1"/>
  <c r="D169" i="20" s="1"/>
  <c r="B61" i="20"/>
  <c r="B58" i="20"/>
  <c r="G58" i="20" s="1"/>
  <c r="Y2" i="19" s="1"/>
  <c r="B164" i="20"/>
  <c r="B163" i="20"/>
  <c r="G163" i="20" s="1"/>
  <c r="BB2" i="19" s="1"/>
  <c r="B162" i="20"/>
  <c r="C162" i="20" s="1"/>
  <c r="D162" i="20" s="1"/>
  <c r="G162" i="20" s="1"/>
  <c r="BA2" i="19" s="1"/>
  <c r="B161" i="20"/>
  <c r="C161" i="20" s="1"/>
  <c r="D161" i="20" s="1"/>
  <c r="G161" i="20" s="1"/>
  <c r="AZ2" i="19" s="1"/>
  <c r="B160" i="20"/>
  <c r="G160" i="20" s="1"/>
  <c r="AY2" i="19" s="1"/>
  <c r="B159" i="20"/>
  <c r="B158" i="20"/>
  <c r="C158" i="20"/>
  <c r="B156" i="20"/>
  <c r="C156" i="20" s="1"/>
  <c r="B154" i="20"/>
  <c r="C154" i="20" s="1"/>
  <c r="B152" i="20"/>
  <c r="C152" i="20" s="1"/>
  <c r="B157" i="20"/>
  <c r="C157" i="20" s="1"/>
  <c r="B155" i="20"/>
  <c r="C155" i="20" s="1"/>
  <c r="B153" i="20"/>
  <c r="C153" i="20" s="1"/>
  <c r="B151" i="20"/>
  <c r="C151" i="20" s="1"/>
  <c r="B150" i="20"/>
  <c r="C150" i="20" s="1"/>
  <c r="D150" i="20" s="1"/>
  <c r="G150" i="20" s="1"/>
  <c r="AV2" i="19" s="1"/>
  <c r="B149" i="20"/>
  <c r="G149" i="20" s="1"/>
  <c r="AU2" i="19" s="1"/>
  <c r="B147" i="20"/>
  <c r="C147" i="20" s="1"/>
  <c r="D147" i="20" s="1"/>
  <c r="G147" i="20" s="1"/>
  <c r="AS2" i="19" s="1"/>
  <c r="B148" i="20"/>
  <c r="C148" i="20" s="1"/>
  <c r="D148" i="20" s="1"/>
  <c r="G148" i="20" s="1"/>
  <c r="AT2" i="19" s="1"/>
  <c r="B146" i="20"/>
  <c r="C146" i="20" s="1"/>
  <c r="D146" i="20" s="1"/>
  <c r="G146" i="20" s="1"/>
  <c r="AR2" i="19" s="1"/>
  <c r="B145" i="20"/>
  <c r="G145" i="20" s="1"/>
  <c r="AQ2" i="19" s="1"/>
  <c r="B79" i="20"/>
  <c r="G79" i="20" s="1"/>
  <c r="AO2" i="19" s="1"/>
  <c r="B78" i="20"/>
  <c r="C78" i="20" s="1"/>
  <c r="D78" i="20" s="1"/>
  <c r="B77" i="20"/>
  <c r="C77" i="20" s="1"/>
  <c r="D77" i="20" s="1"/>
  <c r="B76" i="20"/>
  <c r="C76" i="20" s="1"/>
  <c r="D76" i="20" s="1"/>
  <c r="B75" i="20"/>
  <c r="C75" i="20" s="1"/>
  <c r="D75" i="20" s="1"/>
  <c r="B74" i="20"/>
  <c r="C74" i="20" s="1"/>
  <c r="D74" i="20" s="1"/>
  <c r="B73" i="20"/>
  <c r="B72" i="20"/>
  <c r="C71" i="20" s="1"/>
  <c r="G71" i="20" s="1"/>
  <c r="AK2" i="19" s="1"/>
  <c r="B70" i="20"/>
  <c r="C70" i="20" s="1"/>
  <c r="G70" i="20" s="1"/>
  <c r="AJ2" i="19" s="1"/>
  <c r="B69" i="20"/>
  <c r="C69" i="20" s="1"/>
  <c r="G69" i="20" s="1"/>
  <c r="AI2" i="19" s="1"/>
  <c r="B68" i="20"/>
  <c r="C68" i="20" s="1"/>
  <c r="G68" i="20" s="1"/>
  <c r="AH2" i="19" s="1"/>
  <c r="B67" i="20"/>
  <c r="C67" i="20" s="1"/>
  <c r="D67" i="20" s="1"/>
  <c r="G67" i="20" s="1"/>
  <c r="AG2" i="19" s="1"/>
  <c r="B66" i="20"/>
  <c r="G66" i="20" s="1"/>
  <c r="AF2" i="19" s="1"/>
  <c r="B65" i="20"/>
  <c r="G65" i="20" s="1"/>
  <c r="AE2" i="19" s="1"/>
  <c r="B64" i="20"/>
  <c r="B39" i="20"/>
  <c r="C39" i="20" s="1"/>
  <c r="D39" i="20" s="1"/>
  <c r="B38" i="20"/>
  <c r="C38" i="20" s="1"/>
  <c r="D38" i="20" s="1"/>
  <c r="B37" i="20"/>
  <c r="B36" i="20"/>
  <c r="C36" i="20" s="1"/>
  <c r="D36" i="20" s="1"/>
  <c r="B35" i="20"/>
  <c r="C35" i="20" s="1"/>
  <c r="D35" i="20" s="1"/>
  <c r="B34" i="20"/>
  <c r="C34" i="20" s="1"/>
  <c r="B33" i="20"/>
  <c r="B32" i="20"/>
  <c r="C32" i="20" s="1"/>
  <c r="D32" i="20" s="1"/>
  <c r="B31" i="20"/>
  <c r="C31" i="20" s="1"/>
  <c r="D31" i="20" s="1"/>
  <c r="B30" i="20"/>
  <c r="C30" i="20" s="1"/>
  <c r="D30" i="20" s="1"/>
  <c r="B29" i="20"/>
  <c r="C29" i="20" s="1"/>
  <c r="D29" i="20" s="1"/>
  <c r="B28" i="20"/>
  <c r="C28" i="20" s="1"/>
  <c r="D28" i="20" s="1"/>
  <c r="B27" i="20"/>
  <c r="C27" i="20" s="1"/>
  <c r="D27" i="20" s="1"/>
  <c r="B26" i="20"/>
  <c r="C26" i="20" s="1"/>
  <c r="D26" i="20" s="1"/>
  <c r="B24" i="20"/>
  <c r="G24" i="20" s="1"/>
  <c r="S2" i="19" s="1"/>
  <c r="B23" i="20"/>
  <c r="G23" i="20" s="1"/>
  <c r="R2" i="19" s="1"/>
  <c r="B22" i="20"/>
  <c r="G22" i="20" s="1"/>
  <c r="Q2" i="19" s="1"/>
  <c r="B20" i="20"/>
  <c r="C20" i="20" s="1"/>
  <c r="D20" i="20" s="1"/>
  <c r="G20" i="20" s="1"/>
  <c r="P2" i="19" s="1"/>
  <c r="B19" i="20"/>
  <c r="C19" i="20" s="1"/>
  <c r="D19" i="20" s="1"/>
  <c r="G19" i="20" s="1"/>
  <c r="O2" i="19" s="1"/>
  <c r="B18" i="20"/>
  <c r="C18" i="20" s="1"/>
  <c r="D18" i="20" s="1"/>
  <c r="G18" i="20" s="1"/>
  <c r="B17" i="20"/>
  <c r="C17" i="20"/>
  <c r="B16" i="20"/>
  <c r="C16" i="20" s="1"/>
  <c r="D16" i="20" s="1"/>
  <c r="G16" i="20" s="1"/>
  <c r="M2" i="19" s="1"/>
  <c r="B15" i="20"/>
  <c r="C15" i="20" s="1"/>
  <c r="D15" i="20" s="1"/>
  <c r="G15" i="20" s="1"/>
  <c r="L2" i="19" s="1"/>
  <c r="B13" i="20"/>
  <c r="C13" i="20" s="1"/>
  <c r="D13" i="20" s="1"/>
  <c r="G13" i="20" s="1"/>
  <c r="J2" i="19" s="1"/>
  <c r="B11" i="20"/>
  <c r="C11" i="20" s="1"/>
  <c r="D11" i="20" s="1"/>
  <c r="G11" i="20" s="1"/>
  <c r="I2" i="19" s="1"/>
  <c r="B9" i="20"/>
  <c r="C9" i="20" s="1"/>
  <c r="D9" i="20" s="1"/>
  <c r="G9" i="20" s="1"/>
  <c r="H2" i="19" s="1"/>
  <c r="B8" i="20"/>
  <c r="B7" i="20"/>
  <c r="G7" i="20" s="1"/>
  <c r="F2" i="19" s="1"/>
  <c r="B6" i="20"/>
  <c r="C6" i="20" s="1"/>
  <c r="D6" i="20" s="1"/>
  <c r="G6" i="20" s="1"/>
  <c r="E2" i="19" s="1"/>
  <c r="B5" i="20"/>
  <c r="G5" i="20" s="1"/>
  <c r="D2" i="19" s="1"/>
  <c r="B4" i="20"/>
  <c r="G4" i="20" s="1"/>
  <c r="C2" i="19" s="1"/>
  <c r="B3" i="20"/>
  <c r="G3" i="20" s="1"/>
  <c r="B2" i="19" s="1"/>
  <c r="B2" i="20"/>
  <c r="G2" i="20" s="1"/>
  <c r="A2" i="19" s="1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E2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3" i="5"/>
  <c r="C4" i="5"/>
  <c r="C5" i="5"/>
  <c r="A3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C2" i="5"/>
  <c r="C201" i="20"/>
  <c r="D201" i="20" s="1"/>
  <c r="C199" i="20"/>
  <c r="D199" i="20" s="1"/>
  <c r="C324" i="20"/>
  <c r="C119" i="28"/>
  <c r="B143" i="20" s="1"/>
  <c r="C143" i="20" s="1"/>
  <c r="C118" i="28"/>
  <c r="D118" i="28" s="1"/>
  <c r="C117" i="28"/>
  <c r="B141" i="20" s="1"/>
  <c r="C141" i="20" s="1"/>
  <c r="C116" i="28"/>
  <c r="D116" i="28" s="1"/>
  <c r="C115" i="28"/>
  <c r="B139" i="20" s="1"/>
  <c r="C139" i="20" s="1"/>
  <c r="C114" i="28"/>
  <c r="B138" i="20" s="1"/>
  <c r="C138" i="20" s="1"/>
  <c r="C113" i="28"/>
  <c r="B137" i="20" s="1"/>
  <c r="C137" i="20" s="1"/>
  <c r="C112" i="28"/>
  <c r="B136" i="20" s="1"/>
  <c r="C136" i="20" s="1"/>
  <c r="C104" i="28"/>
  <c r="D104" i="28" s="1"/>
  <c r="C103" i="28"/>
  <c r="D103" i="28" s="1"/>
  <c r="C102" i="28"/>
  <c r="B133" i="20" s="1"/>
  <c r="C133" i="20" s="1"/>
  <c r="C101" i="28"/>
  <c r="B132" i="20" s="1"/>
  <c r="C132" i="20" s="1"/>
  <c r="C100" i="28"/>
  <c r="D100" i="28" s="1"/>
  <c r="C99" i="28"/>
  <c r="B130" i="20" s="1"/>
  <c r="C130" i="20" s="1"/>
  <c r="C98" i="28"/>
  <c r="D98" i="28" s="1"/>
  <c r="C97" i="28"/>
  <c r="B128" i="20" s="1"/>
  <c r="C128" i="20" s="1"/>
  <c r="C89" i="28"/>
  <c r="B127" i="20" s="1"/>
  <c r="C127" i="20" s="1"/>
  <c r="C88" i="28"/>
  <c r="B126" i="20" s="1"/>
  <c r="C126" i="20" s="1"/>
  <c r="C87" i="28"/>
  <c r="B125" i="20" s="1"/>
  <c r="C125" i="20" s="1"/>
  <c r="C86" i="28"/>
  <c r="B124" i="20" s="1"/>
  <c r="C124" i="20" s="1"/>
  <c r="C85" i="28"/>
  <c r="B123" i="20" s="1"/>
  <c r="C123" i="20" s="1"/>
  <c r="C84" i="28"/>
  <c r="D84" i="28" s="1"/>
  <c r="C83" i="28"/>
  <c r="B121" i="20" s="1"/>
  <c r="C121" i="20" s="1"/>
  <c r="C82" i="28"/>
  <c r="D82" i="28" s="1"/>
  <c r="C74" i="28"/>
  <c r="D74" i="28" s="1"/>
  <c r="C73" i="28"/>
  <c r="B118" i="20" s="1"/>
  <c r="C118" i="20" s="1"/>
  <c r="C72" i="28"/>
  <c r="B117" i="20" s="1"/>
  <c r="C117" i="20" s="1"/>
  <c r="C71" i="28"/>
  <c r="B116" i="20" s="1"/>
  <c r="C116" i="20" s="1"/>
  <c r="C70" i="28"/>
  <c r="D70" i="28" s="1"/>
  <c r="C69" i="28"/>
  <c r="B114" i="20" s="1"/>
  <c r="C114" i="20" s="1"/>
  <c r="C68" i="28"/>
  <c r="D68" i="28" s="1"/>
  <c r="C67" i="28"/>
  <c r="B112" i="20" s="1"/>
  <c r="C112" i="20" s="1"/>
  <c r="C44" i="28"/>
  <c r="B103" i="20" s="1"/>
  <c r="C103" i="20" s="1"/>
  <c r="C43" i="28"/>
  <c r="B102" i="20" s="1"/>
  <c r="C102" i="20" s="1"/>
  <c r="C42" i="28"/>
  <c r="B101" i="20" s="1"/>
  <c r="C101" i="20" s="1"/>
  <c r="C41" i="28"/>
  <c r="B100" i="20" s="1"/>
  <c r="C100" i="20" s="1"/>
  <c r="C40" i="28"/>
  <c r="B99" i="20" s="1"/>
  <c r="C99" i="20" s="1"/>
  <c r="C39" i="28"/>
  <c r="B98" i="20" s="1"/>
  <c r="C98" i="20" s="1"/>
  <c r="C38" i="28"/>
  <c r="B97" i="20" s="1"/>
  <c r="C97" i="20" s="1"/>
  <c r="C37" i="28"/>
  <c r="B96" i="20" s="1"/>
  <c r="C96" i="20" s="1"/>
  <c r="C29" i="28"/>
  <c r="D29" i="28" s="1"/>
  <c r="C28" i="28"/>
  <c r="D28" i="28" s="1"/>
  <c r="C27" i="28"/>
  <c r="B93" i="20" s="1"/>
  <c r="C93" i="20" s="1"/>
  <c r="C26" i="28"/>
  <c r="B92" i="20" s="1"/>
  <c r="C92" i="20" s="1"/>
  <c r="C25" i="28"/>
  <c r="D25" i="28" s="1"/>
  <c r="C24" i="28"/>
  <c r="D24" i="28" s="1"/>
  <c r="C23" i="28"/>
  <c r="D23" i="28" s="1"/>
  <c r="C22" i="28"/>
  <c r="D22" i="28" s="1"/>
  <c r="C7" i="28"/>
  <c r="B80" i="20" s="1"/>
  <c r="C80" i="20" s="1"/>
  <c r="C33" i="20"/>
  <c r="D33" i="20" s="1"/>
  <c r="D34" i="20"/>
  <c r="C37" i="20"/>
  <c r="D37" i="20" s="1"/>
  <c r="C10" i="28"/>
  <c r="B83" i="20" s="1"/>
  <c r="C83" i="20" s="1"/>
  <c r="C11" i="28"/>
  <c r="D11" i="28" s="1"/>
  <c r="C13" i="28"/>
  <c r="B86" i="20" s="1"/>
  <c r="C86" i="20" s="1"/>
  <c r="C14" i="28"/>
  <c r="D14" i="28" s="1"/>
  <c r="C12" i="28"/>
  <c r="B85" i="20" s="1"/>
  <c r="C85" i="20" s="1"/>
  <c r="C9" i="28"/>
  <c r="D9" i="28" s="1"/>
  <c r="C8" i="28"/>
  <c r="D8" i="28" s="1"/>
  <c r="D31" i="28"/>
  <c r="G31" i="28" s="1"/>
  <c r="G3" i="26" s="1"/>
  <c r="D120" i="28"/>
  <c r="G120" i="28" s="1"/>
  <c r="H9" i="26" s="1"/>
  <c r="D121" i="28"/>
  <c r="G121" i="28" s="1"/>
  <c r="G9" i="26" s="1"/>
  <c r="D105" i="28"/>
  <c r="G105" i="28" s="1"/>
  <c r="H8" i="26" s="1"/>
  <c r="D90" i="28"/>
  <c r="G90" i="28" s="1"/>
  <c r="H7" i="26" s="1"/>
  <c r="D91" i="28"/>
  <c r="G91" i="28" s="1"/>
  <c r="G7" i="26" s="1"/>
  <c r="D75" i="28"/>
  <c r="G75" i="28" s="1"/>
  <c r="H6" i="26" s="1"/>
  <c r="D34" i="28"/>
  <c r="G34" i="28" s="1"/>
  <c r="C4" i="26" s="1"/>
  <c r="D30" i="28"/>
  <c r="G30" i="28" s="1"/>
  <c r="H3" i="26" s="1"/>
  <c r="D19" i="28"/>
  <c r="G19" i="28" s="1"/>
  <c r="C3" i="26" s="1"/>
  <c r="G256" i="20"/>
  <c r="CP2" i="19" s="1"/>
  <c r="G164" i="20"/>
  <c r="BC2" i="19" s="1"/>
  <c r="G159" i="20"/>
  <c r="AX2" i="19" s="1"/>
  <c r="G64" i="20"/>
  <c r="AD2" i="19" s="1"/>
  <c r="G61" i="20"/>
  <c r="AA2" i="19" s="1"/>
  <c r="G8" i="20"/>
  <c r="G2" i="19" s="1"/>
  <c r="D17" i="20"/>
  <c r="G17" i="20" s="1"/>
  <c r="N2" i="19" s="1"/>
  <c r="G60" i="20"/>
  <c r="C233" i="20"/>
  <c r="D233" i="20"/>
  <c r="G233" i="20" s="1"/>
  <c r="G252" i="20"/>
  <c r="CL2" i="19" s="1"/>
  <c r="G254" i="20"/>
  <c r="CN2" i="19" s="1"/>
  <c r="G255" i="20"/>
  <c r="CO2" i="19" s="1"/>
  <c r="G258" i="20"/>
  <c r="CR2" i="19" s="1"/>
  <c r="G260" i="20"/>
  <c r="CT2" i="19" s="1"/>
  <c r="G263" i="20"/>
  <c r="CW2" i="19" s="1"/>
  <c r="G267" i="20"/>
  <c r="DA2" i="19" s="1"/>
  <c r="G269" i="20"/>
  <c r="DC2" i="19" s="1"/>
  <c r="G273" i="20"/>
  <c r="DG2" i="19" s="1"/>
  <c r="C278" i="20"/>
  <c r="G278" i="20" s="1"/>
  <c r="DL2" i="19" s="1"/>
  <c r="G291" i="20"/>
  <c r="DR2" i="19" s="1"/>
  <c r="G292" i="20"/>
  <c r="DS2" i="19" s="1"/>
  <c r="G294" i="20"/>
  <c r="DU2" i="19" s="1"/>
  <c r="G296" i="20"/>
  <c r="DW2" i="19" s="1"/>
  <c r="G299" i="20"/>
  <c r="DZ2" i="19" s="1"/>
  <c r="EE2" i="19"/>
  <c r="G308" i="20"/>
  <c r="EI2" i="19" s="1"/>
  <c r="G313" i="20"/>
  <c r="EN2" i="19" s="1"/>
  <c r="G320" i="20"/>
  <c r="EV2" i="19" s="1"/>
  <c r="C16" i="28"/>
  <c r="C15" i="28"/>
  <c r="B142" i="20"/>
  <c r="C142" i="20" s="1"/>
  <c r="D117" i="28"/>
  <c r="D114" i="28"/>
  <c r="B134" i="20"/>
  <c r="C134" i="20" s="1"/>
  <c r="B131" i="20"/>
  <c r="C131" i="20" s="1"/>
  <c r="B129" i="20"/>
  <c r="C129" i="20" s="1"/>
  <c r="D88" i="28"/>
  <c r="D87" i="28"/>
  <c r="B120" i="20"/>
  <c r="C120" i="20" s="1"/>
  <c r="B119" i="20"/>
  <c r="C119" i="20" s="1"/>
  <c r="D69" i="28"/>
  <c r="B113" i="20"/>
  <c r="C113" i="20" s="1"/>
  <c r="B111" i="20"/>
  <c r="C111" i="20" s="1"/>
  <c r="B109" i="20"/>
  <c r="C109" i="20" s="1"/>
  <c r="B107" i="20"/>
  <c r="C107" i="20" s="1"/>
  <c r="B105" i="20"/>
  <c r="C105" i="20" s="1"/>
  <c r="D40" i="28"/>
  <c r="D39" i="28"/>
  <c r="B95" i="20"/>
  <c r="C95" i="20" s="1"/>
  <c r="B94" i="20"/>
  <c r="C94" i="20" s="1"/>
  <c r="B89" i="20"/>
  <c r="C89" i="20" s="1"/>
  <c r="D27" i="28" l="1"/>
  <c r="D38" i="28"/>
  <c r="D42" i="28"/>
  <c r="D113" i="28"/>
  <c r="D13" i="28"/>
  <c r="D72" i="28"/>
  <c r="D83" i="28"/>
  <c r="D102" i="28"/>
  <c r="D106" i="28"/>
  <c r="G106" i="28" s="1"/>
  <c r="G8" i="26" s="1"/>
  <c r="G93" i="28"/>
  <c r="B8" i="26" s="1"/>
  <c r="B122" i="20"/>
  <c r="C122" i="20" s="1"/>
  <c r="D60" i="28"/>
  <c r="G60" i="28" s="1"/>
  <c r="H5" i="26" s="1"/>
  <c r="D327" i="20"/>
  <c r="D329" i="20"/>
  <c r="G295" i="20"/>
  <c r="DV2" i="19" s="1"/>
  <c r="G206" i="20"/>
  <c r="BP2" i="19" s="1"/>
  <c r="D323" i="20"/>
  <c r="D347" i="20"/>
  <c r="G214" i="20"/>
  <c r="BT2" i="19" s="1"/>
  <c r="G345" i="20"/>
  <c r="EY2" i="19" s="1"/>
  <c r="G72" i="20"/>
  <c r="AL2" i="19" s="1"/>
  <c r="B71" i="20"/>
  <c r="G168" i="20"/>
  <c r="BD2" i="19" s="1"/>
  <c r="D325" i="20"/>
  <c r="D322" i="20"/>
  <c r="E234" i="20"/>
  <c r="E244" i="20" s="1"/>
  <c r="E245" i="20" s="1"/>
  <c r="E246" i="20" s="1"/>
  <c r="E247" i="20" s="1"/>
  <c r="G247" i="20" s="1"/>
  <c r="C326" i="20"/>
  <c r="D326" i="20" s="1"/>
  <c r="G230" i="20"/>
  <c r="CE2" i="19" s="1"/>
  <c r="G212" i="20"/>
  <c r="BS2" i="19" s="1"/>
  <c r="G216" i="20"/>
  <c r="BU2" i="19" s="1"/>
  <c r="G228" i="20"/>
  <c r="CD2" i="19" s="1"/>
  <c r="B280" i="20"/>
  <c r="C279" i="20" s="1"/>
  <c r="G171" i="20"/>
  <c r="BE2" i="19" s="1"/>
  <c r="G193" i="20"/>
  <c r="BK2" i="19" s="1"/>
  <c r="B115" i="20"/>
  <c r="C115" i="20" s="1"/>
  <c r="D85" i="28"/>
  <c r="D89" i="28"/>
  <c r="G210" i="20"/>
  <c r="BR2" i="19" s="1"/>
  <c r="C203" i="20"/>
  <c r="D203" i="20" s="1"/>
  <c r="G204" i="20" s="1"/>
  <c r="BO2" i="19" s="1"/>
  <c r="D346" i="20"/>
  <c r="G218" i="20"/>
  <c r="BV2" i="19" s="1"/>
  <c r="G185" i="20"/>
  <c r="BI2" i="19" s="1"/>
  <c r="G189" i="20"/>
  <c r="BJ2" i="19" s="1"/>
  <c r="D10" i="28"/>
  <c r="B135" i="20"/>
  <c r="C135" i="20" s="1"/>
  <c r="D115" i="28"/>
  <c r="G73" i="20"/>
  <c r="AM2" i="19" s="1"/>
  <c r="G197" i="20"/>
  <c r="BL2" i="19" s="1"/>
  <c r="G177" i="20"/>
  <c r="BG2" i="19" s="1"/>
  <c r="B91" i="20"/>
  <c r="C91" i="20" s="1"/>
  <c r="B140" i="20"/>
  <c r="C140" i="20" s="1"/>
  <c r="D119" i="28"/>
  <c r="G208" i="20"/>
  <c r="BQ2" i="19" s="1"/>
  <c r="D12" i="28"/>
  <c r="D26" i="28"/>
  <c r="G29" i="28" s="1"/>
  <c r="F3" i="26" s="1"/>
  <c r="D44" i="28"/>
  <c r="G316" i="20"/>
  <c r="B248" i="20"/>
  <c r="D248" i="20" s="1"/>
  <c r="G248" i="20" s="1"/>
  <c r="D40" i="20"/>
  <c r="D25" i="20"/>
  <c r="G29" i="20" s="1"/>
  <c r="T2" i="19" s="1"/>
  <c r="G158" i="20"/>
  <c r="AW2" i="19" s="1"/>
  <c r="D73" i="28"/>
  <c r="D99" i="28"/>
  <c r="D111" i="20"/>
  <c r="E111" i="20" s="1"/>
  <c r="B87" i="20"/>
  <c r="C87" i="20" s="1"/>
  <c r="G33" i="28"/>
  <c r="B4" i="26" s="1"/>
  <c r="B90" i="20"/>
  <c r="C90" i="20" s="1"/>
  <c r="D43" i="28"/>
  <c r="D76" i="28"/>
  <c r="G76" i="28" s="1"/>
  <c r="G6" i="26" s="1"/>
  <c r="D107" i="20"/>
  <c r="E107" i="20" s="1"/>
  <c r="D54" i="28"/>
  <c r="B106" i="20"/>
  <c r="C106" i="20" s="1"/>
  <c r="G57" i="20"/>
  <c r="X2" i="19" s="1"/>
  <c r="G201" i="20"/>
  <c r="BM2" i="19" s="1"/>
  <c r="D41" i="28"/>
  <c r="D67" i="28"/>
  <c r="D101" i="28"/>
  <c r="D4" i="28"/>
  <c r="G4" i="28" s="1"/>
  <c r="C2" i="26" s="1"/>
  <c r="D45" i="28"/>
  <c r="G45" i="28" s="1"/>
  <c r="H4" i="26" s="1"/>
  <c r="B81" i="20"/>
  <c r="C81" i="20" s="1"/>
  <c r="B88" i="20"/>
  <c r="C88" i="20" s="1"/>
  <c r="D37" i="28"/>
  <c r="D97" i="28"/>
  <c r="D71" i="28"/>
  <c r="D86" i="28"/>
  <c r="D112" i="28"/>
  <c r="G3" i="28"/>
  <c r="B2" i="26" s="1"/>
  <c r="D16" i="28"/>
  <c r="G16" i="28" s="1"/>
  <c r="G2" i="26" s="1"/>
  <c r="D105" i="20"/>
  <c r="E105" i="20" s="1"/>
  <c r="C60" i="28"/>
  <c r="D108" i="20"/>
  <c r="E108" i="20" s="1"/>
  <c r="D52" i="28"/>
  <c r="B104" i="20"/>
  <c r="C104" i="20" s="1"/>
  <c r="D56" i="28"/>
  <c r="B108" i="20"/>
  <c r="C108" i="20" s="1"/>
  <c r="D58" i="28"/>
  <c r="B110" i="20"/>
  <c r="C110" i="20" s="1"/>
  <c r="G63" i="28"/>
  <c r="B6" i="26" s="1"/>
  <c r="C47" i="20"/>
  <c r="D47" i="20" s="1"/>
  <c r="E47" i="20" s="1"/>
  <c r="D349" i="20"/>
  <c r="D348" i="20"/>
  <c r="G78" i="20"/>
  <c r="AN2" i="19" s="1"/>
  <c r="G39" i="20"/>
  <c r="V2" i="19" s="1"/>
  <c r="G180" i="20"/>
  <c r="BH2" i="19" s="1"/>
  <c r="G34" i="20"/>
  <c r="U2" i="19" s="1"/>
  <c r="CM2" i="19"/>
  <c r="G174" i="20"/>
  <c r="BF2" i="19" s="1"/>
  <c r="D324" i="20"/>
  <c r="D328" i="20"/>
  <c r="B82" i="20"/>
  <c r="C82" i="20" s="1"/>
  <c r="D7" i="28"/>
  <c r="B84" i="20"/>
  <c r="C84" i="20" s="1"/>
  <c r="E225" i="20"/>
  <c r="D79" i="28"/>
  <c r="G79" i="28" s="1"/>
  <c r="C7" i="26" s="1"/>
  <c r="G78" i="28"/>
  <c r="B7" i="26" s="1"/>
  <c r="D109" i="20"/>
  <c r="E109" i="20" s="1"/>
  <c r="E283" i="20"/>
  <c r="E284" i="20" s="1"/>
  <c r="E285" i="20" s="1"/>
  <c r="E287" i="20" s="1"/>
  <c r="G287" i="20" s="1"/>
  <c r="C281" i="20"/>
  <c r="D49" i="20"/>
  <c r="E49" i="20" s="1"/>
  <c r="C235" i="20"/>
  <c r="D235" i="20" s="1"/>
  <c r="G119" i="28" l="1"/>
  <c r="F9" i="26" s="1"/>
  <c r="E144" i="20"/>
  <c r="C280" i="20"/>
  <c r="E279" i="20" s="1"/>
  <c r="E280" i="20" s="1"/>
  <c r="E281" i="20" s="1"/>
  <c r="E282" i="20" s="1"/>
  <c r="G282" i="20" s="1"/>
  <c r="ER2" i="19"/>
  <c r="G330" i="20"/>
  <c r="EX2" i="19" s="1"/>
  <c r="G349" i="20"/>
  <c r="EZ2" i="19" s="1"/>
  <c r="G14" i="28"/>
  <c r="F2" i="26" s="1"/>
  <c r="G74" i="28"/>
  <c r="F6" i="26" s="1"/>
  <c r="CG2" i="19"/>
  <c r="E243" i="20"/>
  <c r="G89" i="28"/>
  <c r="F7" i="26" s="1"/>
  <c r="G104" i="28"/>
  <c r="F8" i="26" s="1"/>
  <c r="CH2" i="19"/>
  <c r="G49" i="20"/>
  <c r="W2" i="19" s="1"/>
  <c r="B14" i="20"/>
  <c r="C14" i="20" s="1"/>
  <c r="D14" i="20" s="1"/>
  <c r="G14" i="20" s="1"/>
  <c r="K2" i="19" s="1"/>
  <c r="G59" i="28"/>
  <c r="F5" i="26" s="1"/>
  <c r="G44" i="28"/>
  <c r="F4" i="26" s="1"/>
  <c r="C144" i="20"/>
  <c r="G144" i="20" s="1"/>
  <c r="AP2" i="19" s="1"/>
  <c r="DN2" i="19"/>
  <c r="DM2" i="19" l="1"/>
</calcChain>
</file>

<file path=xl/sharedStrings.xml><?xml version="1.0" encoding="utf-8"?>
<sst xmlns="http://schemas.openxmlformats.org/spreadsheetml/2006/main" count="12523" uniqueCount="3464">
  <si>
    <t>Veiledning til utfylling av skjemaet:</t>
  </si>
  <si>
    <t>Eventuelle kommentarer kan legges inn i kommentar-kolonnen helt til høyre</t>
  </si>
  <si>
    <t>En del av feltene merket med ----- består av såkalte nedtrekksmenyer med predefinerte valg.</t>
  </si>
  <si>
    <t xml:space="preserve">Dette rapporteringsskjema (excel), sammen med rapporteringsskjemaet for tekst (Word) danner grunnlag for formidling i  </t>
  </si>
  <si>
    <t>FutureBuilt prosjektdatabase.</t>
  </si>
  <si>
    <t>KONTAKT-OPPLYSNINGER</t>
  </si>
  <si>
    <t>Fyll inn</t>
  </si>
  <si>
    <t>Kommentar</t>
  </si>
  <si>
    <t>Dato</t>
    <phoneticPr fontId="4" type="noConversion"/>
  </si>
  <si>
    <t>(dagens dato, dvs. når skjemaet er fylt ut)</t>
    <phoneticPr fontId="4" type="noConversion"/>
  </si>
  <si>
    <t>PROSJEKT-OPPLYSNINGER</t>
  </si>
  <si>
    <t>Fyll inn / velg meny</t>
  </si>
  <si>
    <t>Prosjektnavn</t>
    <phoneticPr fontId="4" type="noConversion"/>
  </si>
  <si>
    <t>Tilvalgskriterier</t>
  </si>
  <si>
    <t>-----</t>
  </si>
  <si>
    <t>Adresse</t>
  </si>
  <si>
    <t>Gateadresse, postnr og poststed</t>
  </si>
  <si>
    <t>Kommune</t>
    <phoneticPr fontId="4" type="noConversion"/>
  </si>
  <si>
    <t>Prosjektperiode</t>
  </si>
  <si>
    <t>Oppstart planlegging (årstall)</t>
  </si>
  <si>
    <t>Ferdigstilt bygg (årstall evt planlagt ferdigstillelse)</t>
  </si>
  <si>
    <t>Status</t>
  </si>
  <si>
    <t>Velg et eller flere valg fra nedtrekksmenyene</t>
  </si>
  <si>
    <t>Prosjekttype (skala)</t>
  </si>
  <si>
    <t>Funksjon (bygningstype)</t>
  </si>
  <si>
    <t xml:space="preserve">Oppgi prosjektets sertifisering ved ferdigstillelse her </t>
  </si>
  <si>
    <t>Konkurranseform</t>
  </si>
  <si>
    <t>Entrepriseform</t>
  </si>
  <si>
    <t>Forskningsprosjekt</t>
  </si>
  <si>
    <t>INVOLVERTE</t>
  </si>
  <si>
    <t>Byggherre (BH)</t>
  </si>
  <si>
    <t>Arkitekt (ARK)</t>
  </si>
  <si>
    <t>Landskapsarkitekt (LARK)</t>
  </si>
  <si>
    <t>Interiørarkitekt (IARK)</t>
  </si>
  <si>
    <t>Opprinnelig arkitekt (rehabiliteringsprosjekter)</t>
  </si>
  <si>
    <t>Miljørådgiver (RIM)</t>
  </si>
  <si>
    <t>Universell utforming</t>
  </si>
  <si>
    <t>Byggfag (RIB)</t>
  </si>
  <si>
    <t>VVS-fag (RIV)</t>
  </si>
  <si>
    <t>Elektro (RIE)</t>
  </si>
  <si>
    <t>Bygningsfysikk (RIBfy)</t>
  </si>
  <si>
    <t>Brann (RIBr)</t>
  </si>
  <si>
    <t>Akustikk (RIAku)</t>
  </si>
  <si>
    <t>Andre rådgivere</t>
  </si>
  <si>
    <t>Entreprenør (ENT)</t>
  </si>
  <si>
    <t>Underentreprenører</t>
  </si>
  <si>
    <t>Angi underentreprenører og evt. leverandører som har vært viktig for å oppnå prosjektets miljømål</t>
  </si>
  <si>
    <t xml:space="preserve">Produsenter </t>
  </si>
  <si>
    <t>Angi viktige produsenter/produkter som har vært viktig for å oppnå miljømålene.</t>
  </si>
  <si>
    <t>ENERGI</t>
  </si>
  <si>
    <t xml:space="preserve">Beregnet netto energibehov 
</t>
  </si>
  <si>
    <t>kWh/m2 pr år</t>
  </si>
  <si>
    <t xml:space="preserve">Beregnet levert energibehov
</t>
  </si>
  <si>
    <t>Målt energibruk (levert 2 år etter)</t>
  </si>
  <si>
    <t xml:space="preserve">Energiforsyning og produksjon </t>
  </si>
  <si>
    <t>Varmeproduksjon (f.eks solfangere)</t>
  </si>
  <si>
    <t>kWh (totalt)</t>
  </si>
  <si>
    <t>Kjøleproduksjon (f.eks varmepumpe fra energibrønner)</t>
  </si>
  <si>
    <t>Elektrisitetsproduksjon (f.eks solcelle, vindmølle etc)</t>
  </si>
  <si>
    <t xml:space="preserve">Hovedenergiforsyningssystem </t>
  </si>
  <si>
    <t>Velg type fra meny, og forklar gjerne med "Spisslast", "Back-up" eller lignende</t>
  </si>
  <si>
    <t>grønne tak</t>
  </si>
  <si>
    <t>Transport</t>
  </si>
  <si>
    <t>kg CO2 ekv./m2 pr år</t>
  </si>
  <si>
    <t>Energibruk</t>
  </si>
  <si>
    <t>Som bygget</t>
  </si>
  <si>
    <t>Etter 2 års drift</t>
  </si>
  <si>
    <t>ØKONOMI</t>
  </si>
  <si>
    <t>NOK (totalt)</t>
  </si>
  <si>
    <t>Annen støtte (spesifiser i kommentarfelt)</t>
  </si>
  <si>
    <t>Kommune</t>
  </si>
  <si>
    <t>Funksjon</t>
  </si>
  <si>
    <t xml:space="preserve">Oslo </t>
  </si>
  <si>
    <t>Område</t>
  </si>
  <si>
    <t>Boliger</t>
  </si>
  <si>
    <t>Bærum</t>
  </si>
  <si>
    <t>Skisseprosjekt</t>
  </si>
  <si>
    <t>Nabolag</t>
  </si>
  <si>
    <t>Næring</t>
  </si>
  <si>
    <t>Asker</t>
  </si>
  <si>
    <t>Forprosjekt</t>
  </si>
  <si>
    <t>Bygg</t>
  </si>
  <si>
    <t>Kontorer</t>
  </si>
  <si>
    <t>Drammen</t>
  </si>
  <si>
    <t>Detaljprosjekt</t>
  </si>
  <si>
    <t>Park / gate / plass</t>
  </si>
  <si>
    <t>Undervisning</t>
  </si>
  <si>
    <t>Lillestrøm</t>
  </si>
  <si>
    <t>Under bygging</t>
  </si>
  <si>
    <t>Annet</t>
  </si>
  <si>
    <t>Barnehager</t>
  </si>
  <si>
    <t>Nordre Follo</t>
  </si>
  <si>
    <t>Ferdigstilt</t>
  </si>
  <si>
    <t>Kultur</t>
  </si>
  <si>
    <t>Helse</t>
  </si>
  <si>
    <t>Infrastruktur</t>
  </si>
  <si>
    <t>Områder</t>
  </si>
  <si>
    <t>Energi- og miljøambisjon</t>
  </si>
  <si>
    <t>Plusshus</t>
  </si>
  <si>
    <t>Nær null</t>
  </si>
  <si>
    <t>Annet (spesifiser i kommentarfeltet)</t>
  </si>
  <si>
    <t>Status-ID</t>
  </si>
  <si>
    <t>Prosjekt-type</t>
  </si>
  <si>
    <t>Prosjekt-type ID</t>
  </si>
  <si>
    <t>Funksjon ID</t>
  </si>
  <si>
    <t>Bygningskategori (TEK)</t>
  </si>
  <si>
    <t>Energiforsyningssystem</t>
  </si>
  <si>
    <t>Usergroups</t>
  </si>
  <si>
    <t>ID</t>
  </si>
  <si>
    <t>ArchitechtureOffices</t>
  </si>
  <si>
    <t>ArchitectureOfficesNewname</t>
  </si>
  <si>
    <t>Companys</t>
  </si>
  <si>
    <t>CompanyNewname</t>
  </si>
  <si>
    <t>ConsultingCompanys</t>
  </si>
  <si>
    <t>ConsultingCompanysNewname</t>
  </si>
  <si>
    <t>Småhus/rekkehus</t>
  </si>
  <si>
    <t>Solceller - elektrisitet</t>
  </si>
  <si>
    <t>Prosjektdatabase (alle)</t>
  </si>
  <si>
    <t>Boligblokk</t>
  </si>
  <si>
    <t>Solfanger - termisk</t>
  </si>
  <si>
    <t>Pbase</t>
  </si>
  <si>
    <t>Barnehage</t>
  </si>
  <si>
    <t>Edit Ecobox</t>
  </si>
  <si>
    <t>Kontorbygning</t>
  </si>
  <si>
    <t>Åpent vedfyrt ildsted o.l.</t>
  </si>
  <si>
    <t>Edit Admin</t>
  </si>
  <si>
    <t>Skolebygning</t>
  </si>
  <si>
    <t>Lukket vedovn o.l.</t>
  </si>
  <si>
    <t>Ecobox Admin</t>
  </si>
  <si>
    <t>Universitet/høyskole</t>
  </si>
  <si>
    <t>Biopelletskamin</t>
  </si>
  <si>
    <t>Framtidens Byer Admin</t>
  </si>
  <si>
    <t>Sykehus</t>
  </si>
  <si>
    <t>Bio-kjel</t>
  </si>
  <si>
    <t>Sykehjem</t>
  </si>
  <si>
    <t>Hotell</t>
  </si>
  <si>
    <t>Varmepumpe luft-luft</t>
  </si>
  <si>
    <t>Idrettsbygning</t>
  </si>
  <si>
    <t>Varmepumpe luft-vann</t>
  </si>
  <si>
    <t>Forretningsbygning</t>
  </si>
  <si>
    <t>Varmepumpe vann-vann</t>
  </si>
  <si>
    <t>Kulturbygning</t>
  </si>
  <si>
    <t>Lett industri/verksteder</t>
  </si>
  <si>
    <t>Fjern-/nærvarmeanlegg</t>
  </si>
  <si>
    <t>Elektriske panelovner o.l.</t>
  </si>
  <si>
    <t>Elektrokjel for vannbåren varme</t>
  </si>
  <si>
    <t>Gasskamin/gasskjel</t>
  </si>
  <si>
    <t>Olje/parafinkamin</t>
  </si>
  <si>
    <t>Olje/parafinkjel</t>
  </si>
  <si>
    <t>Andre</t>
  </si>
  <si>
    <t>andre alternativer</t>
  </si>
  <si>
    <t>masterplan</t>
  </si>
  <si>
    <t>regionalplan</t>
  </si>
  <si>
    <t>Metodeutvikling (HB)</t>
  </si>
  <si>
    <t>Møteplasser (HB)</t>
  </si>
  <si>
    <t>områdeplan</t>
  </si>
  <si>
    <t xml:space="preserve">bevaringsverdig/fredet </t>
  </si>
  <si>
    <t>EnergyLabel</t>
  </si>
  <si>
    <t>Codename</t>
  </si>
  <si>
    <t>Value</t>
  </si>
  <si>
    <t>HeatRating</t>
  </si>
  <si>
    <t>FByerImportance</t>
  </si>
  <si>
    <t>FByerTimeUsage</t>
  </si>
  <si>
    <t>GeneralProjectType</t>
  </si>
  <si>
    <t>ProgressStatus</t>
  </si>
  <si>
    <t>Checkbox</t>
  </si>
  <si>
    <t>MapZoomLevel</t>
  </si>
  <si>
    <t>EcoProjectTemplate</t>
  </si>
  <si>
    <t>Id</t>
  </si>
  <si>
    <t>Ikke oppgitt</t>
  </si>
  <si>
    <t>none</t>
  </si>
  <si>
    <t>Ingen betydning</t>
  </si>
  <si>
    <t>NoImportance</t>
  </si>
  <si>
    <t>Høy tidsbruk i forhold til resultat</t>
  </si>
  <si>
    <t>HighUse</t>
  </si>
  <si>
    <t>Byggeprosjekt</t>
  </si>
  <si>
    <t>Construction</t>
  </si>
  <si>
    <t>Bedre enn forventet</t>
  </si>
  <si>
    <t>Better</t>
  </si>
  <si>
    <t>ZoomLevel1</t>
  </si>
  <si>
    <t>Byrapport.no (Framtidens byer)</t>
  </si>
  <si>
    <t>A</t>
  </si>
  <si>
    <t>labelA</t>
  </si>
  <si>
    <t>Mørk grønn</t>
  </si>
  <si>
    <t>green</t>
  </si>
  <si>
    <t>Noe betydning</t>
  </si>
  <si>
    <t>SomeImportance</t>
  </si>
  <si>
    <t>Som forventet tidsbruk i forhold til resultat</t>
  </si>
  <si>
    <t>Expected</t>
  </si>
  <si>
    <t>Prosess</t>
  </si>
  <si>
    <t>Process</t>
  </si>
  <si>
    <t>Som forventet</t>
  </si>
  <si>
    <t>JA</t>
  </si>
  <si>
    <t>TRUE</t>
  </si>
  <si>
    <t>ZoomLevel2</t>
  </si>
  <si>
    <t>Ecobox prosjektvisning (gammel mal)</t>
  </si>
  <si>
    <t>B</t>
  </si>
  <si>
    <t>labelB</t>
  </si>
  <si>
    <t>Lys grønn</t>
  </si>
  <si>
    <t>lightgreen</t>
  </si>
  <si>
    <t>Stor betydning</t>
  </si>
  <si>
    <t>HighImportance</t>
  </si>
  <si>
    <t>Lav tidsbruk i forhold til resultat</t>
  </si>
  <si>
    <t>LowUse</t>
  </si>
  <si>
    <t>Prosjekt</t>
  </si>
  <si>
    <t>Project</t>
  </si>
  <si>
    <t>Dårligere enn forventet</t>
  </si>
  <si>
    <t>Worse</t>
  </si>
  <si>
    <t>NEI</t>
  </si>
  <si>
    <t>FALSE</t>
  </si>
  <si>
    <t>ZoomLevel3</t>
  </si>
  <si>
    <t>NAL - Utvalgt arkitektur</t>
  </si>
  <si>
    <t>C</t>
  </si>
  <si>
    <t>labelC</t>
  </si>
  <si>
    <t>Gul</t>
  </si>
  <si>
    <t>yellow</t>
  </si>
  <si>
    <t>Tiltaket ville ikke eksistert uten</t>
  </si>
  <si>
    <t>Requirement</t>
  </si>
  <si>
    <t>Engangshendelse</t>
  </si>
  <si>
    <t>Event</t>
  </si>
  <si>
    <t>ZoomLevel4</t>
  </si>
  <si>
    <t>D</t>
  </si>
  <si>
    <t>labelD</t>
  </si>
  <si>
    <t>Oransje</t>
  </si>
  <si>
    <t>orange</t>
  </si>
  <si>
    <t>Gjentakende Hendelse</t>
  </si>
  <si>
    <t>RecurringEvent</t>
  </si>
  <si>
    <t>ZoomLevel5</t>
  </si>
  <si>
    <t>E</t>
  </si>
  <si>
    <t>labelE</t>
  </si>
  <si>
    <t>Rød</t>
  </si>
  <si>
    <t>red</t>
  </si>
  <si>
    <t>ZoomLevel6</t>
  </si>
  <si>
    <t>F</t>
  </si>
  <si>
    <t>labelF</t>
  </si>
  <si>
    <t>ZoomLevel7</t>
  </si>
  <si>
    <t>G</t>
  </si>
  <si>
    <t>labelG</t>
  </si>
  <si>
    <t>ZoomLevel8</t>
  </si>
  <si>
    <t>ZoomLevel9</t>
  </si>
  <si>
    <t>ZoomLevel10</t>
  </si>
  <si>
    <t>ZoomLevel11</t>
  </si>
  <si>
    <t>ZoomLevel12</t>
  </si>
  <si>
    <t>ZoomLevel13</t>
  </si>
  <si>
    <t>ZoomLevel14</t>
  </si>
  <si>
    <t>ZoomLevel15</t>
  </si>
  <si>
    <t>ZoomLevel16</t>
  </si>
  <si>
    <t>Rogaland</t>
  </si>
  <si>
    <t>Akershus</t>
  </si>
  <si>
    <t>Oslo</t>
  </si>
  <si>
    <t>Buskerud</t>
  </si>
  <si>
    <t>Telemark</t>
  </si>
  <si>
    <t>Aust-Agder</t>
  </si>
  <si>
    <t>Østfold</t>
  </si>
  <si>
    <t>Vestfold</t>
  </si>
  <si>
    <t>Vest-Agder</t>
  </si>
  <si>
    <t>Møre og Romsdal</t>
  </si>
  <si>
    <t>Sogn og Fjordane</t>
  </si>
  <si>
    <t>Sør-Trøndelag</t>
  </si>
  <si>
    <t>Nord-Trøndelag</t>
  </si>
  <si>
    <t>Nordland</t>
  </si>
  <si>
    <t>Oppland</t>
  </si>
  <si>
    <t>Hedmark</t>
  </si>
  <si>
    <t>Troms</t>
  </si>
  <si>
    <t>Finnmark</t>
  </si>
  <si>
    <t>Hordaland</t>
  </si>
  <si>
    <t>Svalbard mm.</t>
  </si>
  <si>
    <t>Sverige</t>
  </si>
  <si>
    <t>Bjerkreim</t>
  </si>
  <si>
    <t>Bamble</t>
  </si>
  <si>
    <t>Arendal</t>
  </si>
  <si>
    <t>Aremark</t>
  </si>
  <si>
    <t xml:space="preserve">Andebu </t>
  </si>
  <si>
    <t>Audnedal</t>
  </si>
  <si>
    <t>Aukra</t>
  </si>
  <si>
    <t>Askvoll</t>
  </si>
  <si>
    <t>Agdenes</t>
  </si>
  <si>
    <t>Flatanger</t>
  </si>
  <si>
    <t>Alstahaug</t>
  </si>
  <si>
    <t>Dovre</t>
  </si>
  <si>
    <t>Alvdal</t>
  </si>
  <si>
    <t>Balsfjord</t>
  </si>
  <si>
    <t>Alta</t>
  </si>
  <si>
    <t>Askøy</t>
  </si>
  <si>
    <t>Bokn</t>
  </si>
  <si>
    <t>Aurskog-Høland</t>
  </si>
  <si>
    <t>Flesberg</t>
  </si>
  <si>
    <t>Drangedal</t>
  </si>
  <si>
    <t>Birkenes</t>
  </si>
  <si>
    <t>Askim</t>
  </si>
  <si>
    <t>Hof</t>
  </si>
  <si>
    <t>Farsund</t>
  </si>
  <si>
    <t>Aure</t>
  </si>
  <si>
    <t>Aurland</t>
  </si>
  <si>
    <t>Bjugn</t>
  </si>
  <si>
    <t>Fosnes</t>
  </si>
  <si>
    <t>Andøy</t>
  </si>
  <si>
    <t>Etnedal</t>
  </si>
  <si>
    <t>Eidskog</t>
  </si>
  <si>
    <t>Bardu</t>
  </si>
  <si>
    <t>Berlevåg</t>
  </si>
  <si>
    <t>Austevoll</t>
  </si>
  <si>
    <t>Eigersund</t>
  </si>
  <si>
    <t>Flå</t>
  </si>
  <si>
    <t>Fyresdal</t>
  </si>
  <si>
    <t>Bygland</t>
  </si>
  <si>
    <t>Eidsberg</t>
  </si>
  <si>
    <t>Holmestrand</t>
  </si>
  <si>
    <t>Flekkefjord</t>
  </si>
  <si>
    <t>Averøy</t>
  </si>
  <si>
    <t>Balestrand</t>
  </si>
  <si>
    <t>Frøya</t>
  </si>
  <si>
    <t>Frosta</t>
  </si>
  <si>
    <t>Ballangen</t>
  </si>
  <si>
    <t>Gausdal</t>
  </si>
  <si>
    <t>Elverum</t>
  </si>
  <si>
    <t>Berg</t>
  </si>
  <si>
    <t>Båtsfjord</t>
  </si>
  <si>
    <t>Austrheim</t>
  </si>
  <si>
    <t>Finnøy</t>
  </si>
  <si>
    <t>Eidsvoll</t>
  </si>
  <si>
    <t>Gol</t>
  </si>
  <si>
    <t>Hjartdal</t>
  </si>
  <si>
    <t>Bykle</t>
  </si>
  <si>
    <t>Fredrikstad</t>
  </si>
  <si>
    <t>Horten</t>
  </si>
  <si>
    <t>Hægebostad</t>
  </si>
  <si>
    <t>Eide</t>
  </si>
  <si>
    <t>Bremanger</t>
  </si>
  <si>
    <t>Hemne</t>
  </si>
  <si>
    <t xml:space="preserve">Grong </t>
  </si>
  <si>
    <t>Beiarn</t>
  </si>
  <si>
    <t>Gjøvik</t>
  </si>
  <si>
    <t>Engerdal</t>
  </si>
  <si>
    <t>Bjarkøy</t>
  </si>
  <si>
    <t>Gamvik</t>
  </si>
  <si>
    <t>Bergen</t>
  </si>
  <si>
    <t>Forsand</t>
  </si>
  <si>
    <t>Enebakk</t>
  </si>
  <si>
    <t>Hemsedal</t>
  </si>
  <si>
    <t>Kragerø</t>
  </si>
  <si>
    <t>Evje og Hornnes</t>
  </si>
  <si>
    <t>Lardal</t>
  </si>
  <si>
    <t>Kristiansand</t>
  </si>
  <si>
    <t>Fræna</t>
  </si>
  <si>
    <t>Eid</t>
  </si>
  <si>
    <t>Hitra</t>
  </si>
  <si>
    <t>Høylandet</t>
  </si>
  <si>
    <t>Bindal</t>
  </si>
  <si>
    <t>Gran</t>
  </si>
  <si>
    <t>Folldal</t>
  </si>
  <si>
    <t>Dyrøy</t>
  </si>
  <si>
    <t>Hammerfest</t>
  </si>
  <si>
    <t>Bømlo</t>
  </si>
  <si>
    <t>Gjesdal</t>
  </si>
  <si>
    <t>Fet</t>
  </si>
  <si>
    <t>Hol</t>
  </si>
  <si>
    <t>Kviteseid</t>
  </si>
  <si>
    <t>Froland</t>
  </si>
  <si>
    <t xml:space="preserve">Halden </t>
  </si>
  <si>
    <t>Larvik</t>
  </si>
  <si>
    <t>Kvinesdal</t>
  </si>
  <si>
    <t>Giske</t>
  </si>
  <si>
    <t>Fjaler</t>
  </si>
  <si>
    <t>Holtålen</t>
  </si>
  <si>
    <t>Inderøy</t>
  </si>
  <si>
    <t>Bodø</t>
  </si>
  <si>
    <t>Jevnaker</t>
  </si>
  <si>
    <t>Grue</t>
  </si>
  <si>
    <t>Gratangen</t>
  </si>
  <si>
    <t>Hasvik</t>
  </si>
  <si>
    <t>Eidfjord</t>
  </si>
  <si>
    <t>Haugesund</t>
  </si>
  <si>
    <t>Frogn</t>
  </si>
  <si>
    <t>Hole</t>
  </si>
  <si>
    <t>Nissedal</t>
  </si>
  <si>
    <t>Gjerstad</t>
  </si>
  <si>
    <t>Hobøl</t>
  </si>
  <si>
    <t>Nøtterøy</t>
  </si>
  <si>
    <t>Lindesnes</t>
  </si>
  <si>
    <t>Gjemnes</t>
  </si>
  <si>
    <t>Flora</t>
  </si>
  <si>
    <t>Klæbu</t>
  </si>
  <si>
    <t>Leka</t>
  </si>
  <si>
    <t>Brønnøy</t>
  </si>
  <si>
    <t>Lesja</t>
  </si>
  <si>
    <t>Hamar</t>
  </si>
  <si>
    <t>Harstad</t>
  </si>
  <si>
    <t>Karasjok</t>
  </si>
  <si>
    <t>Etne</t>
  </si>
  <si>
    <t>Hjelmeland</t>
  </si>
  <si>
    <t>Gjerdrum</t>
  </si>
  <si>
    <t>Hurum</t>
  </si>
  <si>
    <t>Nome</t>
  </si>
  <si>
    <t>Grimstad</t>
  </si>
  <si>
    <t>Hvaler</t>
  </si>
  <si>
    <t>Re</t>
  </si>
  <si>
    <t>Lyngdal</t>
  </si>
  <si>
    <t>Halsa</t>
  </si>
  <si>
    <t>Førde</t>
  </si>
  <si>
    <t>Malvik</t>
  </si>
  <si>
    <t>Leksvik</t>
  </si>
  <si>
    <t>Bø (Nordland)</t>
  </si>
  <si>
    <t>Lillehammer</t>
  </si>
  <si>
    <t>Kongsvinger</t>
  </si>
  <si>
    <t>Ibestad</t>
  </si>
  <si>
    <t>Kautokeino</t>
  </si>
  <si>
    <t>Fedje</t>
  </si>
  <si>
    <t>Hå</t>
  </si>
  <si>
    <t>Hurdal</t>
  </si>
  <si>
    <t>Kongsberg</t>
  </si>
  <si>
    <t>Notodden</t>
  </si>
  <si>
    <t>Iveland</t>
  </si>
  <si>
    <t>Marker</t>
  </si>
  <si>
    <t>Sande (Vestfold)</t>
  </si>
  <si>
    <t>Mandal</t>
  </si>
  <si>
    <t>Haram</t>
  </si>
  <si>
    <t>Gaular</t>
  </si>
  <si>
    <t>Meldal</t>
  </si>
  <si>
    <t>Levanger</t>
  </si>
  <si>
    <t>Dønna</t>
  </si>
  <si>
    <t>Lom</t>
  </si>
  <si>
    <t>Løten</t>
  </si>
  <si>
    <t>Karlsøy</t>
  </si>
  <si>
    <t>Kvalsund</t>
  </si>
  <si>
    <t>Fitjar</t>
  </si>
  <si>
    <t>Karmøy</t>
  </si>
  <si>
    <t>Lørenskog</t>
  </si>
  <si>
    <t>Krødsherad</t>
  </si>
  <si>
    <t>Porsgrunn</t>
  </si>
  <si>
    <t>Lillesand</t>
  </si>
  <si>
    <t>Moss</t>
  </si>
  <si>
    <t>Stokke</t>
  </si>
  <si>
    <t>Marnardal</t>
  </si>
  <si>
    <t>Hareid</t>
  </si>
  <si>
    <t>Gloppen</t>
  </si>
  <si>
    <t>Melhus</t>
  </si>
  <si>
    <t>Lierne</t>
  </si>
  <si>
    <t>Evenes</t>
  </si>
  <si>
    <t>Lunner</t>
  </si>
  <si>
    <t>Nord-Odal</t>
  </si>
  <si>
    <t>Kvæfjord</t>
  </si>
  <si>
    <t>Lebesby</t>
  </si>
  <si>
    <t>Fjell</t>
  </si>
  <si>
    <t>Klepp</t>
  </si>
  <si>
    <t>Nannestad</t>
  </si>
  <si>
    <t>Lier</t>
  </si>
  <si>
    <t>Sauherad</t>
  </si>
  <si>
    <t>Risør</t>
  </si>
  <si>
    <t>Rakkestad</t>
  </si>
  <si>
    <t>Svelvik</t>
  </si>
  <si>
    <t>Sirdal</t>
  </si>
  <si>
    <t>Herøy (Møre og Romsdal)</t>
  </si>
  <si>
    <t>Gulen</t>
  </si>
  <si>
    <t>Midtre Gauldal</t>
  </si>
  <si>
    <t>Meråker</t>
  </si>
  <si>
    <t>Fauske</t>
  </si>
  <si>
    <t>Nord-Aurdal</t>
  </si>
  <si>
    <t>Os (Hedmark)</t>
  </si>
  <si>
    <t>Kvænangen</t>
  </si>
  <si>
    <t>Loppa</t>
  </si>
  <si>
    <t>Fusa</t>
  </si>
  <si>
    <t>Kvitsøy</t>
  </si>
  <si>
    <t>Nes (Akershus)</t>
  </si>
  <si>
    <t>Modum</t>
  </si>
  <si>
    <t>Seljord</t>
  </si>
  <si>
    <t>Tvedestrand</t>
  </si>
  <si>
    <t>Rygge</t>
  </si>
  <si>
    <t>Tjøme</t>
  </si>
  <si>
    <t>Songdalen</t>
  </si>
  <si>
    <t>Kristiansund</t>
  </si>
  <si>
    <t>Hornindal</t>
  </si>
  <si>
    <t>Oppdal</t>
  </si>
  <si>
    <t>Namdalseid</t>
  </si>
  <si>
    <t>Flakstad</t>
  </si>
  <si>
    <t>Nord-Fron</t>
  </si>
  <si>
    <t>Rendalen</t>
  </si>
  <si>
    <t>Kåfjord</t>
  </si>
  <si>
    <t>Måsøy</t>
  </si>
  <si>
    <t>Granvin</t>
  </si>
  <si>
    <t>Lund</t>
  </si>
  <si>
    <t>Nesodden</t>
  </si>
  <si>
    <t>Nedre Eiker</t>
  </si>
  <si>
    <t>Siljan</t>
  </si>
  <si>
    <t>Valle</t>
  </si>
  <si>
    <t>Rømskog</t>
  </si>
  <si>
    <t>Tønsberg</t>
  </si>
  <si>
    <t>Søgne</t>
  </si>
  <si>
    <t>Midsund</t>
  </si>
  <si>
    <t>Hyllestad</t>
  </si>
  <si>
    <t>Orkdal</t>
  </si>
  <si>
    <t>Namsos</t>
  </si>
  <si>
    <t>Gildeskål</t>
  </si>
  <si>
    <t>Nordre Land</t>
  </si>
  <si>
    <t>Ringsaker</t>
  </si>
  <si>
    <t>Lavangen</t>
  </si>
  <si>
    <t>Nesseby</t>
  </si>
  <si>
    <t>Jondal</t>
  </si>
  <si>
    <t>Randaberg</t>
  </si>
  <si>
    <t>Nittedal</t>
  </si>
  <si>
    <t>Nes (Buskerud)</t>
  </si>
  <si>
    <t>Skien</t>
  </si>
  <si>
    <t>Vegårdshei</t>
  </si>
  <si>
    <t>Råde</t>
  </si>
  <si>
    <t>Vennesla</t>
  </si>
  <si>
    <t>Molde</t>
  </si>
  <si>
    <t>Høyanger</t>
  </si>
  <si>
    <t>Osen</t>
  </si>
  <si>
    <t>Namsskogan</t>
  </si>
  <si>
    <t>Grane</t>
  </si>
  <si>
    <t>Ringebu</t>
  </si>
  <si>
    <t>Stange</t>
  </si>
  <si>
    <t>Lenvik</t>
  </si>
  <si>
    <t>Nordkapp</t>
  </si>
  <si>
    <t>Kvam</t>
  </si>
  <si>
    <t>Rennesøy</t>
  </si>
  <si>
    <t>Oppegård</t>
  </si>
  <si>
    <t>Nore og Uvdal</t>
  </si>
  <si>
    <t>Tinn</t>
  </si>
  <si>
    <t>Åmli</t>
  </si>
  <si>
    <t>Sarpsborg</t>
  </si>
  <si>
    <t>Åseral</t>
  </si>
  <si>
    <t>Nesset</t>
  </si>
  <si>
    <t>Jølster</t>
  </si>
  <si>
    <t>Rennebu</t>
  </si>
  <si>
    <t>Nærøy</t>
  </si>
  <si>
    <t>Hadsel</t>
  </si>
  <si>
    <t>Sel</t>
  </si>
  <si>
    <t>Stor-Elvdal</t>
  </si>
  <si>
    <t>Lyngen</t>
  </si>
  <si>
    <t>Porsanger</t>
  </si>
  <si>
    <t>Kvinnherad</t>
  </si>
  <si>
    <t>Sandnes</t>
  </si>
  <si>
    <t>Rælingen</t>
  </si>
  <si>
    <t>Ringerike</t>
  </si>
  <si>
    <t>Tokke</t>
  </si>
  <si>
    <t>Skiptvet</t>
  </si>
  <si>
    <t>Norddal</t>
  </si>
  <si>
    <t>Leikanger</t>
  </si>
  <si>
    <t>Rissa</t>
  </si>
  <si>
    <t>Overhalla</t>
  </si>
  <si>
    <t>Hamarøy</t>
  </si>
  <si>
    <t>Skjåk</t>
  </si>
  <si>
    <t>Sør-Odal</t>
  </si>
  <si>
    <t>Målselv</t>
  </si>
  <si>
    <t>Sør-Varanger</t>
  </si>
  <si>
    <t>Lindås</t>
  </si>
  <si>
    <t>Sauda</t>
  </si>
  <si>
    <t>Skedsmo</t>
  </si>
  <si>
    <t>Rollag</t>
  </si>
  <si>
    <t>Vinje</t>
  </si>
  <si>
    <t>Spydeberg</t>
  </si>
  <si>
    <t>Rauma</t>
  </si>
  <si>
    <t>Luster</t>
  </si>
  <si>
    <t>Roan</t>
  </si>
  <si>
    <t>Røyrvik</t>
  </si>
  <si>
    <t>Hattfjelldal</t>
  </si>
  <si>
    <t>Søndre Land</t>
  </si>
  <si>
    <t>Tolga</t>
  </si>
  <si>
    <t>Nordreisa</t>
  </si>
  <si>
    <t>Tana</t>
  </si>
  <si>
    <t>Masfjorden</t>
  </si>
  <si>
    <t>Sokndal</t>
  </si>
  <si>
    <t>Ski</t>
  </si>
  <si>
    <t>Røyken</t>
  </si>
  <si>
    <t>Trøgstad</t>
  </si>
  <si>
    <t>Rindal</t>
  </si>
  <si>
    <t>Lærdal</t>
  </si>
  <si>
    <t>Røros</t>
  </si>
  <si>
    <t>Snåsa</t>
  </si>
  <si>
    <t>Hemnes</t>
  </si>
  <si>
    <t>Sør-Aurdal</t>
  </si>
  <si>
    <t>Trysil</t>
  </si>
  <si>
    <t>Salangen</t>
  </si>
  <si>
    <t>Vadsø</t>
  </si>
  <si>
    <t>Meland</t>
  </si>
  <si>
    <t>Sola</t>
  </si>
  <si>
    <t>Sørum</t>
  </si>
  <si>
    <t>Sigdal</t>
  </si>
  <si>
    <t>Våler (Østfold)</t>
  </si>
  <si>
    <t>Sande (Møre og Romsdal)</t>
  </si>
  <si>
    <t>Naustdal</t>
  </si>
  <si>
    <t>Selbu</t>
  </si>
  <si>
    <t>Steinkjer</t>
  </si>
  <si>
    <t>Herøy</t>
  </si>
  <si>
    <t>Sør-Fron</t>
  </si>
  <si>
    <t>Tynset</t>
  </si>
  <si>
    <t>Skjervøy</t>
  </si>
  <si>
    <t>Vardø</t>
  </si>
  <si>
    <t>Modalen</t>
  </si>
  <si>
    <t>Stavanger</t>
  </si>
  <si>
    <t>Ullensaker</t>
  </si>
  <si>
    <t>Øvre Eiker</t>
  </si>
  <si>
    <t>Sandøy</t>
  </si>
  <si>
    <t>Selje</t>
  </si>
  <si>
    <t>Skaun</t>
  </si>
  <si>
    <t>Stjørdal</t>
  </si>
  <si>
    <t>Leirfjord</t>
  </si>
  <si>
    <t>Vang</t>
  </si>
  <si>
    <t>Våler i Solør (Hedmark)</t>
  </si>
  <si>
    <t>Skånland</t>
  </si>
  <si>
    <t>Odda</t>
  </si>
  <si>
    <t>Strand</t>
  </si>
  <si>
    <t>Vestby</t>
  </si>
  <si>
    <t>Ål</t>
  </si>
  <si>
    <t>Skodje</t>
  </si>
  <si>
    <t>Sogndal</t>
  </si>
  <si>
    <t>Snillfjord</t>
  </si>
  <si>
    <t>Verdal</t>
  </si>
  <si>
    <t>Lurøy</t>
  </si>
  <si>
    <t>Vestre Slidre</t>
  </si>
  <si>
    <t>Åmot</t>
  </si>
  <si>
    <t>Storfjord</t>
  </si>
  <si>
    <t>Os (Hordaland)</t>
  </si>
  <si>
    <t>Suldal</t>
  </si>
  <si>
    <t>Ås</t>
  </si>
  <si>
    <t>Smøla</t>
  </si>
  <si>
    <t>Solund</t>
  </si>
  <si>
    <t>Trondheim</t>
  </si>
  <si>
    <t>Verran</t>
  </si>
  <si>
    <t>Lødingen</t>
  </si>
  <si>
    <t>Vestre Toten</t>
  </si>
  <si>
    <t>Åsnes</t>
  </si>
  <si>
    <t>Sørreisa</t>
  </si>
  <si>
    <t>Osterøy</t>
  </si>
  <si>
    <t>Time</t>
  </si>
  <si>
    <t>Stordal</t>
  </si>
  <si>
    <t>Stryn</t>
  </si>
  <si>
    <t>Tydal</t>
  </si>
  <si>
    <t>Vikna</t>
  </si>
  <si>
    <t>Meløy</t>
  </si>
  <si>
    <t>Vågå</t>
  </si>
  <si>
    <t>Torsken</t>
  </si>
  <si>
    <t>Radøy</t>
  </si>
  <si>
    <t>Tysvær</t>
  </si>
  <si>
    <t>Stranda</t>
  </si>
  <si>
    <t>Vik</t>
  </si>
  <si>
    <t>Ørland</t>
  </si>
  <si>
    <t>Moskenes</t>
  </si>
  <si>
    <t>Østre Toten</t>
  </si>
  <si>
    <t>Tranøy</t>
  </si>
  <si>
    <t>Samnanger</t>
  </si>
  <si>
    <t>Utsira</t>
  </si>
  <si>
    <t>Sula</t>
  </si>
  <si>
    <t>Vågsøy</t>
  </si>
  <si>
    <t>Åfjord</t>
  </si>
  <si>
    <t>Narvik</t>
  </si>
  <si>
    <t>Øyer</t>
  </si>
  <si>
    <t>Tromsø</t>
  </si>
  <si>
    <t>Stord</t>
  </si>
  <si>
    <t>Vindafjord</t>
  </si>
  <si>
    <t>Sunndal</t>
  </si>
  <si>
    <t>Årdal</t>
  </si>
  <si>
    <t>Nesna</t>
  </si>
  <si>
    <t>Øystre Slidre</t>
  </si>
  <si>
    <t>Sund</t>
  </si>
  <si>
    <t>Surnadal</t>
  </si>
  <si>
    <t>Rana</t>
  </si>
  <si>
    <t>Sveio</t>
  </si>
  <si>
    <t>Sykkylven</t>
  </si>
  <si>
    <t>Rødøy</t>
  </si>
  <si>
    <t>Tysnes</t>
  </si>
  <si>
    <t>Ulstein</t>
  </si>
  <si>
    <t>Røst</t>
  </si>
  <si>
    <t>Ullensvang</t>
  </si>
  <si>
    <t>Vanylven</t>
  </si>
  <si>
    <t>Vågan</t>
  </si>
  <si>
    <t>Voss</t>
  </si>
  <si>
    <t>Tingvoll</t>
  </si>
  <si>
    <t>Saltdal</t>
  </si>
  <si>
    <t>Ulvik</t>
  </si>
  <si>
    <t>Vestnes</t>
  </si>
  <si>
    <t>Sortland</t>
  </si>
  <si>
    <t>Vaksdal</t>
  </si>
  <si>
    <t>Volda</t>
  </si>
  <si>
    <t>Steigen</t>
  </si>
  <si>
    <t>Øygarden</t>
  </si>
  <si>
    <t>Ørskog</t>
  </si>
  <si>
    <t>Sømna</t>
  </si>
  <si>
    <t>Ørsta</t>
  </si>
  <si>
    <t>Sørfold</t>
  </si>
  <si>
    <t>Ålesund</t>
  </si>
  <si>
    <t>Tjeldsund</t>
  </si>
  <si>
    <t>Træna</t>
  </si>
  <si>
    <t>Tysfjord</t>
  </si>
  <si>
    <t>Vefsn</t>
  </si>
  <si>
    <t>Vega</t>
  </si>
  <si>
    <t>Vestvågøy</t>
  </si>
  <si>
    <t>Vevelstad</t>
  </si>
  <si>
    <t>Værøy</t>
  </si>
  <si>
    <t>Øksnes</t>
  </si>
  <si>
    <t>Miljøtema</t>
  </si>
  <si>
    <t>Sosiale aspekter</t>
  </si>
  <si>
    <t>Grønne arealer</t>
  </si>
  <si>
    <t>Godt innemiljø</t>
  </si>
  <si>
    <t>Avfall og kildesortering</t>
  </si>
  <si>
    <t>Areal og transport</t>
  </si>
  <si>
    <t>Konstruksjoner og materialbruk</t>
  </si>
  <si>
    <t>Prosess/metode</t>
  </si>
  <si>
    <t>Energi</t>
  </si>
  <si>
    <t>Stedstilpasning</t>
  </si>
  <si>
    <t>Vann og avløp</t>
  </si>
  <si>
    <t>Miljøvennlig by- og tettstedsutvikling</t>
  </si>
  <si>
    <t>Klimatilpasning</t>
  </si>
  <si>
    <t>Innkjøp og forbruk</t>
  </si>
  <si>
    <t xml:space="preserve">attraktive arenaer og møtesteder </t>
  </si>
  <si>
    <t>biologisk mangfold</t>
  </si>
  <si>
    <t>balansert ventilasjon</t>
  </si>
  <si>
    <t>farlig avfall</t>
  </si>
  <si>
    <t>bildeling</t>
  </si>
  <si>
    <t>lokale materialer</t>
  </si>
  <si>
    <t>brukermedvirkning</t>
  </si>
  <si>
    <t>arealeffektivitet</t>
  </si>
  <si>
    <t>klimatilpasning</t>
  </si>
  <si>
    <t>fremkommelighet</t>
  </si>
  <si>
    <t>biologisk avløpssystem</t>
  </si>
  <si>
    <t>bymiljø</t>
  </si>
  <si>
    <t>absorbsjon</t>
  </si>
  <si>
    <t>miljøfyrtårn</t>
  </si>
  <si>
    <t>bokvalitet</t>
  </si>
  <si>
    <t>grønnstruktur</t>
  </si>
  <si>
    <t>bygningsintegrert ventilasjon</t>
  </si>
  <si>
    <t>forurenset grunn</t>
  </si>
  <si>
    <t>fortetting</t>
  </si>
  <si>
    <t>miljøvennlig overflatebehandling</t>
  </si>
  <si>
    <t>bygningsinformasjonsmodell (BIM)</t>
  </si>
  <si>
    <t>automatisering</t>
  </si>
  <si>
    <t>landskapstilpasning</t>
  </si>
  <si>
    <t>luftkvalitet</t>
  </si>
  <si>
    <t>oppsamling av regnvann</t>
  </si>
  <si>
    <t>byomforming</t>
  </si>
  <si>
    <t>flomveier</t>
  </si>
  <si>
    <t>offentlige innkjøp</t>
  </si>
  <si>
    <t>boligsosial planlegging</t>
  </si>
  <si>
    <t>grønt gårdsrom</t>
  </si>
  <si>
    <t>dagslys</t>
  </si>
  <si>
    <t>gjenbruk av materialer</t>
  </si>
  <si>
    <t>kollektivtrafikk</t>
  </si>
  <si>
    <t>naturnære materialer</t>
  </si>
  <si>
    <t>energi-/klimaplan</t>
  </si>
  <si>
    <t>bioenergi</t>
  </si>
  <si>
    <t>terrengtilpassing</t>
  </si>
  <si>
    <t>lydforhold</t>
  </si>
  <si>
    <t>overvannshåndtering</t>
  </si>
  <si>
    <t>miljøsoner</t>
  </si>
  <si>
    <t>fordrøyning</t>
  </si>
  <si>
    <t xml:space="preserve">redusere / endre forbruk </t>
  </si>
  <si>
    <t>boligsosial samarbeid</t>
  </si>
  <si>
    <t>nyttevekster</t>
  </si>
  <si>
    <t>diffusjonsåpen konstruksjon</t>
  </si>
  <si>
    <t>gjenvinning</t>
  </si>
  <si>
    <t>miljøgate</t>
  </si>
  <si>
    <t>renholdsvennlige materialer</t>
  </si>
  <si>
    <t>energiregnskap</t>
  </si>
  <si>
    <t>biogass</t>
  </si>
  <si>
    <t>vegetasjonstilpasning</t>
  </si>
  <si>
    <t>orienterbarhet</t>
  </si>
  <si>
    <t>rehabilitering av vannmiljø</t>
  </si>
  <si>
    <t>miljøvennlige arbeidsreiser</t>
  </si>
  <si>
    <t>bomiljø</t>
  </si>
  <si>
    <t>park- og grøntareal</t>
  </si>
  <si>
    <t>fuktregulerende materialer</t>
  </si>
  <si>
    <t>kildesortering</t>
  </si>
  <si>
    <t>miljøvennlig bystruktur</t>
  </si>
  <si>
    <t>slitesterke materialer</t>
  </si>
  <si>
    <t>indirekte utslipp</t>
  </si>
  <si>
    <t>overflater</t>
  </si>
  <si>
    <t>rensing av gråvann</t>
  </si>
  <si>
    <t>sentrumsutvikling</t>
  </si>
  <si>
    <t>havnivåtilpasning</t>
  </si>
  <si>
    <t>felles løsninger</t>
  </si>
  <si>
    <t>hybrid ventilasjon</t>
  </si>
  <si>
    <t>kompostering</t>
  </si>
  <si>
    <t>reduksjon av parkeringsdekning</t>
  </si>
  <si>
    <t>integrert energidesign (IED)</t>
  </si>
  <si>
    <t>ekstra isolering</t>
  </si>
  <si>
    <t>utstyr og bygningsdeler</t>
  </si>
  <si>
    <t>vannbesparende utstyr</t>
  </si>
  <si>
    <t>infiltrasjon</t>
  </si>
  <si>
    <t>lavemitterende materialer</t>
  </si>
  <si>
    <t>miljøvennlig riving</t>
  </si>
  <si>
    <t>reduksjon av teknisk infrastruktur</t>
  </si>
  <si>
    <t>klimafotavtrykk</t>
  </si>
  <si>
    <t>energibesparende utstyr</t>
  </si>
  <si>
    <t>vannrensing</t>
  </si>
  <si>
    <t>klimatilpasningsanalyse</t>
  </si>
  <si>
    <t>mekanisk ventilasjon</t>
  </si>
  <si>
    <t>ombruk av bygningsmasse</t>
  </si>
  <si>
    <t>samordnet transportplanlegging</t>
  </si>
  <si>
    <t>klimaregnskap</t>
  </si>
  <si>
    <t>energieffektivitet</t>
  </si>
  <si>
    <t>klimatilpasningstiltak</t>
  </si>
  <si>
    <t>naturlig ventilasjon</t>
  </si>
  <si>
    <t>prefabrikasjon</t>
  </si>
  <si>
    <t>styrking av sentrum</t>
  </si>
  <si>
    <t>kommunal plan</t>
  </si>
  <si>
    <t>fjernvarme</t>
  </si>
  <si>
    <t>overflatedekker</t>
  </si>
  <si>
    <t>rent bygg</t>
  </si>
  <si>
    <t>redesign</t>
  </si>
  <si>
    <t>støyskjerming</t>
  </si>
  <si>
    <t>kvalitetsprogram</t>
  </si>
  <si>
    <t>geoenergi</t>
  </si>
  <si>
    <t>overflatevann</t>
  </si>
  <si>
    <t>våtorganisk avfall</t>
  </si>
  <si>
    <t>tilrettelegging for syklister/fotgjengere</t>
  </si>
  <si>
    <t>metodeutvikling</t>
  </si>
  <si>
    <t>jordvarme</t>
  </si>
  <si>
    <t>permeable flater</t>
  </si>
  <si>
    <t>utvikling av knutepunkter</t>
  </si>
  <si>
    <t>miljøkampanjer</t>
  </si>
  <si>
    <t>passiv solvarme</t>
  </si>
  <si>
    <t>regnbed</t>
  </si>
  <si>
    <t>miljømarkering</t>
  </si>
  <si>
    <t>solavskjerming</t>
  </si>
  <si>
    <t>risiko- og sårbarhetsanalyser</t>
  </si>
  <si>
    <t>miljøoppfølgingsprogram</t>
  </si>
  <si>
    <t>solcelle</t>
  </si>
  <si>
    <t>skredforebygging</t>
  </si>
  <si>
    <t>miljøsertifiseringsarbeid</t>
  </si>
  <si>
    <t>solfanger</t>
  </si>
  <si>
    <t>vindsikring</t>
  </si>
  <si>
    <t>mobilisering</t>
  </si>
  <si>
    <t>solrom</t>
  </si>
  <si>
    <t>Nudge</t>
  </si>
  <si>
    <t>sonedeling</t>
  </si>
  <si>
    <t>regional plan</t>
  </si>
  <si>
    <t>synlig energistyring</t>
  </si>
  <si>
    <t>stedsanalyse</t>
  </si>
  <si>
    <t>termisk masse</t>
  </si>
  <si>
    <t>tett bygningskropp</t>
  </si>
  <si>
    <t>vannbåren oppvarming</t>
  </si>
  <si>
    <t>varmegjenvinning</t>
  </si>
  <si>
    <t>varmepumpe</t>
  </si>
  <si>
    <t>Innhold</t>
  </si>
  <si>
    <t>Property.type</t>
  </si>
  <si>
    <t>Value til Eksport</t>
  </si>
  <si>
    <t>Integer</t>
  </si>
  <si>
    <t>Name</t>
  </si>
  <si>
    <t>Short string</t>
  </si>
  <si>
    <t>SubTitle</t>
  </si>
  <si>
    <t>AuthorSignature</t>
  </si>
  <si>
    <t>ProjectOwner</t>
  </si>
  <si>
    <t>Relation (one)</t>
  </si>
  <si>
    <t>EditorialResponsibility</t>
  </si>
  <si>
    <t>Long string</t>
  </si>
  <si>
    <t>ShortDescription</t>
  </si>
  <si>
    <t>Enumeration</t>
  </si>
  <si>
    <t>ProjectStatus</t>
  </si>
  <si>
    <t>Enumerations</t>
  </si>
  <si>
    <t>FinishedProject</t>
  </si>
  <si>
    <t>CheckBox</t>
  </si>
  <si>
    <t>EnglishContent</t>
  </si>
  <si>
    <t>PublishToByrapport</t>
  </si>
  <si>
    <t>FramtidensByerDatabase</t>
  </si>
  <si>
    <t>PublishToHusbanken</t>
  </si>
  <si>
    <t>PublishToEnova</t>
  </si>
  <si>
    <t>PublishToFramtidensByer</t>
  </si>
  <si>
    <t>PublishToTretekniskInstitutt</t>
  </si>
  <si>
    <t>HideOnEcobox</t>
  </si>
  <si>
    <t>HideFromProjectFrontPage</t>
  </si>
  <si>
    <t>Relation</t>
  </si>
  <si>
    <t>Contact</t>
  </si>
  <si>
    <t>ContactPhone</t>
  </si>
  <si>
    <t>ContactEmail</t>
  </si>
  <si>
    <t>FByerExternalTags</t>
  </si>
  <si>
    <t>Relation (many)</t>
  </si>
  <si>
    <t>ExternalTags</t>
  </si>
  <si>
    <t xml:space="preserve"> </t>
  </si>
  <si>
    <t>ExternalProjectDBUsers</t>
  </si>
  <si>
    <t>Paragraphs</t>
  </si>
  <si>
    <t>HTML</t>
  </si>
  <si>
    <t>EcoMeasures</t>
  </si>
  <si>
    <t>EconomyHeader</t>
  </si>
  <si>
    <t>Economy</t>
  </si>
  <si>
    <t>CostBenefitEvaluations</t>
  </si>
  <si>
    <t>ClosingParagraphHeader</t>
  </si>
  <si>
    <t>ClosingParagraph</t>
  </si>
  <si>
    <t>ProjectresponsibleFB</t>
  </si>
  <si>
    <t>ResponsibleDepartment</t>
  </si>
  <si>
    <t>ProjectAddress</t>
  </si>
  <si>
    <t>Location</t>
  </si>
  <si>
    <t>Municipalities</t>
  </si>
  <si>
    <t>MapLatitude</t>
  </si>
  <si>
    <t>MapLongitude</t>
  </si>
  <si>
    <t>ProjectPeriod</t>
  </si>
  <si>
    <t>ConstructionStartedYear</t>
  </si>
  <si>
    <t>ConstructionCompletedYear</t>
  </si>
  <si>
    <t>Partners</t>
  </si>
  <si>
    <t>OthersInvolved</t>
  </si>
  <si>
    <t>KeywordMeasures</t>
  </si>
  <si>
    <t>Collaboration</t>
  </si>
  <si>
    <t>MunicipalitiesCollaboration</t>
  </si>
  <si>
    <t>PrivateCollaboration</t>
  </si>
  <si>
    <t>OtherCollaboration</t>
  </si>
  <si>
    <t>ProgressDescription</t>
  </si>
  <si>
    <t>ChangeLog.Date</t>
  </si>
  <si>
    <t>DateTime</t>
  </si>
  <si>
    <t>ChangeLog.Text</t>
  </si>
  <si>
    <t>FByerOtherResults</t>
  </si>
  <si>
    <t>FByerCosts</t>
  </si>
  <si>
    <t>FByerPeopleInformed</t>
  </si>
  <si>
    <t>FByerOtherRemarks</t>
  </si>
  <si>
    <t>ProjectPhase</t>
  </si>
  <si>
    <t>ProjectTypes</t>
  </si>
  <si>
    <t>FunctionBuildingCategory</t>
  </si>
  <si>
    <t>ProjectCompetitionForm</t>
  </si>
  <si>
    <t>ProjectContractingForm</t>
  </si>
  <si>
    <t>ProjectEnvironmentalStandard</t>
  </si>
  <si>
    <t>ProjectAwards</t>
  </si>
  <si>
    <t>ProjectRoleModel</t>
  </si>
  <si>
    <t>ProjectResearch</t>
  </si>
  <si>
    <t>ProjectArchitectureGuide</t>
  </si>
  <si>
    <t>Builders</t>
  </si>
  <si>
    <t>ArchitectARK</t>
  </si>
  <si>
    <t>ArchitectLARK</t>
  </si>
  <si>
    <t>ArchitectIARK</t>
  </si>
  <si>
    <t>OriginalArchitect</t>
  </si>
  <si>
    <t>ProjectManagagers</t>
  </si>
  <si>
    <t>EnvironmentConsultants</t>
  </si>
  <si>
    <t>EnergyConsultants</t>
  </si>
  <si>
    <t>UniversalDesignConsultants</t>
  </si>
  <si>
    <t>AdvisorIngBygg</t>
  </si>
  <si>
    <t>AdvisorIngVVS</t>
  </si>
  <si>
    <t>AdvisorIngElektro</t>
  </si>
  <si>
    <t>AdvisoringBuildingPhysics</t>
  </si>
  <si>
    <t>AdvisorIngFireSafety</t>
  </si>
  <si>
    <t>AdvisorIngAcoustics</t>
  </si>
  <si>
    <t>OtherAdvisors</t>
  </si>
  <si>
    <t>Contractors</t>
  </si>
  <si>
    <t>ConstructionManagement</t>
  </si>
  <si>
    <t>SubContractors</t>
  </si>
  <si>
    <t>Manufacturers</t>
  </si>
  <si>
    <t>ShowKeyFigures</t>
  </si>
  <si>
    <t>AreaUsed</t>
  </si>
  <si>
    <t>NumberOfResidents</t>
  </si>
  <si>
    <t>GrossSquareFootBTA</t>
  </si>
  <si>
    <t>GrossSquareFoot</t>
  </si>
  <si>
    <t>GrossSquareFootHeated</t>
  </si>
  <si>
    <t>SquareFootGlass</t>
  </si>
  <si>
    <t>Float</t>
  </si>
  <si>
    <t>CompactnessFactor</t>
  </si>
  <si>
    <t>GreenAreaIncease</t>
  </si>
  <si>
    <t>HardAreaReduction</t>
  </si>
  <si>
    <t>WalkwaysLength</t>
  </si>
  <si>
    <t>DistanceToCollectivePoint</t>
  </si>
  <si>
    <t>DistanceToCityCenter</t>
  </si>
  <si>
    <t>ParkingArea</t>
  </si>
  <si>
    <t>ParkingSpotsPerUnit</t>
  </si>
  <si>
    <t>BikeParkingArea</t>
  </si>
  <si>
    <t>BikeParkingSpotsPerUnit</t>
  </si>
  <si>
    <t>FByerCO2</t>
  </si>
  <si>
    <t>CO2Method</t>
  </si>
  <si>
    <t>CO2ReferenceEnergy</t>
  </si>
  <si>
    <t>CO2ReferenceMaterials</t>
  </si>
  <si>
    <t>CO2ReferenceTransport</t>
  </si>
  <si>
    <t>CO2DesignedEnergy</t>
  </si>
  <si>
    <t>CO2DesignedMaterials</t>
  </si>
  <si>
    <t>CO2DesignedTransport</t>
  </si>
  <si>
    <t>CO2FinishedEnergy</t>
  </si>
  <si>
    <t>CO2FinishedMaterials</t>
  </si>
  <si>
    <t>CO2FinishedTransport</t>
  </si>
  <si>
    <t>CO2InUseEnergy</t>
  </si>
  <si>
    <t>CO2InUseMaterials</t>
  </si>
  <si>
    <t>CO2InUseTransport</t>
  </si>
  <si>
    <t>EnergyConsumption</t>
  </si>
  <si>
    <t>EnergySources</t>
  </si>
  <si>
    <t>NetEnergy3700</t>
  </si>
  <si>
    <t>EstimatedDeliveredEnergy3700</t>
  </si>
  <si>
    <t>NetEnergy</t>
  </si>
  <si>
    <t>EstimatedDeliveredEnergy</t>
  </si>
  <si>
    <t>EnergySavings</t>
  </si>
  <si>
    <t>EnergyConvertedFromElectricityToRenewable</t>
  </si>
  <si>
    <t>EnergyConvertedFromFossilToRenewable</t>
  </si>
  <si>
    <t>EnergyDelivered</t>
  </si>
  <si>
    <t>EnovaFactsEnergy</t>
  </si>
  <si>
    <t>EnovaFactsComfort</t>
  </si>
  <si>
    <t>UValueRoof</t>
  </si>
  <si>
    <t>UValueFloor</t>
  </si>
  <si>
    <t>UValueWall</t>
  </si>
  <si>
    <t>UValueWindow</t>
  </si>
  <si>
    <t>MeasuredAirTightness</t>
  </si>
  <si>
    <t>SpecificFanPower</t>
  </si>
  <si>
    <t>HeatRecoveryEfficiency</t>
  </si>
  <si>
    <t>RoomHeating</t>
  </si>
  <si>
    <t>VentilationHeating</t>
  </si>
  <si>
    <t>DomesticHotWater</t>
  </si>
  <si>
    <t>FanAdministration</t>
  </si>
  <si>
    <t>PumpAdministration</t>
  </si>
  <si>
    <t>Lighting</t>
  </si>
  <si>
    <t>TechnicalEquipment</t>
  </si>
  <si>
    <t>RoomCooling</t>
  </si>
  <si>
    <t>VentilationCooling</t>
  </si>
  <si>
    <t>OtherEnergyPosts</t>
  </si>
  <si>
    <t>EnergyEfficiencyMethod</t>
  </si>
  <si>
    <t>BuildingCosts</t>
  </si>
  <si>
    <t>MerkostnadM2</t>
  </si>
  <si>
    <t>MerkostnadEnergiM2Enova</t>
  </si>
  <si>
    <t>MerkostnadUniversellUtformingM2</t>
  </si>
  <si>
    <t>ProjectSupportEnova</t>
  </si>
  <si>
    <t>ProjectSupportHusbanken</t>
  </si>
  <si>
    <t>PublishedIn</t>
  </si>
  <si>
    <t>QuickLinks</t>
  </si>
  <si>
    <t>QuickLinkText</t>
  </si>
  <si>
    <t>InternalNodeId</t>
  </si>
  <si>
    <t>ExternalUrl</t>
  </si>
  <si>
    <t>OpenInNewWindow</t>
  </si>
  <si>
    <t>QuickLink1</t>
  </si>
  <si>
    <t>QuickLink2</t>
  </si>
  <si>
    <t>QuickLink3</t>
  </si>
  <si>
    <t>QuickLink4</t>
  </si>
  <si>
    <t>QuickLink5</t>
  </si>
  <si>
    <t>QuickLink6</t>
  </si>
  <si>
    <t>QuickLink7</t>
  </si>
  <si>
    <t>QuickLink8</t>
  </si>
  <si>
    <t>QuickLink9</t>
  </si>
  <si>
    <t>QuickLink10</t>
  </si>
  <si>
    <t>QuickLink11</t>
  </si>
  <si>
    <t>QuickLink12</t>
  </si>
  <si>
    <t>QuickLink13</t>
  </si>
  <si>
    <t>QuickLink14</t>
  </si>
  <si>
    <t>References</t>
  </si>
  <si>
    <t>EditAccess</t>
  </si>
  <si>
    <t>PublishAccess</t>
  </si>
  <si>
    <t>Diverse tegn</t>
  </si>
  <si>
    <t>Linjeskift</t>
  </si>
  <si>
    <t xml:space="preserve">
</t>
  </si>
  <si>
    <t>Mellom Relation (many)s</t>
  </si>
  <si>
    <t>;</t>
  </si>
  <si>
    <t>Deletegn ParagraphTitle</t>
  </si>
  <si>
    <t>[§ParagraphTitle§]</t>
  </si>
  <si>
    <t>Deletegn ParagraphText</t>
  </si>
  <si>
    <t>[§ParagraphText§]</t>
  </si>
  <si>
    <t>Deletegn ChangeLogText</t>
  </si>
  <si>
    <t>[§ChangeLogText§]</t>
  </si>
  <si>
    <t>Deletegn ChangeLogDate</t>
  </si>
  <si>
    <t>[§ChangeLogDate§]</t>
  </si>
  <si>
    <t>Deletegn QuickLinkText</t>
  </si>
  <si>
    <t>[§QuickLinkText§]</t>
  </si>
  <si>
    <t>Deletegn QuickLinkExternalUrl</t>
  </si>
  <si>
    <t>[§QuickLinkExternalUrl§]</t>
  </si>
  <si>
    <t>HTML-avsnitt</t>
  </si>
  <si>
    <t>&lt;p&gt;</t>
  </si>
  <si>
    <t>HTML-avsnittslutt</t>
  </si>
  <si>
    <t>&lt;/p&gt;</t>
  </si>
  <si>
    <t>Id_1</t>
  </si>
  <si>
    <t>Name_1</t>
  </si>
  <si>
    <t>Project_1</t>
  </si>
  <si>
    <t>Description_1</t>
  </si>
  <si>
    <t>Enova_1</t>
  </si>
  <si>
    <t>MeasureType_1</t>
  </si>
  <si>
    <t>Id_2</t>
  </si>
  <si>
    <t>Name_2</t>
  </si>
  <si>
    <t>Project_2</t>
  </si>
  <si>
    <t>Description_2</t>
  </si>
  <si>
    <t>Enova_2</t>
  </si>
  <si>
    <t>MeasureType_2</t>
  </si>
  <si>
    <t>Id_3</t>
  </si>
  <si>
    <t>Name_3</t>
  </si>
  <si>
    <t>Project_3</t>
  </si>
  <si>
    <t>Description_3</t>
  </si>
  <si>
    <t>Enova_3</t>
  </si>
  <si>
    <t>MeasureType_3</t>
  </si>
  <si>
    <t>Id_4</t>
  </si>
  <si>
    <t>Name_4</t>
  </si>
  <si>
    <t>Project_4</t>
  </si>
  <si>
    <t>Description_4</t>
  </si>
  <si>
    <t>Enova_4</t>
  </si>
  <si>
    <t>MeasureType_4</t>
  </si>
  <si>
    <t>Id_5</t>
  </si>
  <si>
    <t>Name_5</t>
  </si>
  <si>
    <t>Project_5</t>
  </si>
  <si>
    <t>Description_5</t>
  </si>
  <si>
    <t>Enova_5</t>
  </si>
  <si>
    <t>MeasureType_5</t>
  </si>
  <si>
    <t>Id_6</t>
  </si>
  <si>
    <t>Name_6</t>
  </si>
  <si>
    <t>Project_6</t>
  </si>
  <si>
    <t>Description_6</t>
  </si>
  <si>
    <t>Enova_6</t>
  </si>
  <si>
    <t>MeasureType_6</t>
  </si>
  <si>
    <t>Id_7</t>
  </si>
  <si>
    <t>Name_7</t>
  </si>
  <si>
    <t>Project_7</t>
  </si>
  <si>
    <t>Description_7</t>
  </si>
  <si>
    <t>Enova_7</t>
  </si>
  <si>
    <t>MeasureType_7</t>
  </si>
  <si>
    <t>Id_8</t>
  </si>
  <si>
    <t>Name_8</t>
  </si>
  <si>
    <t>Project_8</t>
  </si>
  <si>
    <t>Description_8</t>
  </si>
  <si>
    <t>Enova_8</t>
  </si>
  <si>
    <t>MeasureType_8</t>
  </si>
  <si>
    <t>ChangeLog</t>
  </si>
  <si>
    <t>Description</t>
  </si>
  <si>
    <t>Enova</t>
  </si>
  <si>
    <t>MeasureType</t>
  </si>
  <si>
    <t>odata_title</t>
  </si>
  <si>
    <t>odata_updated</t>
  </si>
  <si>
    <t>Kolonne1</t>
  </si>
  <si>
    <t>Dyrø og Moen AS</t>
  </si>
  <si>
    <t>2012-06-01T16:05:00+02:00</t>
  </si>
  <si>
    <t xml:space="preserve"> Dyrø og Moen AS</t>
  </si>
  <si>
    <t>Hoen arkitektfirma, Anne Louise</t>
  </si>
  <si>
    <t>2012-06-01T16:05:50+02:00</t>
  </si>
  <si>
    <t xml:space="preserve"> Hoen arkitektfirma, Anne Louise</t>
  </si>
  <si>
    <t>Hus arkitekter AS</t>
  </si>
  <si>
    <t>2012-06-01T16:05:49+02:00</t>
  </si>
  <si>
    <t xml:space="preserve"> Hus arkitekter AS</t>
  </si>
  <si>
    <t>Kvien, Tord</t>
  </si>
  <si>
    <t xml:space="preserve"> Kvien, Tord</t>
  </si>
  <si>
    <t>1:1 Arkitekter AS</t>
  </si>
  <si>
    <t>3RW arkitekter</t>
  </si>
  <si>
    <t>2012-06-01T16:05:48+02:00</t>
  </si>
  <si>
    <t>4B Arkitekter AS</t>
  </si>
  <si>
    <t>70 °N arkitektur AS</t>
  </si>
  <si>
    <t>a2 arkitekter as</t>
  </si>
  <si>
    <t>AART (danmark)</t>
  </si>
  <si>
    <t>2013-01-02T19:46:00+01:00</t>
  </si>
  <si>
    <t>Abacus as</t>
  </si>
  <si>
    <t>Abo Plan &amp; Arkitektur AS</t>
  </si>
  <si>
    <t>absolutt arkitektur as</t>
  </si>
  <si>
    <t>2012-06-01T16:05:51+02:00</t>
  </si>
  <si>
    <t>ACK Arkitekter</t>
  </si>
  <si>
    <t>Acona Tehnopole AS</t>
  </si>
  <si>
    <t>Adaptiv Arkitektur AS</t>
  </si>
  <si>
    <t>2013-02-18T16:01:00+01:00</t>
  </si>
  <si>
    <t>Aepos arkitekter og planleggere AS</t>
  </si>
  <si>
    <t>AG Plan og Arkitektur AS</t>
  </si>
  <si>
    <t>Aga Arkitekter AS</t>
  </si>
  <si>
    <t>Agraff AS</t>
  </si>
  <si>
    <t>2013-01-27T11:46:18+01:00</t>
  </si>
  <si>
    <t>AKC Arkitekter AS</t>
  </si>
  <si>
    <t>a-lab as</t>
  </si>
  <si>
    <t>2013-04-04T09:24:00+02:00</t>
  </si>
  <si>
    <t>Alliance arkitekter AS</t>
  </si>
  <si>
    <t>Allsidig Arkitekt</t>
  </si>
  <si>
    <t>2012-10-26T10:40:45+02:00</t>
  </si>
  <si>
    <t>alt arkitektur as</t>
  </si>
  <si>
    <t>AMB arkitekter AS</t>
  </si>
  <si>
    <t>Amdahl Strøm Cappelen Arkitekter AS</t>
  </si>
  <si>
    <t>Amtedal &amp; Hansen Arkitektkontor as</t>
  </si>
  <si>
    <t>Amtedal &amp; Hansen Arkitektkontor AS</t>
  </si>
  <si>
    <t>2013-02-13T11:00:00+01:00</t>
  </si>
  <si>
    <t>Andersen &amp; Flåte AS</t>
  </si>
  <si>
    <t>Anderssen+Fremming AS</t>
  </si>
  <si>
    <t>Andresen Arkitekter AS</t>
  </si>
  <si>
    <t>April Arkitekter AS</t>
  </si>
  <si>
    <t>arc arkitekter as</t>
  </si>
  <si>
    <t>ARC arkitektur AS</t>
  </si>
  <si>
    <t>2013-03-15T15:33:00+01:00</t>
  </si>
  <si>
    <t>Arcasa arkitekter AS</t>
  </si>
  <si>
    <t>Arc-ess AS</t>
  </si>
  <si>
    <t>Arch Uno AS</t>
  </si>
  <si>
    <t>Architectopia AS</t>
  </si>
  <si>
    <t>Archus Arkitekter AS</t>
  </si>
  <si>
    <t>Arcon Prosjekt AS</t>
  </si>
  <si>
    <t>Ario as</t>
  </si>
  <si>
    <t>Arkade Arkitektkontor AS</t>
  </si>
  <si>
    <t>2012-12-20T10:50:00+01:00</t>
  </si>
  <si>
    <t>Arkadia Arkitekter AS</t>
  </si>
  <si>
    <t>Arken AS, Arkitektkontoret</t>
  </si>
  <si>
    <t xml:space="preserve">Arken AS, Arkitektkontoret </t>
  </si>
  <si>
    <t>Arkidea AS</t>
  </si>
  <si>
    <t>Arkideco as</t>
  </si>
  <si>
    <t>ArkiForum AS</t>
  </si>
  <si>
    <t>Arkinett AS</t>
  </si>
  <si>
    <t>Arkipartner AS</t>
  </si>
  <si>
    <t>Arkiplan AS</t>
  </si>
  <si>
    <t>Arkitekt Ludvig Hoddø MNAL</t>
  </si>
  <si>
    <t>2012-11-16T15:18:00+01:00</t>
  </si>
  <si>
    <t>Arkitekt MNAL Håvard Holm Endresen</t>
  </si>
  <si>
    <t>Arkitektarna Krook &amp; Tjäder A</t>
  </si>
  <si>
    <t xml:space="preserve">Arkitektarna Krook &amp; Tjäder A </t>
  </si>
  <si>
    <t>Arkitektbua A/S</t>
  </si>
  <si>
    <t>Arkitektene AS - Arkitekt MNAL NPA Espen Eskeland</t>
  </si>
  <si>
    <t>Arkitektene Astrup og Hellern AS</t>
  </si>
  <si>
    <t>Arkitektfirma Jon Vikøren AS</t>
  </si>
  <si>
    <t>Arkitektformidling</t>
  </si>
  <si>
    <t>Arkitektgruppen Cubus AS</t>
  </si>
  <si>
    <t xml:space="preserve">Arkitektgruppen Cubus AS </t>
  </si>
  <si>
    <t>Arkitekthuset Amlie - Strandgata 22 A/S</t>
  </si>
  <si>
    <t>Arkitekthuset Lunøe &amp; Løffler</t>
  </si>
  <si>
    <t xml:space="preserve">Arkitekthuset Lunøe &amp; Løffler </t>
  </si>
  <si>
    <t>Arkitektkompaniet AS</t>
  </si>
  <si>
    <t>Arkitektkontor</t>
  </si>
  <si>
    <t>2012-08-29T14:14:43+02:00</t>
  </si>
  <si>
    <t>2013-02-18T16:05:24+01:00</t>
  </si>
  <si>
    <t>2013-02-21T12:34:12+01:00</t>
  </si>
  <si>
    <t>2013-04-02T13:57:27+02:00</t>
  </si>
  <si>
    <t>2013-04-10T11:08:23+02:00</t>
  </si>
  <si>
    <t>Arkitektkontoret IHT</t>
  </si>
  <si>
    <t>2013-01-01T23:00:00+01:00</t>
  </si>
  <si>
    <t>Arkitektkontoret JoB AS</t>
  </si>
  <si>
    <t>2013-02-18T16:07:00+01:00</t>
  </si>
  <si>
    <t>2013-03-01T14:45:00+01:00</t>
  </si>
  <si>
    <t>Arkitektkontoret Tellus AS</t>
  </si>
  <si>
    <t>2012-12-03T15:53:41+01:00</t>
  </si>
  <si>
    <t>Arkitektskap AS</t>
  </si>
  <si>
    <t>Arkitektstudio as</t>
  </si>
  <si>
    <t>Arkitektstudio Hamar AS</t>
  </si>
  <si>
    <t>Arkitektteam AS</t>
  </si>
  <si>
    <t>Arkitektur EW verksted</t>
  </si>
  <si>
    <t>Arkitekturverket AS</t>
  </si>
  <si>
    <t>2013-04-02T13:40:00+02:00</t>
  </si>
  <si>
    <t>Arkitekturverkstedet i Oslo/Asplan viak</t>
  </si>
  <si>
    <t>Arkplan</t>
  </si>
  <si>
    <t>2012-06-12T21:44:00+02:00</t>
  </si>
  <si>
    <t>Arktos Arkitektur AS</t>
  </si>
  <si>
    <t>Arne Eggen Arkitektkontor A/S</t>
  </si>
  <si>
    <t>Arstad arkitekter AS</t>
  </si>
  <si>
    <t>ART arkitekter og ingeniører AS</t>
  </si>
  <si>
    <t>2012-08-29T14:17:01+02:00</t>
  </si>
  <si>
    <t>ARTEC Prosjekt Team AS</t>
  </si>
  <si>
    <t>Askim/Lantto Arkitekter AS</t>
  </si>
  <si>
    <t>Asplan Viak AS</t>
  </si>
  <si>
    <t>Astad Arkitektur</t>
  </si>
  <si>
    <t>Atelier Oslo</t>
  </si>
  <si>
    <t>A-tract AS</t>
  </si>
  <si>
    <t>2013-04-04T09:23:00+02:00</t>
  </si>
  <si>
    <t>Atsite</t>
  </si>
  <si>
    <t>Aursand Arkitektkontor AS, Espen</t>
  </si>
  <si>
    <t xml:space="preserve">Aursand Arkitektkontor AS, Espen </t>
  </si>
  <si>
    <t>Aursand og Spangen AS Sivilarkitekter</t>
  </si>
  <si>
    <t>AWP (Frankrike)</t>
  </si>
  <si>
    <t>2013-01-02T19:06:00+01:00</t>
  </si>
  <si>
    <t>b+b arkitekter as</t>
  </si>
  <si>
    <t>Bar, AS Arkitektgruppen</t>
  </si>
  <si>
    <t xml:space="preserve">Bar, AS Arkitektgruppen </t>
  </si>
  <si>
    <t>Bark Arkitekter AS</t>
  </si>
  <si>
    <t>Bas Arkitekter AS</t>
  </si>
  <si>
    <t>Base Arkitekter AS</t>
  </si>
  <si>
    <t>Basis arkitekter as</t>
  </si>
  <si>
    <t>2013-01-11T16:17:00+01:00</t>
  </si>
  <si>
    <t>Bauck AS, Arkitektkontoret Jan</t>
  </si>
  <si>
    <t>BBW AS, Arkitektkontoret</t>
  </si>
  <si>
    <t xml:space="preserve">BBW AS, Arkitektkontoret </t>
  </si>
  <si>
    <t>Beate Ellingsen AS</t>
  </si>
  <si>
    <t>Bente Rødahl Arkitekter AS</t>
  </si>
  <si>
    <t>Berg og Østvang AS, Arkitektene</t>
  </si>
  <si>
    <t>Bergersen Arkitekter AS</t>
  </si>
  <si>
    <t>2013-04-04T09:30:00+02:00</t>
  </si>
  <si>
    <t>Bergersen Gromholt Ottar Arkitekter AS</t>
  </si>
  <si>
    <t>Bergseth sivilarkitekt MNAL, Magne</t>
  </si>
  <si>
    <t xml:space="preserve">Bergseth sivilarkitekt MNAL, Magne </t>
  </si>
  <si>
    <t>Biesel Arkitekter AS, Eder</t>
  </si>
  <si>
    <t xml:space="preserve">Biesel Arkitekter AS, Eder </t>
  </si>
  <si>
    <t>Bifokal Zednik</t>
  </si>
  <si>
    <t>Biong Arkitekter AS</t>
  </si>
  <si>
    <t>Bios Arkitekter AS</t>
  </si>
  <si>
    <t>Bjerke arkitektkontor</t>
  </si>
  <si>
    <t>Bjørbekk og Lindheim</t>
  </si>
  <si>
    <t>2012-06-05T23:58:00+02:00</t>
  </si>
  <si>
    <t>Bjørn Haugstad Arkitekt MNAL</t>
  </si>
  <si>
    <t>Bjørnstad Prosjektering AS, Bjørn</t>
  </si>
  <si>
    <t xml:space="preserve">Bjørnstad Prosjektering AS, Bjørn </t>
  </si>
  <si>
    <t>blå arkitektur landskab ab</t>
  </si>
  <si>
    <t>Bo arkitekter as</t>
  </si>
  <si>
    <t>Boarch arkitekter as</t>
  </si>
  <si>
    <t>Bogen Arkitektkontor AS, Petter</t>
  </si>
  <si>
    <t xml:space="preserve">Bogen Arkitektkontor AS, Petter </t>
  </si>
  <si>
    <t>Borealis Arkitekter as</t>
  </si>
  <si>
    <t>Borsheim, Paal</t>
  </si>
  <si>
    <t xml:space="preserve">Borsheim, Paal </t>
  </si>
  <si>
    <t>Boxs arkitektstudio as</t>
  </si>
  <si>
    <t>Brandsberg-Dahls Arkitektkontor AS</t>
  </si>
  <si>
    <t>Brendeland &amp; Kristoffersen arkitekter A/S</t>
  </si>
  <si>
    <t>Bris arkitekter</t>
  </si>
  <si>
    <t>2013-01-29T13:16:00+01:00</t>
  </si>
  <si>
    <t>Britt Krokene Sivilarkitekt MNAL AS</t>
  </si>
  <si>
    <t>2013-02-28T14:58:00+01:00</t>
  </si>
  <si>
    <t>2013-02-28T15:09:00+01:00</t>
  </si>
  <si>
    <t>Brodtkorb AS, Arkitektkontoret Kari Nissen</t>
  </si>
  <si>
    <t xml:space="preserve">Brodtkorb AS, Arkitektkontoret Kari Nissen </t>
  </si>
  <si>
    <t>Bruvoll arkitektur as</t>
  </si>
  <si>
    <t>2013-01-11T09:16:14+01:00</t>
  </si>
  <si>
    <t>Brækkan sivilarkitekt MNAL, Gudrun</t>
  </si>
  <si>
    <t xml:space="preserve">Brækkan sivilarkitekt MNAL, Gudrun </t>
  </si>
  <si>
    <t>Buck og Beyer arkitekter AS</t>
  </si>
  <si>
    <t>Bødtker sivilarkitekt MNAL, Brit Sejersted</t>
  </si>
  <si>
    <t xml:space="preserve">Bødtker sivilarkitekt MNAL, Brit Sejersted </t>
  </si>
  <si>
    <t>Børve og Borchsenius as, Arkitektkontoret</t>
  </si>
  <si>
    <t xml:space="preserve">Børve og Borchsenius as, Arkitektkontoret </t>
  </si>
  <si>
    <t>Cadi AS</t>
  </si>
  <si>
    <t>Campbell ink, Scott Campbell</t>
  </si>
  <si>
    <t>Clou arkitektur</t>
  </si>
  <si>
    <t>Code: arkitektur as</t>
  </si>
  <si>
    <t>Context AS</t>
  </si>
  <si>
    <t>Contur as - Arkitektur og Design</t>
  </si>
  <si>
    <t>Cox Strategisk design AS</t>
  </si>
  <si>
    <t>2013-01-27T11:47:00+01:00</t>
  </si>
  <si>
    <t>ctrl+n arkitektur da</t>
  </si>
  <si>
    <t>C-V Hølmebakk Arkitektkontor</t>
  </si>
  <si>
    <t>DAC architecture</t>
  </si>
  <si>
    <t>Dahl &amp; Myrhol AS, Arkitektene</t>
  </si>
  <si>
    <t xml:space="preserve">Dahl &amp; Myrhol AS, Arkitektene </t>
  </si>
  <si>
    <t>Dahl &amp; Uhre arkitekter as</t>
  </si>
  <si>
    <t>Dahle &amp; Breitenstein as</t>
  </si>
  <si>
    <t>Dark Arkitekter AS</t>
  </si>
  <si>
    <t>DB Arkitektur AS</t>
  </si>
  <si>
    <t>DBC-arkitektur as</t>
  </si>
  <si>
    <t>Derlick arkitekter as</t>
  </si>
  <si>
    <t>div.A arkitekter</t>
  </si>
  <si>
    <t>Dyrvik Arkitekter AS</t>
  </si>
  <si>
    <t>Eder Biesel Arkitekter</t>
  </si>
  <si>
    <t>2013-02-21T12:33:00+01:00</t>
  </si>
  <si>
    <t>Egg arkitekter as</t>
  </si>
  <si>
    <t>2013-01-10T18:49:00+01:00</t>
  </si>
  <si>
    <t>Eggen Arkitekter AS</t>
  </si>
  <si>
    <t>Eggen AS, Arkitektkontoret Arne</t>
  </si>
  <si>
    <t xml:space="preserve">Eggen AS, Arkitektkontoret Arne </t>
  </si>
  <si>
    <t>Eggen Sivilarkitekt MNAL, Kjellaug Sandvik</t>
  </si>
  <si>
    <t xml:space="preserve">Eggen Sivilarkitekt MNAL, Kjellaug Sandvik </t>
  </si>
  <si>
    <t>Eide og Haslestad A/S, Arkitektkontoret</t>
  </si>
  <si>
    <t xml:space="preserve">Eide og Haslestad A/S, Arkitektkontoret </t>
  </si>
  <si>
    <t>EIK arkitektur &amp; design as npa</t>
  </si>
  <si>
    <t>Element arkitekter as</t>
  </si>
  <si>
    <t>Elfrida Bull Bene AS, Arkitektstudio</t>
  </si>
  <si>
    <t>Eliassen og Lambertz-Nilssen Arkitekter AS</t>
  </si>
  <si>
    <t>Elisabeth Ekjord AS</t>
  </si>
  <si>
    <t>Else Dahlseng Arkitekter AS</t>
  </si>
  <si>
    <t>Elverland arkitekt MNAL, Hanne</t>
  </si>
  <si>
    <t xml:space="preserve">Elverland arkitekt MNAL, Hanne </t>
  </si>
  <si>
    <t>Enerhaugen Arkitektkontor AS</t>
  </si>
  <si>
    <t>Engelbrektson, Sivilarkitekt MNAL Richard</t>
  </si>
  <si>
    <t xml:space="preserve">Engelbrektson, Sivilarkitekt MNAL Richard </t>
  </si>
  <si>
    <t>Erik Møller arkitekter</t>
  </si>
  <si>
    <t>Eriksen Skajaa Arkitekter</t>
  </si>
  <si>
    <t>Espen Handegård sivilarkitekt MNAL</t>
  </si>
  <si>
    <t>Eva Solheim sivilarkitekt MNAL</t>
  </si>
  <si>
    <t>2013-04-05T09:46:27+02:00</t>
  </si>
  <si>
    <t>F S Platou</t>
  </si>
  <si>
    <t>Falkenberg MNAL, Siv.ark. Thomas</t>
  </si>
  <si>
    <t xml:space="preserve">Falkenberg MNAL, Siv.ark. Thomas </t>
  </si>
  <si>
    <t>Fasting Arkitekter AS</t>
  </si>
  <si>
    <t>Felix Arkitekter AS</t>
  </si>
  <si>
    <t>Feste AS</t>
  </si>
  <si>
    <t>Feste Grenland AS</t>
  </si>
  <si>
    <t>2012-10-10T17:18:00+02:00</t>
  </si>
  <si>
    <t>Filter Arkitekter AS</t>
  </si>
  <si>
    <t>Fjord Arkitekter AS</t>
  </si>
  <si>
    <t>Fjorden Arkitekter</t>
  </si>
  <si>
    <t>Flux Arkitekter AS</t>
  </si>
  <si>
    <t>Flyt arkitektur as</t>
  </si>
  <si>
    <t>2013-01-11T10:01:48+01:00</t>
  </si>
  <si>
    <t>Forente Arkitektkontorer A/S</t>
  </si>
  <si>
    <t>Formgiverne d.a.</t>
  </si>
  <si>
    <t>Fortunen Arkitekter AS</t>
  </si>
  <si>
    <t>Forum Arkitekter AS</t>
  </si>
  <si>
    <t>fossland as, arkitekt</t>
  </si>
  <si>
    <t>Frank a/s, Arkitektkontoret Lene</t>
  </si>
  <si>
    <t xml:space="preserve">Frank a/s, Arkitektkontoret Lene </t>
  </si>
  <si>
    <t>Friis Arkitekter AS</t>
  </si>
  <si>
    <t>Gaia Arkitekter</t>
  </si>
  <si>
    <t>Gaia Tjøme</t>
  </si>
  <si>
    <t>Gasa A/S, Arkitektkontoret</t>
  </si>
  <si>
    <t xml:space="preserve">Gasa A/S, Arkitektkontoret </t>
  </si>
  <si>
    <t>Ghilardi+Hellsten Arkitekter</t>
  </si>
  <si>
    <t>Gjøen, Arne</t>
  </si>
  <si>
    <t xml:space="preserve">Gjøen, Arne </t>
  </si>
  <si>
    <t>Gjørven AS, Arkitektkontoret Ingrid Ulving</t>
  </si>
  <si>
    <t xml:space="preserve">Gjørven AS, Arkitektkontoret Ingrid Ulving </t>
  </si>
  <si>
    <t>Gravbrøt siv.ark. MNAL, Pia Maria</t>
  </si>
  <si>
    <t>Grieg AS, Arkitektkontoret</t>
  </si>
  <si>
    <t xml:space="preserve">Grieg AS, Arkitektkontoret </t>
  </si>
  <si>
    <t>Grinde AS</t>
  </si>
  <si>
    <t>Gro Hovda sivilarkitekt mnal</t>
  </si>
  <si>
    <t>Grønn strek as</t>
  </si>
  <si>
    <t>2012-10-11T17:50:00+02:00</t>
  </si>
  <si>
    <t>Gsella, Christian</t>
  </si>
  <si>
    <t xml:space="preserve">Gsella, Christian </t>
  </si>
  <si>
    <t>h. arkitektiner as</t>
  </si>
  <si>
    <t>Haaland AS Siv.ark. MNAL, Arkitektkontoret</t>
  </si>
  <si>
    <t xml:space="preserve">Haaland AS Siv.ark. MNAL, Arkitektkontoret </t>
  </si>
  <si>
    <t>Haarklau og Lindeberg AS</t>
  </si>
  <si>
    <t>Haga og Grov AS, sivilarkitekter MNAL</t>
  </si>
  <si>
    <t>HAK, Holen Arkitektkontor</t>
  </si>
  <si>
    <t>2013-02-26T14:48:00+01:00</t>
  </si>
  <si>
    <t>Haldde arkitekter AS</t>
  </si>
  <si>
    <t>2012-10-10T12:46:00+02:00</t>
  </si>
  <si>
    <t>Halden Arkitektkontor AS</t>
  </si>
  <si>
    <t>Halvorsen &amp; Reine AS</t>
  </si>
  <si>
    <t>Halvorsen AS sivilarkitekt MNAL, Stein</t>
  </si>
  <si>
    <t>Halvorsen AS, Arkitektkontoret Konrad</t>
  </si>
  <si>
    <t xml:space="preserve">Halvorsen AS, Arkitektkontoret Konrad </t>
  </si>
  <si>
    <t>Hamre Arkitektkontor as, Stein</t>
  </si>
  <si>
    <t xml:space="preserve">Hamre Arkitektkontor as, Stein </t>
  </si>
  <si>
    <t>Hansen/Bjørndal Arkitekter AS</t>
  </si>
  <si>
    <t>HAPTIC</t>
  </si>
  <si>
    <t>Haugedal, Arnar</t>
  </si>
  <si>
    <t xml:space="preserve">Haugedal, Arnar </t>
  </si>
  <si>
    <t>Haugen as, Arkitektkontoret Erling</t>
  </si>
  <si>
    <t>2012-06-15T11:21:14+02:00</t>
  </si>
  <si>
    <t xml:space="preserve">Haugen as, Arkitektkontoret Erling </t>
  </si>
  <si>
    <t>Haugen/ Zohar Arkitekter</t>
  </si>
  <si>
    <t>Hausberg siv.ark. MNAL, Egil J</t>
  </si>
  <si>
    <t xml:space="preserve">Hausberg siv.ark. MNAL, Egil J </t>
  </si>
  <si>
    <t>Heggelund og Koxvold AS Arkitekter MNAL</t>
  </si>
  <si>
    <t>Heggenhougen Arkitekter AS</t>
  </si>
  <si>
    <t>Helen &amp; Hard AS</t>
  </si>
  <si>
    <t>Helén Arkitekter AS, Bernt</t>
  </si>
  <si>
    <t xml:space="preserve">Helén Arkitekter AS, Bernt </t>
  </si>
  <si>
    <t>Helling Arkitekter Oslo AS, Lars</t>
  </si>
  <si>
    <t xml:space="preserve">Helling Arkitekter Oslo AS, Lars </t>
  </si>
  <si>
    <t>Henriksen Arkitekter AS, Arne</t>
  </si>
  <si>
    <t xml:space="preserve">Henriksen Arkitekter AS, Arne </t>
  </si>
  <si>
    <t>Hille Melbye Arkitekter AS</t>
  </si>
  <si>
    <t>Hille Strandskogen AS arkitekter MNAL</t>
  </si>
  <si>
    <t>Hindhamar Landskapsarkitekter AS</t>
  </si>
  <si>
    <t>2012-11-15T13:24:00+01:00</t>
  </si>
  <si>
    <t>Hjelle Arkitekter AS, Harald</t>
  </si>
  <si>
    <t xml:space="preserve">Hjelle Arkitekter AS, Harald </t>
  </si>
  <si>
    <t>Hjeltnes AS, sivilarkitekter MNAL, Knut</t>
  </si>
  <si>
    <t xml:space="preserve">Hjeltnes AS, sivilarkitekter MNAL, Knut </t>
  </si>
  <si>
    <t>Hjorth Arkitekter</t>
  </si>
  <si>
    <t>2013-03-21T15:13:00+01:00</t>
  </si>
  <si>
    <t>HLM arkitektur &amp; plan A/S</t>
  </si>
  <si>
    <t>Hoff romstudio, Baard</t>
  </si>
  <si>
    <t xml:space="preserve">Hoff romstudio, Baard </t>
  </si>
  <si>
    <t>Hoffmann, Arne Arkitektene og Ib Omland Phd, sivilarkitekt mnal</t>
  </si>
  <si>
    <t>Holm &amp; Grut Arkitekter MAA PAR</t>
  </si>
  <si>
    <t>HRTB Arkitekter AS MNAL</t>
  </si>
  <si>
    <t>HSØ - Hagestande og Øvrehus Arkitektkontor AS</t>
  </si>
  <si>
    <t>2011-11-03T12:20:37+01:00</t>
  </si>
  <si>
    <t>Hus AS, Arbeidsgruppen</t>
  </si>
  <si>
    <t xml:space="preserve">Hus AS, Arbeidsgruppen </t>
  </si>
  <si>
    <t>Huus og Heim Arkitektur</t>
  </si>
  <si>
    <t>Hvoslef-Eide AS, Arkitektkontoret Didrik</t>
  </si>
  <si>
    <t xml:space="preserve">Hvoslef-Eide AS, Arkitektkontoret Didrik </t>
  </si>
  <si>
    <t>HWR arkitekter as</t>
  </si>
  <si>
    <t>Hysj arkitekter AS</t>
  </si>
  <si>
    <t>i2i.no as</t>
  </si>
  <si>
    <t>IDA arkitekter as</t>
  </si>
  <si>
    <t>Ide Arkitekter</t>
  </si>
  <si>
    <t>IdealBygg AS</t>
  </si>
  <si>
    <t>2013-02-12T11:22:00+01:00</t>
  </si>
  <si>
    <t>Indigo Arkitekter AS</t>
  </si>
  <si>
    <t>Ingvaldsen sivilarkitekt MNAL, Arne</t>
  </si>
  <si>
    <t xml:space="preserve">Ingvaldsen sivilarkitekt MNAL, Arne </t>
  </si>
  <si>
    <t>Interiørarkitekt MNIL Siri Obrestad Fuhr</t>
  </si>
  <si>
    <t xml:space="preserve">Interiørarkitekt MNIL Siri Obrestad Fuhr </t>
  </si>
  <si>
    <t>IversenPetch AS</t>
  </si>
  <si>
    <t>2012-10-15T11:31:00+02:00</t>
  </si>
  <si>
    <t>Jacobsen og Reiten Arkitektkontor AS</t>
  </si>
  <si>
    <t>Jansen Arkitekter AS</t>
  </si>
  <si>
    <t>Jarmund Arkitekter as mnal, Kristin</t>
  </si>
  <si>
    <t xml:space="preserve">Jarmund Arkitekter as mnal, Kristin </t>
  </si>
  <si>
    <t>Jarmund/ Vigsnæs AS Arkitekter MNAL</t>
  </si>
  <si>
    <t>Jensen &amp; Skodvin Arkitektkontor</t>
  </si>
  <si>
    <t>Jensen AS, Arkitektkontoret Kjell</t>
  </si>
  <si>
    <t xml:space="preserve">Jensen AS, Arkitektkontoret Kjell </t>
  </si>
  <si>
    <t>jm arkitektkontor</t>
  </si>
  <si>
    <t>Johansen, Jonny sivilarkitekt MNAL</t>
  </si>
  <si>
    <t>Jonsson Arkitektkontor, Gudmundur</t>
  </si>
  <si>
    <t xml:space="preserve">Jonsson Arkitektkontor, Gudmundur </t>
  </si>
  <si>
    <t>JST Arkitekter AS</t>
  </si>
  <si>
    <t>K16 AS, Arkitektkontoret</t>
  </si>
  <si>
    <t xml:space="preserve">K16 AS, Arkitektkontoret </t>
  </si>
  <si>
    <t>Kahrs Arkitekter AS, Paal J.</t>
  </si>
  <si>
    <t>Kap - kontor for arkitektur og plan</t>
  </si>
  <si>
    <t>Kapsel design as</t>
  </si>
  <si>
    <t>2013-02-04T22:58:00+01:00</t>
  </si>
  <si>
    <t>Karsten T. Huitfeldt sivilarkitekt MNAL</t>
  </si>
  <si>
    <t>Katarsis as</t>
  </si>
  <si>
    <t>KEO arkitekter AS</t>
  </si>
  <si>
    <t>Kester Bunyan Arkitektur as</t>
  </si>
  <si>
    <t>KEY arkitekter as mnal</t>
  </si>
  <si>
    <t>Kibsgaard-Petersen AS</t>
  </si>
  <si>
    <t>Kile Stokholm Arkitekter AS</t>
  </si>
  <si>
    <t>KIMA arkitektur as</t>
  </si>
  <si>
    <t>2013-04-12T15:39:00+02:00</t>
  </si>
  <si>
    <t>Kjernehuset Arkitektkontor</t>
  </si>
  <si>
    <t>Kleihues+Schuwerk Gesellschaft von Architekten mbH</t>
  </si>
  <si>
    <t>2012-12-19T15:59:00+01:00</t>
  </si>
  <si>
    <t>Knudsen Arkitektkontor AS, Per</t>
  </si>
  <si>
    <t xml:space="preserve">Knudsen Arkitektkontor AS, Per </t>
  </si>
  <si>
    <t>Knudtsen AS, Arkitekthuset</t>
  </si>
  <si>
    <t xml:space="preserve">Knudtsen AS, Arkitekthuset </t>
  </si>
  <si>
    <t>Koda Arkitekter AS</t>
  </si>
  <si>
    <t>Kon-sul AS</t>
  </si>
  <si>
    <t>Kosbergs Arkitektkontor AS</t>
  </si>
  <si>
    <t>Kraft arkitektkontor as</t>
  </si>
  <si>
    <t>Kristiansen &amp; Bernhardt Arkitekter MNAL NPA, AS</t>
  </si>
  <si>
    <t xml:space="preserve">Kristiansen &amp; Bernhardt Arkitekter MNAL NPA, AS </t>
  </si>
  <si>
    <t>Kristiansen &amp; Selmer - Olsen AS</t>
  </si>
  <si>
    <t>Kritt Arkitekter AS</t>
  </si>
  <si>
    <t>Krogness Arkitekt MNAL, Ole A.</t>
  </si>
  <si>
    <t xml:space="preserve">Krogness Arkitekt MNAL, Ole A. </t>
  </si>
  <si>
    <t>Kronen AS sivilarkitekt MNAL, Bente</t>
  </si>
  <si>
    <t xml:space="preserve">Kronen AS sivilarkitekt MNAL, Bente </t>
  </si>
  <si>
    <t>Kry sivilarkitekt mnal, Geir Cock</t>
  </si>
  <si>
    <t>Kuben Arkitektkontor</t>
  </si>
  <si>
    <t>2012-11-01T09:27:00+01:00</t>
  </si>
  <si>
    <t>Kvadrat as, Arkitektkontoret</t>
  </si>
  <si>
    <t xml:space="preserve">Kvadrat as, Arkitektkontoret </t>
  </si>
  <si>
    <t>Kvalvik &amp; Kaada Arkitekter AS</t>
  </si>
  <si>
    <t>Kvam og Skjønsberg AS sivilarkitekter MNAL</t>
  </si>
  <si>
    <t>Kvartal 19 Arkitektkontor AS</t>
  </si>
  <si>
    <t>KVARTS arkitekter as</t>
  </si>
  <si>
    <t>2013-04-04T12:32:00+02:00</t>
  </si>
  <si>
    <t>Kvernaas Arkitekter A/S</t>
  </si>
  <si>
    <t>L.O.F. Arkitekter MNAL AS</t>
  </si>
  <si>
    <t>L2 Arkitekter AS</t>
  </si>
  <si>
    <t>landsbyarkitektene as</t>
  </si>
  <si>
    <t>Landskapsfabrikken</t>
  </si>
  <si>
    <t>2012-11-11T23:52:00+01:00</t>
  </si>
  <si>
    <t>Larsson A/S, K.E.</t>
  </si>
  <si>
    <t xml:space="preserve">Larsson A/S, K.E. </t>
  </si>
  <si>
    <t>Lead inc. as</t>
  </si>
  <si>
    <t>Lerche Arkitekter AS</t>
  </si>
  <si>
    <t>Lerum Inc.</t>
  </si>
  <si>
    <t>Lie Øyen arkitekter</t>
  </si>
  <si>
    <t>lille frøen as, Arkitektgruppen</t>
  </si>
  <si>
    <t>Lillestrøm Arkitektkontor AS</t>
  </si>
  <si>
    <t>Linberg &amp; Simmons</t>
  </si>
  <si>
    <t>Lindstrøm, Sivilarkitekt Inga</t>
  </si>
  <si>
    <t xml:space="preserve">Lindstrøm, Sivilarkitekt Inga </t>
  </si>
  <si>
    <t>Linje arkitektur as</t>
  </si>
  <si>
    <t>Link Arkitektur AS</t>
  </si>
  <si>
    <t>Link Signatur</t>
  </si>
  <si>
    <t>Liten Skala AS</t>
  </si>
  <si>
    <t>2012-08-29T14:13:56+02:00</t>
  </si>
  <si>
    <t>LMR arkitektur as</t>
  </si>
  <si>
    <t>Logg arkitektur as</t>
  </si>
  <si>
    <t>Longva Arkitekter AS</t>
  </si>
  <si>
    <t>Lorentz Kielland arkitekter as</t>
  </si>
  <si>
    <t>Lou</t>
  </si>
  <si>
    <t>LPO arkitekter</t>
  </si>
  <si>
    <t>Lund &amp; partnere</t>
  </si>
  <si>
    <t>Lund &amp; Slaatto Arkitekter AS</t>
  </si>
  <si>
    <t>Lund A/S, Sivilarkitekt E. Broder</t>
  </si>
  <si>
    <t xml:space="preserve">Lund A/S, Sivilarkitekt E. Broder </t>
  </si>
  <si>
    <t>Lund Hagem Arkitekter AS</t>
  </si>
  <si>
    <t>Lund MNAL, Sivilarkitekt Svein Erik</t>
  </si>
  <si>
    <t xml:space="preserve">Lund MNAL, Sivilarkitekt Svein Erik </t>
  </si>
  <si>
    <t>Lund-Johnsen sivilarkitekt MNAL, Roar</t>
  </si>
  <si>
    <t xml:space="preserve">Lund-Johnsen sivilarkitekt MNAL, Roar </t>
  </si>
  <si>
    <t>Lusparken Arkitekter AS</t>
  </si>
  <si>
    <t>Ly Arkitekter AS</t>
  </si>
  <si>
    <t>Lys og Mørk arkitektur og design</t>
  </si>
  <si>
    <t>Løvetanna Landskap AS</t>
  </si>
  <si>
    <t>Løvseth + partners</t>
  </si>
  <si>
    <t>Løvseth arkitektkontor as, Morten</t>
  </si>
  <si>
    <t xml:space="preserve">Løvseth arkitektkontor as, Morten </t>
  </si>
  <si>
    <t>Mad as</t>
  </si>
  <si>
    <t>Madsø Sveen arkitekter AS</t>
  </si>
  <si>
    <t>Magnus, Arkitektfirma Jens</t>
  </si>
  <si>
    <t xml:space="preserve">Magnus, Arkitektfirma Jens </t>
  </si>
  <si>
    <t>Make Arkitekter AS</t>
  </si>
  <si>
    <t>Malde mnal, Sivilarkitekt Paal</t>
  </si>
  <si>
    <t xml:space="preserve">Malde mnal, Sivilarkitekt Paal </t>
  </si>
  <si>
    <t>Malmquist sivilarkitekt MNAL MArch, E.B.</t>
  </si>
  <si>
    <t xml:space="preserve">Malmquist sivilarkitekt MNAL MArch, E.B. </t>
  </si>
  <si>
    <t>Mandrup Arkitektur &amp; Design as</t>
  </si>
  <si>
    <t>Map Arkitekter AS</t>
  </si>
  <si>
    <t>Marianne Laa</t>
  </si>
  <si>
    <t>2012-12-17T11:58:00+01:00</t>
  </si>
  <si>
    <t>Marlow - Ramfelt A38 arkitektur og design as</t>
  </si>
  <si>
    <t>Martens Sivilarkitekt, Trond</t>
  </si>
  <si>
    <t>Medplan as Arkitekter</t>
  </si>
  <si>
    <t>Meinich Arkitekter AS</t>
  </si>
  <si>
    <t>MEK Architects (Madrid)</t>
  </si>
  <si>
    <t>2012-10-21T15:13:00+02:00</t>
  </si>
  <si>
    <t>Mellbye Arkitekter AS</t>
  </si>
  <si>
    <t>Metamorphosis</t>
  </si>
  <si>
    <t>Meter Arkitektur AS</t>
  </si>
  <si>
    <t>Metropolitan Workshop LLP</t>
  </si>
  <si>
    <t>Mir Arkitektur AS</t>
  </si>
  <si>
    <t>MMW sivilarkitekter mnal as</t>
  </si>
  <si>
    <t>Moe &amp; Løvseth AS</t>
  </si>
  <si>
    <t>Moe Ltd, Sjur</t>
  </si>
  <si>
    <t xml:space="preserve">Moe Ltd, Sjur </t>
  </si>
  <si>
    <t>Molden AS, Mette &amp; Morten</t>
  </si>
  <si>
    <t xml:space="preserve">Molden AS, Mette &amp; Morten </t>
  </si>
  <si>
    <t>Momenta arkitekter</t>
  </si>
  <si>
    <t>Momentum Arkitekter AS</t>
  </si>
  <si>
    <t>Morfeus Arkitekter</t>
  </si>
  <si>
    <t>moseng poulsen arkitektur as</t>
  </si>
  <si>
    <t>Mossige AS arkitekter</t>
  </si>
  <si>
    <t>M-TO sivilarkitekt MNAL</t>
  </si>
  <si>
    <t>Mylius Arkitektkontor, E.</t>
  </si>
  <si>
    <t xml:space="preserve">Mylius Arkitektkontor, E. </t>
  </si>
  <si>
    <t>Myrstad AS, Arkitekt Jim</t>
  </si>
  <si>
    <t xml:space="preserve">Myrstad AS, Arkitekt Jim </t>
  </si>
  <si>
    <t>Møller, Arkitektfirmaet C.F.</t>
  </si>
  <si>
    <t xml:space="preserve">Møller, Arkitektfirmaet C.F. </t>
  </si>
  <si>
    <t>Møystad + Nielsen Arkitektur AS</t>
  </si>
  <si>
    <t>Narud-Stokke-Wiig sivilarkitekter as</t>
  </si>
  <si>
    <t>Nataas, Gisle</t>
  </si>
  <si>
    <t xml:space="preserve">Nataas, Gisle </t>
  </si>
  <si>
    <t>NAV A.S. Arkitekter MNAL NPA</t>
  </si>
  <si>
    <t>Nes Arkitekter, Leiv</t>
  </si>
  <si>
    <t xml:space="preserve">Nes Arkitekter, Leiv </t>
  </si>
  <si>
    <t>Nesodden Arkitektkontor AS</t>
  </si>
  <si>
    <t>Noncon:form (Østerrike)</t>
  </si>
  <si>
    <t>2013-01-02T18:51:00+01:00</t>
  </si>
  <si>
    <t>Norconsult AS</t>
  </si>
  <si>
    <t>2013-02-04T19:22:00+01:00</t>
  </si>
  <si>
    <t>Nord AS, Arkitektkontoret</t>
  </si>
  <si>
    <t xml:space="preserve">Nord AS, Arkitektkontoret </t>
  </si>
  <si>
    <t>Nordberg As, Sissel</t>
  </si>
  <si>
    <t xml:space="preserve">Nordberg As, Sissel </t>
  </si>
  <si>
    <t>Nordic - Office of Architecture</t>
  </si>
  <si>
    <t>2013-01-29T13:14:00+01:00</t>
  </si>
  <si>
    <t>Nordplan AS</t>
  </si>
  <si>
    <t>Nordvest Prosjekt AS</t>
  </si>
  <si>
    <t>Norgeshus</t>
  </si>
  <si>
    <t>2013-01-16T20:05:00+01:00</t>
  </si>
  <si>
    <t>Nuno arkitektur AS</t>
  </si>
  <si>
    <t>Nydesign AS</t>
  </si>
  <si>
    <t>Og Arkitekter as</t>
  </si>
  <si>
    <t>OHC arkitektur &amp; design as</t>
  </si>
  <si>
    <t>OK arkitekter</t>
  </si>
  <si>
    <t>ONIX (nederland)</t>
  </si>
  <si>
    <t>2013-01-02T17:29:00+01:00</t>
  </si>
  <si>
    <t>Opus Arkitekter as</t>
  </si>
  <si>
    <t>Origo arkitektgruppe as</t>
  </si>
  <si>
    <t>Ottar arkitekter as</t>
  </si>
  <si>
    <t>P. A. Holst sivilarkitekt mnal</t>
  </si>
  <si>
    <t>Panark AS</t>
  </si>
  <si>
    <t>Pedersen arkitekter as, Kyrre</t>
  </si>
  <si>
    <t xml:space="preserve">Pedersen arkitekter as, Kyrre </t>
  </si>
  <si>
    <t>Pedersen/ Ege Arkitekter AS</t>
  </si>
  <si>
    <t>Perspektiv Arkitekter AS</t>
  </si>
  <si>
    <t>Pettersen &amp; Partners - Hospital Planning and Design</t>
  </si>
  <si>
    <t>Pir II AS</t>
  </si>
  <si>
    <t>Pir II Oslo AS</t>
  </si>
  <si>
    <t>PirII i samarbeid med Studenter ved Högskolan för Design och Konsthandtverk i Göteborg (SUB lugarer)</t>
  </si>
  <si>
    <t>pka Arkitekter</t>
  </si>
  <si>
    <t>Plan arkitekter AS</t>
  </si>
  <si>
    <t>PlanA AS</t>
  </si>
  <si>
    <t>Plan-AE</t>
  </si>
  <si>
    <t>Planforum Arkitekter AS</t>
  </si>
  <si>
    <t>Plank arkitekter AS</t>
  </si>
  <si>
    <t>Plot arkitekter as</t>
  </si>
  <si>
    <t>Plus arkitektur AS</t>
  </si>
  <si>
    <t>PML Arkitektur, sivilarkitekt Per Martin Landfald MNAL</t>
  </si>
  <si>
    <t>Point AS arkitektur+konseptdesign</t>
  </si>
  <si>
    <t>Poulsson/Pran AS</t>
  </si>
  <si>
    <t>PPR arkitektur &amp; design AS</t>
  </si>
  <si>
    <t>Praksis sivilarkitekter as</t>
  </si>
  <si>
    <t>Pran, Peter</t>
  </si>
  <si>
    <t xml:space="preserve">Pran, Peter </t>
  </si>
  <si>
    <t>Puls Arkitekter AS</t>
  </si>
  <si>
    <t>Pushak arkitekter</t>
  </si>
  <si>
    <t>PV arkitekter as</t>
  </si>
  <si>
    <t>PW Arkitekter AS</t>
  </si>
  <si>
    <t>RAM arkitektur as</t>
  </si>
  <si>
    <t>Ramberg AS sivilarkitekter MNAL, Torstein</t>
  </si>
  <si>
    <t xml:space="preserve">Ramberg AS sivilarkitekter MNAL, Torstein </t>
  </si>
  <si>
    <t>Rambøll Aros AS</t>
  </si>
  <si>
    <t>Rambøll AS</t>
  </si>
  <si>
    <t>2013-02-13T10:44:00+01:00</t>
  </si>
  <si>
    <t>Rambøll Norge AS Arkitektur og Plan</t>
  </si>
  <si>
    <t>Ramm Salbu Arkitekter</t>
  </si>
  <si>
    <t>Ramsfjell Arkitekter AS</t>
  </si>
  <si>
    <t>Ramstad Arkitekter as, Reiulf</t>
  </si>
  <si>
    <t xml:space="preserve">Ramstad Arkitekter as, Reiulf </t>
  </si>
  <si>
    <t>Rastad &amp; Relling Arkitektkontor AS</t>
  </si>
  <si>
    <t>Ratio arkitekter as</t>
  </si>
  <si>
    <t>Raugstad Arkitektur AS</t>
  </si>
  <si>
    <t>2012-11-16T14:16:00+01:00</t>
  </si>
  <si>
    <t>Re Arkitektur AS</t>
  </si>
  <si>
    <t>Rede arkitekter as</t>
  </si>
  <si>
    <t>Rever og Drage</t>
  </si>
  <si>
    <t>2013-02-04T16:35:00+01:00</t>
  </si>
  <si>
    <t>RIFT AS</t>
  </si>
  <si>
    <t>RiK Arkitektur AS</t>
  </si>
  <si>
    <t>Rintala Eggertsson Arkitekter</t>
  </si>
  <si>
    <t>Riss Landskap AS</t>
  </si>
  <si>
    <t>2013-01-02T17:30:00+01:00</t>
  </si>
  <si>
    <t>Roald AS Arkitektur, Ola</t>
  </si>
  <si>
    <t xml:space="preserve">Roald AS Arkitektur, Ola </t>
  </si>
  <si>
    <t>Rodeo arkitekter as</t>
  </si>
  <si>
    <t>Rojo arkitekter as</t>
  </si>
  <si>
    <t>Romerike Arkitekter AS</t>
  </si>
  <si>
    <t>Romlaboratoriet AS</t>
  </si>
  <si>
    <t>Rønsen Arkitekter AS, Jostein</t>
  </si>
  <si>
    <t xml:space="preserve">Rønsen Arkitekter AS, Jostein </t>
  </si>
  <si>
    <t>Rørby AS, Arkitekt Terje</t>
  </si>
  <si>
    <t>Sandbakk &amp; Pettersen Arkitekter AS</t>
  </si>
  <si>
    <t>Sandvik, Siv. ark. mnal Jarle</t>
  </si>
  <si>
    <t xml:space="preserve">Sandvik, Siv. ark. mnal Jarle </t>
  </si>
  <si>
    <t>Saunders Arkitektur AS</t>
  </si>
  <si>
    <t>Scala arkitekter AS</t>
  </si>
  <si>
    <t>Scenario</t>
  </si>
  <si>
    <t>Schjelderup AS sivilarkitekter MNAL NPA, Helge</t>
  </si>
  <si>
    <t xml:space="preserve">Schjelderup AS sivilarkitekter MNAL NPA, Helge </t>
  </si>
  <si>
    <t>Schmitthenner arkitekter</t>
  </si>
  <si>
    <t>Schønherr landskab KS</t>
  </si>
  <si>
    <t>SE-Arkitektur A/S</t>
  </si>
  <si>
    <t>Selberg Arkitekter AS</t>
  </si>
  <si>
    <t>September Arkitekter</t>
  </si>
  <si>
    <t>SG Arkitekter AS</t>
  </si>
  <si>
    <t>Signatur Arkitekter AS</t>
  </si>
  <si>
    <t>Sivilarkitekt MNAL Randi Slåtten</t>
  </si>
  <si>
    <t>2013-01-29T14:05:00+01:00</t>
  </si>
  <si>
    <t>Sivilarkitekt MNAL Steinar Romedal AS</t>
  </si>
  <si>
    <t>2012-06-28T13:37:32+02:00</t>
  </si>
  <si>
    <t>Sivilarkitekt mnal Øyvind Poulsson</t>
  </si>
  <si>
    <t>Sivilarkitekt Stein Stoknes MNAL</t>
  </si>
  <si>
    <t>Sivilarkitekt Tordis Hoem as</t>
  </si>
  <si>
    <t>Sjo Fasting Arkitekter</t>
  </si>
  <si>
    <t>2013-01-01T22:57:00+01:00</t>
  </si>
  <si>
    <t>Sjåtil &amp; Fornæss AS</t>
  </si>
  <si>
    <t>2013-04-23T11:13:00+02:00</t>
  </si>
  <si>
    <t>Sjåvåg sivilarkitekt MNALm Helle</t>
  </si>
  <si>
    <t xml:space="preserve">Sjåvåg sivilarkitekt MNALm Helle </t>
  </si>
  <si>
    <t>Skaane Arkitektur + Design</t>
  </si>
  <si>
    <t>Skaara Arkitekter AS</t>
  </si>
  <si>
    <t>Skagenarkitektene</t>
  </si>
  <si>
    <t>Skibnes Arkitekter AS</t>
  </si>
  <si>
    <t>2013-04-15T09:06:00+02:00</t>
  </si>
  <si>
    <t>Skylstad as, Arkitekt Svein</t>
  </si>
  <si>
    <t xml:space="preserve">Skylstad as, Arkitekt Svein </t>
  </si>
  <si>
    <t>Sletvold Arkitekter MNAL</t>
  </si>
  <si>
    <t>Slyngstad Aamlid Arkitekter AS</t>
  </si>
  <si>
    <t>SMS arkitekter AS</t>
  </si>
  <si>
    <t>Snøhetta as</t>
  </si>
  <si>
    <t>SOLARK</t>
  </si>
  <si>
    <t>Solbjør Arkitektur</t>
  </si>
  <si>
    <t>Solem Arkitektur AS</t>
  </si>
  <si>
    <t>Solheim og Jacobsen arkitekter AS</t>
  </si>
  <si>
    <t>Solli Arkitekter AS</t>
  </si>
  <si>
    <t>Solli Sivilarkitekt MNAL, Tore</t>
  </si>
  <si>
    <t xml:space="preserve">Solli Sivilarkitekt MNAL, Tore </t>
  </si>
  <si>
    <t>Solnes AS, Lil</t>
  </si>
  <si>
    <t xml:space="preserve">Solnes AS, Lil </t>
  </si>
  <si>
    <t>Spacegroup Arkitekter A/S</t>
  </si>
  <si>
    <t>Spark arkitektur</t>
  </si>
  <si>
    <t>Spiss Arkitektur &amp; Plan AS</t>
  </si>
  <si>
    <t>Spor Arkitekter AS</t>
  </si>
  <si>
    <t>Sporstøl AS, Arkitektfirma</t>
  </si>
  <si>
    <t>Stark Rød-Knudsen arkitekter AS</t>
  </si>
  <si>
    <t>Stavseth&amp;Lervik Arkitekter AS Mnal</t>
  </si>
  <si>
    <t>Steinsvik Arkitektkontor AS</t>
  </si>
  <si>
    <t>Steven Holl Architects</t>
  </si>
  <si>
    <t>2012-11-11T23:51:00+01:00</t>
  </si>
  <si>
    <t>Stousland Arkitektkontor AS</t>
  </si>
  <si>
    <t>Streken arkitektgruppe as</t>
  </si>
  <si>
    <t>Studio 4 Arkitekter AS</t>
  </si>
  <si>
    <t>Studio ludo as</t>
  </si>
  <si>
    <t>Studio Stokke</t>
  </si>
  <si>
    <t>Sundt arkitekter</t>
  </si>
  <si>
    <t>Svein Skibnes Arkitektkontor AS</t>
  </si>
  <si>
    <t>2012-11-07T20:27:00+01:00</t>
  </si>
  <si>
    <t>Sydarkitekter AS</t>
  </si>
  <si>
    <t>2013-03-05T15:58:00+01:00</t>
  </si>
  <si>
    <t>Sæther og Gythfeldt AS, Arkitektkontoret</t>
  </si>
  <si>
    <t>Sødal, Arkitekt Arne</t>
  </si>
  <si>
    <t xml:space="preserve">Sødal, Arkitekt Arne </t>
  </si>
  <si>
    <t>Sør AS, Arkitektkontoret</t>
  </si>
  <si>
    <t xml:space="preserve">Sør AS, Arkitektkontoret </t>
  </si>
  <si>
    <t>Sørli arkitekter as</t>
  </si>
  <si>
    <t>Sørli og Haugstad (Shark) AS Arkitektkontor</t>
  </si>
  <si>
    <t>Sørumgård, Marit</t>
  </si>
  <si>
    <t>Tandberg Arkitekter MNAL</t>
  </si>
  <si>
    <t>TBA Arkitekter</t>
  </si>
  <si>
    <t>Team St. Olav ANS</t>
  </si>
  <si>
    <t>2012-10-21T20:05:00+02:00</t>
  </si>
  <si>
    <t>Tegn 3 AS</t>
  </si>
  <si>
    <t>Tegn arkitektur og design as</t>
  </si>
  <si>
    <t>Tegneverket Arkitekter AS</t>
  </si>
  <si>
    <t>Teiknistofan Trød</t>
  </si>
  <si>
    <t>Thorenfeldt Arkitekter AS</t>
  </si>
  <si>
    <t>Thorsnes Arkitekter AS, Thomas</t>
  </si>
  <si>
    <t xml:space="preserve">Thorsnes Arkitekter AS, Thomas </t>
  </si>
  <si>
    <t>Thrane AS, Klaus</t>
  </si>
  <si>
    <t xml:space="preserve">Thrane AS, Klaus </t>
  </si>
  <si>
    <t>Tippetue Arkitekter as</t>
  </si>
  <si>
    <t>Tjøme arkitektkontor</t>
  </si>
  <si>
    <t>Tollaas, Inger-Johanne</t>
  </si>
  <si>
    <t xml:space="preserve">Tollaas, Inger-Johanne </t>
  </si>
  <si>
    <t>Tom Edvardsen Arkitekter AS</t>
  </si>
  <si>
    <t>2013-01-29T13:02:00+01:00</t>
  </si>
  <si>
    <t>Topos arkitektur og design as</t>
  </si>
  <si>
    <t>Tornes, Sivilarkitekt MNAL Anne Britt</t>
  </si>
  <si>
    <t xml:space="preserve">Tornes, Sivilarkitekt MNAL Anne Britt </t>
  </si>
  <si>
    <t>Torp AS Arkitekter MNAL, Niels</t>
  </si>
  <si>
    <t>Torsteinsrud-Smith Arkitekter</t>
  </si>
  <si>
    <t>TRAFO arkitektur</t>
  </si>
  <si>
    <t>Trollvegg Arkitektstudio AS</t>
  </si>
  <si>
    <t>Tupelo a+d</t>
  </si>
  <si>
    <t>Tveit as, Arkitektkontoret Nils</t>
  </si>
  <si>
    <t>TYIN tegnestue Arkitekter AS</t>
  </si>
  <si>
    <t>Tysseland Arkitektur AS</t>
  </si>
  <si>
    <t>Urban Rabbe arkitekter as</t>
  </si>
  <si>
    <t>Ustad, Sivilarkitekt MNAL Atle</t>
  </si>
  <si>
    <t>Various Architects AS</t>
  </si>
  <si>
    <t>Vatne sivilarkitekt MNAL NPA, Kjell</t>
  </si>
  <si>
    <t>Verte landskap - arkitektur as</t>
  </si>
  <si>
    <t>Vest AS, Arkitektkontoret</t>
  </si>
  <si>
    <t xml:space="preserve">Vest AS, Arkitektkontoret </t>
  </si>
  <si>
    <t>Vesterlid, Arkitekt MNAL Arne</t>
  </si>
  <si>
    <t xml:space="preserve">Vesterlid, Arkitekt MNAL Arne </t>
  </si>
  <si>
    <t>Vikanes Bungum Arkitekter AS</t>
  </si>
  <si>
    <t>Vindveggen Arkitekter AS</t>
  </si>
  <si>
    <t>Vindveggen, Martin Glomnes</t>
  </si>
  <si>
    <t>Vis-à-vis</t>
  </si>
  <si>
    <t>Vulkan arkitekter as</t>
  </si>
  <si>
    <t>VY as arkitektur</t>
  </si>
  <si>
    <t>Wendt AS, Arkitektkontoret Gjertrud</t>
  </si>
  <si>
    <t xml:space="preserve">Wendt AS, Arkitektkontoret Gjertrud </t>
  </si>
  <si>
    <t>Westad &amp; Brusletto as, Arkitektkontoret</t>
  </si>
  <si>
    <t xml:space="preserve">Westad &amp; Brusletto as, Arkitektkontoret </t>
  </si>
  <si>
    <t>Wiberg AS Arkitektur &amp; plan</t>
  </si>
  <si>
    <t>WOOD arkitektur+design</t>
  </si>
  <si>
    <t>Yran, Petter  &amp; Bjørn Storbraaten Architects AS</t>
  </si>
  <si>
    <t>Zinc AS</t>
  </si>
  <si>
    <t>ØKAW AS Arkitekter MNAL</t>
  </si>
  <si>
    <t>Østengen og Bergo Landskapsarkitekter AS</t>
  </si>
  <si>
    <t>2012-12-19T16:01:00+01:00</t>
  </si>
  <si>
    <t>Østgaard Arkitekter AS</t>
  </si>
  <si>
    <t>Øye arkitektkontor as, Georg</t>
  </si>
  <si>
    <t>Øystein Thommesen AS</t>
  </si>
  <si>
    <t>2012-12-10T11:29:00+01:00</t>
  </si>
  <si>
    <t>2013-03-04T16:09:00+01:00</t>
  </si>
  <si>
    <t>Vailant Group Norge AS</t>
  </si>
  <si>
    <t>2012-02-03T11:35:00+01:00</t>
  </si>
  <si>
    <t xml:space="preserve"> Vailant Group Norge AS</t>
  </si>
  <si>
    <t>A.L. Høyer Skien AS</t>
  </si>
  <si>
    <t>2011-11-16T13:55:33+01:00</t>
  </si>
  <si>
    <t>A/S Betong, Stavanger</t>
  </si>
  <si>
    <t>2010-12-06T16:33:41+01:00</t>
  </si>
  <si>
    <t>Aadnesen glass AS</t>
  </si>
  <si>
    <t>2010-12-06T16:33:42+01:00</t>
  </si>
  <si>
    <t>Aalerud AS Rådgivede ingeniører</t>
  </si>
  <si>
    <t>2011-11-16T13:56:51+01:00</t>
  </si>
  <si>
    <t>Aas Jakobsen AS</t>
  </si>
  <si>
    <t xml:space="preserve">Aas Jakobsen AS </t>
  </si>
  <si>
    <t>Aas Luftbehandling</t>
  </si>
  <si>
    <t>2011-09-08T16:05:00+02:00</t>
  </si>
  <si>
    <t>Aase Byggeadministrasjon AS</t>
  </si>
  <si>
    <t>Aasen Bygg AS</t>
  </si>
  <si>
    <t>2013-02-18T11:40:35+01:00</t>
  </si>
  <si>
    <t>ABC Elektro</t>
  </si>
  <si>
    <t>2012-02-03T11:30:00+01:00</t>
  </si>
  <si>
    <t>ABC Elektro installasjon AS</t>
  </si>
  <si>
    <t>2011-10-27T09:52:00+02:00</t>
  </si>
  <si>
    <t>Acusto AS</t>
  </si>
  <si>
    <t>Advansia as</t>
  </si>
  <si>
    <t>2011-02-11T16:26:00+01:00</t>
  </si>
  <si>
    <t>AF Decom</t>
  </si>
  <si>
    <t xml:space="preserve">AF Decom </t>
  </si>
  <si>
    <t>AF Decom (riving)</t>
  </si>
  <si>
    <t>AF Gruppen</t>
  </si>
  <si>
    <t>Agathon Borgen AS</t>
  </si>
  <si>
    <t>2013-02-13T00:32:00+01:00</t>
  </si>
  <si>
    <t>Agraff - arkitekter</t>
  </si>
  <si>
    <t>2012-11-19T22:52:00+01:00</t>
  </si>
  <si>
    <t>Aktiv Arena</t>
  </si>
  <si>
    <t>Aktivhus AS</t>
  </si>
  <si>
    <t>2011-12-12T09:09:26+01:00</t>
  </si>
  <si>
    <t>AL Høyer Skien AS</t>
  </si>
  <si>
    <t>Alta Rør AS</t>
  </si>
  <si>
    <t>2013-02-15T14:22:00+01:00</t>
  </si>
  <si>
    <t>Alvdal trelast</t>
  </si>
  <si>
    <t>2012-02-03T11:37:00+01:00</t>
  </si>
  <si>
    <t>Amalienborg Aveny AS</t>
  </si>
  <si>
    <t>2012-12-20T10:49:52+01:00</t>
  </si>
  <si>
    <t>Anders Ellefsen</t>
  </si>
  <si>
    <t>Andersen &amp; Askjem AS</t>
  </si>
  <si>
    <t xml:space="preserve">Andersen &amp; Askjem AS </t>
  </si>
  <si>
    <t>Andersen og Johnson AS</t>
  </si>
  <si>
    <t>2011-08-02T11:59:00+02:00</t>
  </si>
  <si>
    <t>Arbeidsfellesskapet Kruse Strømme DA</t>
  </si>
  <si>
    <t>2013-01-25T19:14:00+01:00</t>
  </si>
  <si>
    <t>Arkitekt Bengt Michaelsen</t>
  </si>
  <si>
    <t>2012-10-11T17:52:00+02:00</t>
  </si>
  <si>
    <t>2013-03-19T15:22:00+01:00</t>
  </si>
  <si>
    <t>Arkitektgruppen Drammen AS</t>
  </si>
  <si>
    <t>2011-03-06T14:47:38+01:00</t>
  </si>
  <si>
    <t>Arne Aakermann</t>
  </si>
  <si>
    <t>Arne Vidar Hegni</t>
  </si>
  <si>
    <t>Arne Wikholm AS</t>
  </si>
  <si>
    <t>Artec AS</t>
  </si>
  <si>
    <t>2013-02-04T19:23:00+01:00</t>
  </si>
  <si>
    <t>AS Anlegg</t>
  </si>
  <si>
    <t>AS Frederiksen</t>
  </si>
  <si>
    <t>As Luft Miljø (RIV)</t>
  </si>
  <si>
    <t>2011-01-03T13:16:00+01:00</t>
  </si>
  <si>
    <t>AS Olaussen Rådg. Ingeniørkontor</t>
  </si>
  <si>
    <t>Asker kommune</t>
  </si>
  <si>
    <t>Aso (Arne Olaussen)</t>
  </si>
  <si>
    <t>Aspelin Ramm</t>
  </si>
  <si>
    <t>Asplan Viak</t>
  </si>
  <si>
    <t>Asplan Viak as - KanEnergi</t>
  </si>
  <si>
    <t>2011-02-22T14:29:00+01:00</t>
  </si>
  <si>
    <t>Atelier Dreiseitl</t>
  </si>
  <si>
    <t>Atlant Entreprenør AS</t>
  </si>
  <si>
    <t>2012-12-17T12:03:00+01:00</t>
  </si>
  <si>
    <t>Aust Agder Fylkeskommune / Risør Videregående skole</t>
  </si>
  <si>
    <t>Avanti Ryfylket AS</t>
  </si>
  <si>
    <t>Axlander &amp; Rosell</t>
  </si>
  <si>
    <t>Backe prosjekt AS</t>
  </si>
  <si>
    <t>Backo AS</t>
  </si>
  <si>
    <t>2013-01-28T12:47:00+01:00</t>
  </si>
  <si>
    <t>Baneservice AS</t>
  </si>
  <si>
    <t>Barkaleitet Borettslag</t>
  </si>
  <si>
    <t>2011-10-31T13:19:05+01:00</t>
  </si>
  <si>
    <t>Base Property AS</t>
  </si>
  <si>
    <t>BA-tec AS</t>
  </si>
  <si>
    <t>2013-01-16T15:17:00+01:00</t>
  </si>
  <si>
    <t>Berg Knudsen as</t>
  </si>
  <si>
    <t>2013-02-04T23:03:43+01:00</t>
  </si>
  <si>
    <t>Bergen Bolig og Byfornyelse KF</t>
  </si>
  <si>
    <t>2011-03-01T09:57:00+01:00</t>
  </si>
  <si>
    <t>Bergen Gulvleggerservice AS</t>
  </si>
  <si>
    <t>Bergen kommune</t>
  </si>
  <si>
    <t>Bergen kommune, etat for utbygging</t>
  </si>
  <si>
    <t>2013-03-15T09:36:00+01:00</t>
  </si>
  <si>
    <t>Bergen og omegn boligbyggelag (BOB)</t>
  </si>
  <si>
    <t>Berit og Helge Sørås</t>
  </si>
  <si>
    <t>Bermingrud Entreprenør AS</t>
  </si>
  <si>
    <t>2013-01-16T15:19:00+01:00</t>
  </si>
  <si>
    <t>Bernt Krogh</t>
  </si>
  <si>
    <t>BGM Arkitekter AS</t>
  </si>
  <si>
    <t>2013-02-13T10:47:00+01:00</t>
  </si>
  <si>
    <t>BGM Arkitekter/ Asplan Viak</t>
  </si>
  <si>
    <t>2013-02-13T11:07:00+01:00</t>
  </si>
  <si>
    <t>Biltorget AS</t>
  </si>
  <si>
    <t>Bjarte Fyllingen as</t>
  </si>
  <si>
    <t>2011-08-05T10:01:00+02:00</t>
  </si>
  <si>
    <t>Bjerga Bygg AS</t>
  </si>
  <si>
    <t>Bjerga eiendom AS</t>
  </si>
  <si>
    <t>Bjerke Ventilasjon AS (Ventilasjon)</t>
  </si>
  <si>
    <t>Blikkenslager Østensen AS</t>
  </si>
  <si>
    <t>Bolkesjø AS</t>
  </si>
  <si>
    <t>2010-12-06T16:33:00+01:00</t>
  </si>
  <si>
    <t xml:space="preserve">Bolkesjø AS </t>
  </si>
  <si>
    <t>Boye-Waage</t>
  </si>
  <si>
    <t>2011-11-04T14:30:12+01:00</t>
  </si>
  <si>
    <t>BP Norge</t>
  </si>
  <si>
    <t>BP Solar</t>
  </si>
  <si>
    <t>Brannsikkerhet Total AS (Sprinkleranlegg)</t>
  </si>
  <si>
    <t>Brattørkaia AS</t>
  </si>
  <si>
    <t>2012-03-22T19:39:00+01:00</t>
  </si>
  <si>
    <t>Bravida</t>
  </si>
  <si>
    <t>Bravida Norge AS (El, IT og VVS teknikk)</t>
  </si>
  <si>
    <t>Brekke &amp; Strand Akustikk AS</t>
  </si>
  <si>
    <t>2012-06-05T22:58:00+02:00</t>
  </si>
  <si>
    <t>Bright elektro</t>
  </si>
  <si>
    <t>Bright VVS</t>
  </si>
  <si>
    <t>Brucon v/Ottar langehaug</t>
  </si>
  <si>
    <t>Bryggeriparken AS</t>
  </si>
  <si>
    <t>2011-11-25T10:50:00+01:00</t>
  </si>
  <si>
    <t>Brødrene Holstad AS</t>
  </si>
  <si>
    <t>2012-11-11T14:22:00+01:00</t>
  </si>
  <si>
    <t>Brødrene Jørmeland (grunn)</t>
  </si>
  <si>
    <t>Brødrene Olstad AS</t>
  </si>
  <si>
    <t>Brødrene Ulveseth AS</t>
  </si>
  <si>
    <t>2013-03-15T09:43:00+01:00</t>
  </si>
  <si>
    <t>BS Akustikk AS</t>
  </si>
  <si>
    <t>BSH Husholdningsapparater AS (hvitevarer)</t>
  </si>
  <si>
    <t>BundeBygg AS</t>
  </si>
  <si>
    <t>Byberg Maskin AS (gravearbeider)</t>
  </si>
  <si>
    <t>ByBo AS</t>
  </si>
  <si>
    <t>Bygganalyse AS</t>
  </si>
  <si>
    <t>Byggeadministrasjon AS</t>
  </si>
  <si>
    <t>2013-01-25T17:01:00+01:00</t>
  </si>
  <si>
    <t>Byggforsk</t>
  </si>
  <si>
    <t>Byggmeister Samson Kjoberg</t>
  </si>
  <si>
    <t>2011-08-02T11:58:31+02:00</t>
  </si>
  <si>
    <t>Byggmester Goa (tømmerarbeider)</t>
  </si>
  <si>
    <t>Byggmester Tom Martinsen</t>
  </si>
  <si>
    <t>ByggMester VEST</t>
  </si>
  <si>
    <t>Byggmester Vest as (arkitektfag)</t>
  </si>
  <si>
    <t>2011-01-03T13:37:00+01:00</t>
  </si>
  <si>
    <t>Byggmesterfirma Hansen og Lauritsen AS</t>
  </si>
  <si>
    <t>Byggplan AS</t>
  </si>
  <si>
    <t>2012-11-11T20:19:00+01:00</t>
  </si>
  <si>
    <t>Bærum Kommune</t>
  </si>
  <si>
    <t>2012-12-13T18:59:23+01:00</t>
  </si>
  <si>
    <t>Bøhmer entreprenør AS</t>
  </si>
  <si>
    <t>Børre Svindal Larsen as</t>
  </si>
  <si>
    <t>C. Svenkerud</t>
  </si>
  <si>
    <t>Chem - Con AS (mur og gulv)</t>
  </si>
  <si>
    <t>Christiansen og Roberg AS</t>
  </si>
  <si>
    <t>2011-03-06T14:45:35+01:00</t>
  </si>
  <si>
    <t>Claudio Trovanelli (Hypokausten og peiser)</t>
  </si>
  <si>
    <t>Colt AS</t>
  </si>
  <si>
    <t>Comfort consult AS</t>
  </si>
  <si>
    <t xml:space="preserve">Comfort consult AS </t>
  </si>
  <si>
    <t>Conradi AS</t>
  </si>
  <si>
    <t>2011-02-17T09:38:00+01:00</t>
  </si>
  <si>
    <t xml:space="preserve">Conradi AS </t>
  </si>
  <si>
    <t>Corebis as</t>
  </si>
  <si>
    <t>Cowi as</t>
  </si>
  <si>
    <t>2011-11-16T15:05:00+01:00</t>
  </si>
  <si>
    <t>CTM AS</t>
  </si>
  <si>
    <t>Czelusta Trebygg og Takteknikk</t>
  </si>
  <si>
    <t>2011-07-08T09:31:00+02:00</t>
  </si>
  <si>
    <t>D. Nysted AS (interiør)</t>
  </si>
  <si>
    <t>Dagfinn H. Jørgensen AS</t>
  </si>
  <si>
    <t>2012-11-11T14:15:45+01:00</t>
  </si>
  <si>
    <t>DBC Elprosjekt as</t>
  </si>
  <si>
    <t>2012-12-17T12:01:00+01:00</t>
  </si>
  <si>
    <t>DeltaTe (RIV)</t>
  </si>
  <si>
    <t>Deltatek AS</t>
  </si>
  <si>
    <t>Dimensjon Rådgiving AS</t>
  </si>
  <si>
    <t>Djupevik Båtbyggeri AS (hovedkonstruksjon eik)</t>
  </si>
  <si>
    <t>DNF AS</t>
  </si>
  <si>
    <t>Dokken AS</t>
  </si>
  <si>
    <t>Dr. techn. Kristoffer Apeland AS</t>
  </si>
  <si>
    <t>Drammen Eiendom KF</t>
  </si>
  <si>
    <t>Drammen kommune</t>
  </si>
  <si>
    <t>Drange Maskin AS</t>
  </si>
  <si>
    <t>2013-03-15T09:42:00+01:00</t>
  </si>
  <si>
    <t>dyAna GmbH (Tyskland)</t>
  </si>
  <si>
    <t>2012-12-28T15:05:00+01:00</t>
  </si>
  <si>
    <t>ECT AS</t>
  </si>
  <si>
    <t>Effecta</t>
  </si>
  <si>
    <t>Egerhei AS</t>
  </si>
  <si>
    <t>Egersund Kommune</t>
  </si>
  <si>
    <t>Egil Berge AS</t>
  </si>
  <si>
    <t>2012-11-11T20:23:00+01:00</t>
  </si>
  <si>
    <t>Eide entreprenør AS (Årnes)</t>
  </si>
  <si>
    <t>2012-06-08T09:12:12+02:00</t>
  </si>
  <si>
    <t>Eiendomsprosjektering as</t>
  </si>
  <si>
    <t>2013-02-04T23:01:00+01:00</t>
  </si>
  <si>
    <t>Ekrheim Elconsult AS</t>
  </si>
  <si>
    <t>El miljø AS</t>
  </si>
  <si>
    <t>2013-01-18T12:59:10+01:00</t>
  </si>
  <si>
    <t>Elconsultteam AS</t>
  </si>
  <si>
    <t xml:space="preserve">Elconsultteam AS </t>
  </si>
  <si>
    <t>Elconsultteam Sør</t>
  </si>
  <si>
    <t>2012-10-11T17:54:21+02:00</t>
  </si>
  <si>
    <t>Elconsultteam sør (RIE)</t>
  </si>
  <si>
    <t>2011-02-07T13:31:00+01:00</t>
  </si>
  <si>
    <t>Electronova as</t>
  </si>
  <si>
    <t>Elektro Nord AS</t>
  </si>
  <si>
    <t>2013-02-15T14:23:00+01:00</t>
  </si>
  <si>
    <t>Elektroeksperten AS</t>
  </si>
  <si>
    <t>Elektroteam AS (RIE)</t>
  </si>
  <si>
    <t>2011-03-08T13:40:00+01:00</t>
  </si>
  <si>
    <t>Elnan</t>
  </si>
  <si>
    <t>ELNAN AS</t>
  </si>
  <si>
    <t>Elnan AS</t>
  </si>
  <si>
    <t>Elplan AS</t>
  </si>
  <si>
    <t>El-prosjekt</t>
  </si>
  <si>
    <t>EM teknikk AS</t>
  </si>
  <si>
    <t>EMA AS</t>
  </si>
  <si>
    <t>Endre Tvinnereim</t>
  </si>
  <si>
    <t>2012-02-21T15:22:00+01:00</t>
  </si>
  <si>
    <t>Energetica</t>
  </si>
  <si>
    <t>2012-05-30T10:34:00+02:00</t>
  </si>
  <si>
    <t>Entra Eiendom AS</t>
  </si>
  <si>
    <t>2011-06-27T12:35:00+02:00</t>
  </si>
  <si>
    <t>Entreprenør Magnar Sivertsen as (grunn og betong)</t>
  </si>
  <si>
    <t>2011-01-03T13:29:00+01:00</t>
  </si>
  <si>
    <t>Entro nova AS</t>
  </si>
  <si>
    <t>Enøk-senteret AS</t>
  </si>
  <si>
    <t>Erichsen &amp; Horgen AS</t>
  </si>
  <si>
    <t>Eriksen og Thorsvik AS (bygg)</t>
  </si>
  <si>
    <t>2011-03-08T13:47:54+01:00</t>
  </si>
  <si>
    <t>Erstad &amp; Lekven Bergen as</t>
  </si>
  <si>
    <t>2011-08-05T10:06:00+02:00</t>
  </si>
  <si>
    <t>Erstad &amp; Lekven Oslo AS</t>
  </si>
  <si>
    <t>2012-11-06T10:09:00+01:00</t>
  </si>
  <si>
    <t>Esbensen Rådgivende Ingeniører AS</t>
  </si>
  <si>
    <t>eStatikk</t>
  </si>
  <si>
    <t>2013-01-01T20:15:00+01:00</t>
  </si>
  <si>
    <t>Evotek AS</t>
  </si>
  <si>
    <t>F. Stensrud AS</t>
  </si>
  <si>
    <t>2011-10-27T09:51:00+02:00</t>
  </si>
  <si>
    <t>Faber bygg AS</t>
  </si>
  <si>
    <t>2012-12-28T15:09:00+01:00</t>
  </si>
  <si>
    <t>Fagerborg menighet</t>
  </si>
  <si>
    <t>2012-11-05T14:26:00+01:00</t>
  </si>
  <si>
    <t>Farsund kommune</t>
  </si>
  <si>
    <t>Faveo Prosjektledelse AS</t>
  </si>
  <si>
    <t>2012-02-29T15:12:00+01:00</t>
  </si>
  <si>
    <t>FAVEO/Grønn byggallianse v/Sverre Tiltnes (Miljøkoordinator)</t>
  </si>
  <si>
    <t>FERD K23 AS</t>
  </si>
  <si>
    <t>2013-01-22T15:23:00+01:00</t>
  </si>
  <si>
    <t>Fløibanen</t>
  </si>
  <si>
    <t>Follo Bygg og Eiendom AS</t>
  </si>
  <si>
    <t>2012-11-05T14:34:00+01:00</t>
  </si>
  <si>
    <t>Forsvarsbygg</t>
  </si>
  <si>
    <t>2013-03-21T01:36:00+01:00</t>
  </si>
  <si>
    <t>Forus Næringspark AS</t>
  </si>
  <si>
    <t>Forus Rør AS</t>
  </si>
  <si>
    <t>Frank Hansen, Åfjord (Strandbar)</t>
  </si>
  <si>
    <t>2011-12-09T10:09:00+01:00</t>
  </si>
  <si>
    <t>Fredricia Miller siv.ark MNAL</t>
  </si>
  <si>
    <t>Fredrikstad kommune</t>
  </si>
  <si>
    <t>2012-08-17T13:14:00+02:00</t>
  </si>
  <si>
    <t>Fredrikstad kommune, Teknisk drift</t>
  </si>
  <si>
    <t>2012-08-17T13:16:00+02:00</t>
  </si>
  <si>
    <t>Frode Olsson AS (forskaling, støp)</t>
  </si>
  <si>
    <t>Froland kommune</t>
  </si>
  <si>
    <t>2011-03-06T16:29:43+01:00</t>
  </si>
  <si>
    <t>Frost Entrepenør AS (bygningsmessige arbeider)</t>
  </si>
  <si>
    <t>Frost Entreprenør AS</t>
  </si>
  <si>
    <t>Frydenlund og Høyer AS</t>
  </si>
  <si>
    <t>2012-11-11T20:26:00+01:00</t>
  </si>
  <si>
    <t>Frøiland Bygg</t>
  </si>
  <si>
    <t>Fyllingen Maskinstasjon</t>
  </si>
  <si>
    <t>GAIA Lista AS (RIV)</t>
  </si>
  <si>
    <t>Gauldal Bygg AS</t>
  </si>
  <si>
    <t>2013-01-16T20:08:00+01:00</t>
  </si>
  <si>
    <t>Geir Knudsen AS</t>
  </si>
  <si>
    <t>Geoenergi as</t>
  </si>
  <si>
    <t>GK Norge AS</t>
  </si>
  <si>
    <t>2012-12-28T15:04:00+01:00</t>
  </si>
  <si>
    <t>Glassbygg AS</t>
  </si>
  <si>
    <t>2012-03-22T19:43:00+01:00</t>
  </si>
  <si>
    <t>Glassfasade GF01: Skandinaviska Glassystem</t>
  </si>
  <si>
    <t>glava as</t>
  </si>
  <si>
    <t>Graveentreprenør Geir Stuberg</t>
  </si>
  <si>
    <t>2011-09-08T16:02:00+02:00</t>
  </si>
  <si>
    <t>Greåker VVS AS</t>
  </si>
  <si>
    <t>Grip og Zen Resort (miljøsertifisering)</t>
  </si>
  <si>
    <t>Grong kommune</t>
  </si>
  <si>
    <t>Grøner AS</t>
  </si>
  <si>
    <t>Grønmyr Barnehage</t>
  </si>
  <si>
    <t>2011-03-08T14:26:00+01:00</t>
  </si>
  <si>
    <t>Grønmyr Bygg v/Ole Eliassen</t>
  </si>
  <si>
    <t>2011-03-08T14:23:00+01:00</t>
  </si>
  <si>
    <t>Gunnar Karlsen AS (automatisering)</t>
  </si>
  <si>
    <t>H2 Byggeteknikk AS</t>
  </si>
  <si>
    <t>2013-02-04T19:24:58+01:00</t>
  </si>
  <si>
    <t>Hambra</t>
  </si>
  <si>
    <t>2011-12-16T14:28:09+01:00</t>
  </si>
  <si>
    <t>Hammer Rådgivning</t>
  </si>
  <si>
    <t>Hamstad AS (RIV)</t>
  </si>
  <si>
    <t>Handegård &amp; Pedersen AS</t>
  </si>
  <si>
    <t>2011-03-01T09:48:00+01:00</t>
  </si>
  <si>
    <t>Hans Helgesen og sønner AS</t>
  </si>
  <si>
    <t>Hansaparken AS</t>
  </si>
  <si>
    <t>Harboe og Leganger</t>
  </si>
  <si>
    <t>Harsem prosjektering AS</t>
  </si>
  <si>
    <t>Hartmann Prosjektrådgiving AS</t>
  </si>
  <si>
    <t>2012-07-09T12:08:00+02:00</t>
  </si>
  <si>
    <t>Hartmann Prosjektrådgivning AS</t>
  </si>
  <si>
    <t>2013-01-30T21:16:00+01:00</t>
  </si>
  <si>
    <t>HBBL</t>
  </si>
  <si>
    <t>Heiberg &amp; Tveter (RIE)</t>
  </si>
  <si>
    <t>Heimdal Bolig</t>
  </si>
  <si>
    <t>2012-07-09T11:54:00+02:00</t>
  </si>
  <si>
    <t>Heimdal Entreprenør AS</t>
  </si>
  <si>
    <t>Heindenreich-Ris &amp; Lillefjære A/S</t>
  </si>
  <si>
    <t>HE-Kjelleveien AS</t>
  </si>
  <si>
    <t>2013-01-16T15:14:00+01:00</t>
  </si>
  <si>
    <t>Helge Lunde</t>
  </si>
  <si>
    <t>Helsebygg Midt-Norge</t>
  </si>
  <si>
    <t>2012-10-21T20:04:00+02:00</t>
  </si>
  <si>
    <t>Hemato Eiendom</t>
  </si>
  <si>
    <t>2012-10-09T16:48:00+02:00</t>
  </si>
  <si>
    <t>Henning Stokke</t>
  </si>
  <si>
    <t>HENT AS</t>
  </si>
  <si>
    <t xml:space="preserve">HENT AS </t>
  </si>
  <si>
    <t>Hent AS (Knut Alstad)</t>
  </si>
  <si>
    <t>HENT AS (totalentreprenør)</t>
  </si>
  <si>
    <t>2011-10-27T09:59:11+02:00</t>
  </si>
  <si>
    <t>Hjellnes Consult AS</t>
  </si>
  <si>
    <t>2012-06-06T01:14:00+02:00</t>
  </si>
  <si>
    <t>Hjelmeland Mur &amp; Flis AS (mur og gulv)</t>
  </si>
  <si>
    <t>Hol Kirkelige Fellesråd</t>
  </si>
  <si>
    <t>2012-12-17T11:52:00+01:00</t>
  </si>
  <si>
    <t>Holtefjell Entreprenør AS</t>
  </si>
  <si>
    <t>Holz Norge 100 (massivtreelementer)</t>
  </si>
  <si>
    <t>Hordaland Fylkeskommune Eigedomsseksjonen</t>
  </si>
  <si>
    <t>2011-08-05T10:08:00+02:00</t>
  </si>
  <si>
    <t>Horten kommune</t>
  </si>
  <si>
    <t>2011-03-06T14:44:44+01:00</t>
  </si>
  <si>
    <t>HR Prosjekt AS</t>
  </si>
  <si>
    <t>2013-03-06T10:08:00+01:00</t>
  </si>
  <si>
    <t>HRL Skien</t>
  </si>
  <si>
    <t>HS Vagle AS</t>
  </si>
  <si>
    <t>Häussler/H-produkter</t>
  </si>
  <si>
    <t>i NOR as (RIE)</t>
  </si>
  <si>
    <t>IBR el-prosjekt AS</t>
  </si>
  <si>
    <t>Iguzzini (lys)</t>
  </si>
  <si>
    <t>Ikke offentlig</t>
  </si>
  <si>
    <t>2013-01-01T20:13:45+01:00</t>
  </si>
  <si>
    <t>Ilje AS</t>
  </si>
  <si>
    <t>In`by AS</t>
  </si>
  <si>
    <t>Ineo Eiendom &amp; Base Property</t>
  </si>
  <si>
    <t>2013-04-02T14:29:30+02:00</t>
  </si>
  <si>
    <t>Ing. Evensen AS</t>
  </si>
  <si>
    <t>2012-08-17T13:19:00+02:00</t>
  </si>
  <si>
    <t>Ing. Jan Johannessen as</t>
  </si>
  <si>
    <t>Ing. K. Simonsen A/S</t>
  </si>
  <si>
    <t>Ing. Per Ødemark</t>
  </si>
  <si>
    <t>Ing. Seim &amp; Hultgreen AS</t>
  </si>
  <si>
    <t>Ingar Ellefsrød, Erling Vermelid, Odd Skadsem, Steinar Wegger</t>
  </si>
  <si>
    <t>Ingenia AS</t>
  </si>
  <si>
    <t>2012-12-19T16:53:00+01:00</t>
  </si>
  <si>
    <t>Ingeniør Petter Nome AS (RIV)</t>
  </si>
  <si>
    <t>Instanes AS</t>
  </si>
  <si>
    <t>Interconsult ASA</t>
  </si>
  <si>
    <t xml:space="preserve">Interconsult ASA </t>
  </si>
  <si>
    <t>Ipark Eiendom AS</t>
  </si>
  <si>
    <t>2012-12-28T14:55:00+01:00</t>
  </si>
  <si>
    <t>Isola</t>
  </si>
  <si>
    <t>ISS Landscaping AS ved Stein Anders Sundbye</t>
  </si>
  <si>
    <t xml:space="preserve">ISS Landscaping AS ved Stein Anders Sundbye </t>
  </si>
  <si>
    <t>ISS O.Skaaret AS</t>
  </si>
  <si>
    <t>Istad Tekniske AS</t>
  </si>
  <si>
    <t>2012-07-09T12:09:00+02:00</t>
  </si>
  <si>
    <t>ITECH (EL, VVS)</t>
  </si>
  <si>
    <t>Jackon</t>
  </si>
  <si>
    <t>Jadarhus AS</t>
  </si>
  <si>
    <t>Jan Brataas Ecobas AS</t>
  </si>
  <si>
    <t>Jan Nilsen Robstad (VVS)</t>
  </si>
  <si>
    <t>Jan Willy Førland (PTL)</t>
  </si>
  <si>
    <t>JM Byggholt AS</t>
  </si>
  <si>
    <t>2011-01-13T16:45:02+01:00</t>
  </si>
  <si>
    <t>Jo Toftdal (byggmester)</t>
  </si>
  <si>
    <t>Joachim Eble architektur</t>
  </si>
  <si>
    <t>Johannes Lipphardt, Trondheim kommune</t>
  </si>
  <si>
    <t>2012-02-03T12:56:00+01:00</t>
  </si>
  <si>
    <t>Johs E. Øvsthus AS</t>
  </si>
  <si>
    <t>2011-12-12T09:04:00+01:00</t>
  </si>
  <si>
    <t>Jon Bojer Godal</t>
  </si>
  <si>
    <t>2013-02-04T16:38:00+01:00</t>
  </si>
  <si>
    <t>Jorunn Sannes (kunstner, fasade)</t>
  </si>
  <si>
    <t>Jærbetong AS</t>
  </si>
  <si>
    <t>2011-11-15T14:55:00+01:00</t>
  </si>
  <si>
    <t>K. Lund / ORAS</t>
  </si>
  <si>
    <t>Kai Paulsen (Skanska AS)</t>
  </si>
  <si>
    <t>Kanvas</t>
  </si>
  <si>
    <t>Kanvas v/ Lisbet Andresen</t>
  </si>
  <si>
    <t>Karl Kvalsund AS (RIE)</t>
  </si>
  <si>
    <t>Karl Sæbjørn Kjøllesdal</t>
  </si>
  <si>
    <t>Kilde Akustikk AS</t>
  </si>
  <si>
    <t>2011-03-01T09:49:26+01:00</t>
  </si>
  <si>
    <t xml:space="preserve">Kilde Akustikk AS </t>
  </si>
  <si>
    <t>KILDE akustikk as (RIAKU)</t>
  </si>
  <si>
    <t>2011-01-03T13:21:54+01:00</t>
  </si>
  <si>
    <t>Kjell Garshol AS, Bærum</t>
  </si>
  <si>
    <t>Kjell Ludvigsen (RIB)</t>
  </si>
  <si>
    <t>Kjell Ludvigsen AS</t>
  </si>
  <si>
    <t>2013-02-15T18:35:00+01:00</t>
  </si>
  <si>
    <t>Kjell Sævik as</t>
  </si>
  <si>
    <t>2011-01-03T13:22:00+01:00</t>
  </si>
  <si>
    <t>Klepp installasjon AS</t>
  </si>
  <si>
    <t>Klepp kyrkjelege fellesråd</t>
  </si>
  <si>
    <t>2011-11-15T14:37:00+01:00</t>
  </si>
  <si>
    <t>Klepphus AS</t>
  </si>
  <si>
    <t>Klimat Teknologi AB</t>
  </si>
  <si>
    <t>Klimatak YIT (RIV, RIE)</t>
  </si>
  <si>
    <t>KLP Eiendom</t>
  </si>
  <si>
    <t>KN Kjøita AS (Egil Andre Jore)</t>
  </si>
  <si>
    <t>Knut Skutle as</t>
  </si>
  <si>
    <t>Knut Skutle AS</t>
  </si>
  <si>
    <t>Kolberg ventilasjon (RIV)</t>
  </si>
  <si>
    <t>Kolnes maskin</t>
  </si>
  <si>
    <t>Kolnes Maskin</t>
  </si>
  <si>
    <t>Kolnes Maskin AS</t>
  </si>
  <si>
    <t>Kongsvinger kommune og Hedmark fylkeskommune</t>
  </si>
  <si>
    <t>2010-12-14T09:48:00+01:00</t>
  </si>
  <si>
    <t>Konsulentfirma</t>
  </si>
  <si>
    <t>2012-02-03T11:30:54+01:00</t>
  </si>
  <si>
    <t>2012-02-03T11:31:14+01:00</t>
  </si>
  <si>
    <t>2012-02-03T12:49:24+01:00</t>
  </si>
  <si>
    <t>2013-02-12T11:16:45+01:00</t>
  </si>
  <si>
    <t>2013-02-12T11:25:56+01:00</t>
  </si>
  <si>
    <t>2013-02-12T11:28:26+01:00</t>
  </si>
  <si>
    <t>2013-02-12T13:13:56+01:00</t>
  </si>
  <si>
    <t>2013-02-12T13:14:12+01:00</t>
  </si>
  <si>
    <t>2013-03-06T10:05:28+01:00</t>
  </si>
  <si>
    <t>2013-04-02T13:55:00+02:00</t>
  </si>
  <si>
    <t>Konsulentfirmaet i trondheim på kantstein</t>
  </si>
  <si>
    <t>2011-03-06T14:46:34+01:00</t>
  </si>
  <si>
    <t>Krisesenteret i Telemark</t>
  </si>
  <si>
    <t>2011-02-07T15:01:00+01:00</t>
  </si>
  <si>
    <t>Kristian Fadum AS</t>
  </si>
  <si>
    <t>Kristiansand kommune</t>
  </si>
  <si>
    <t>Kristiansand kommune v/Kristiansand Eiendom</t>
  </si>
  <si>
    <t>2013-02-13T10:31:20+01:00</t>
  </si>
  <si>
    <t>KRS-gruppen</t>
  </si>
  <si>
    <t>Kruse Smith (Arvid Fredriksen)</t>
  </si>
  <si>
    <t>Kruse Smith (Hans Ragnar Uthus)</t>
  </si>
  <si>
    <t>Kruse Smith Entreprenør AS</t>
  </si>
  <si>
    <t>2011-08-04T10:56:01+02:00</t>
  </si>
  <si>
    <t>Landskapsentreprenørene AS</t>
  </si>
  <si>
    <t>2010-12-17T08:58:00+01:00</t>
  </si>
  <si>
    <t>Lars Myhre AS</t>
  </si>
  <si>
    <t>2012-11-11T20:21:00+01:00</t>
  </si>
  <si>
    <t>Lars Myhre Østfold AS (RIV)</t>
  </si>
  <si>
    <t>2010-12-22T10:51:00+01:00</t>
  </si>
  <si>
    <t>Lars og Marit Nilssen</t>
  </si>
  <si>
    <t>Larsen Entreprenør AS</t>
  </si>
  <si>
    <t>Lervike AS</t>
  </si>
  <si>
    <t>2013-02-04T16:39:00+01:00</t>
  </si>
  <si>
    <t>LH Bygg Berkåk og Stjern Entreprenør AS Åfjord (Kysthus)</t>
  </si>
  <si>
    <t>Lian AS</t>
  </si>
  <si>
    <t>Lundenes as/ AS Anlegg</t>
  </si>
  <si>
    <t>Lux Brannteknologi AS</t>
  </si>
  <si>
    <t>2012-11-05T14:33:00+01:00</t>
  </si>
  <si>
    <t>Lys og Varme AS</t>
  </si>
  <si>
    <t>2013-01-22T19:06:00+01:00</t>
  </si>
  <si>
    <t>Lyse AS (energi)</t>
  </si>
  <si>
    <t>Løvik K A A/S</t>
  </si>
  <si>
    <t>Løvold AS</t>
  </si>
  <si>
    <t>Løyning AS</t>
  </si>
  <si>
    <t>Malermester Per Johannesen AS</t>
  </si>
  <si>
    <t>Malnes og Endresen AS</t>
  </si>
  <si>
    <t>2011-11-08T14:34:00+01:00</t>
  </si>
  <si>
    <t>Malvin L. Hillestad</t>
  </si>
  <si>
    <t>Marianne og Kim Rudolph-Lund</t>
  </si>
  <si>
    <t>Martinsons Tre AB</t>
  </si>
  <si>
    <t>Martinsons Tre AS</t>
  </si>
  <si>
    <t>2012-02-03T11:34:00+01:00</t>
  </si>
  <si>
    <t>Martinsons Tre AS (rådgivn. massivtre)</t>
  </si>
  <si>
    <t>2011-10-27T09:55:00+02:00</t>
  </si>
  <si>
    <t>Materialbanken AS (Malmfuru)</t>
  </si>
  <si>
    <t>Maurstadgruppen</t>
  </si>
  <si>
    <t>May Bente Aronsen (kunstner, lobby)</t>
  </si>
  <si>
    <t>Mercur VVS Entreprenør AS</t>
  </si>
  <si>
    <t>Mesterbygg Namsos</t>
  </si>
  <si>
    <t>2012-06-12T11:58:00+02:00</t>
  </si>
  <si>
    <t>Mesterhus</t>
  </si>
  <si>
    <t>Meteorologisk institutt</t>
  </si>
  <si>
    <t>Michael Blümlein AS (RIBr)</t>
  </si>
  <si>
    <t>2010-12-22T10:50:00+01:00</t>
  </si>
  <si>
    <t>Miljøbyen Granås AS</t>
  </si>
  <si>
    <t>2013-01-28T12:46:00+01:00</t>
  </si>
  <si>
    <t>Miljøconsult AS</t>
  </si>
  <si>
    <t>2013-02-04T19:25:00+01:00</t>
  </si>
  <si>
    <t>Miljøforskningssenteret ANS</t>
  </si>
  <si>
    <t>Minera Norge AS (skifer)</t>
  </si>
  <si>
    <t>Modalsli Prosjektering</t>
  </si>
  <si>
    <t>Moelven Elektro AS (RIE)</t>
  </si>
  <si>
    <t>Moelven limtre</t>
  </si>
  <si>
    <t xml:space="preserve">Moelven limtre </t>
  </si>
  <si>
    <t>Moelven massivtre (dekker, veggelementer)</t>
  </si>
  <si>
    <t>Morten Hagen</t>
  </si>
  <si>
    <t>Mossemøllene eiendom</t>
  </si>
  <si>
    <t>2011-08-02T09:54:00+02:00</t>
  </si>
  <si>
    <t>Multiconsult</t>
  </si>
  <si>
    <t>Multiteknikk AS</t>
  </si>
  <si>
    <t>Murermester Tore Sjømæling</t>
  </si>
  <si>
    <t>Murmester Aksel Hansen</t>
  </si>
  <si>
    <t>Murmester Rolf Holm as</t>
  </si>
  <si>
    <t>Myhrerenga BRL</t>
  </si>
  <si>
    <t>Myklebust AS</t>
  </si>
  <si>
    <t>2012-10-18T15:06:00+02:00</t>
  </si>
  <si>
    <t>Myrvold Utemiljø</t>
  </si>
  <si>
    <t>Møre og Romsdal fylkeskommune</t>
  </si>
  <si>
    <t>2013-02-04T16:36:00+01:00</t>
  </si>
  <si>
    <t>National Elektro AS</t>
  </si>
  <si>
    <t>Naturbygg AS</t>
  </si>
  <si>
    <t>NCC Construction AS</t>
  </si>
  <si>
    <t>NCC Property Development</t>
  </si>
  <si>
    <t>Neas Consulting</t>
  </si>
  <si>
    <t>2012-06-06T10:50:25+02:00</t>
  </si>
  <si>
    <t>Nedig AS</t>
  </si>
  <si>
    <t>Nedre Buskerud Boligbyggelag (NBBO)</t>
  </si>
  <si>
    <t>Nesodden kommune</t>
  </si>
  <si>
    <t>Nexi Bygg as</t>
  </si>
  <si>
    <t>Nils Ivar Bovim</t>
  </si>
  <si>
    <t>NODE rådgivende ing.AS</t>
  </si>
  <si>
    <t>NODE rådgivende ingeniører as (RIB)</t>
  </si>
  <si>
    <t>2011-01-03T13:13:00+01:00</t>
  </si>
  <si>
    <t>NorDan AS (dører, vinduer, glassfasade)</t>
  </si>
  <si>
    <t>Nordbohus AS v/ ingeniør Randi Nåvik</t>
  </si>
  <si>
    <t xml:space="preserve">Nordbohus AS v/ ingeniør Randi Nåvik </t>
  </si>
  <si>
    <t>Nordesign</t>
  </si>
  <si>
    <t>Nordland Fylkeskommune</t>
  </si>
  <si>
    <t>2011-07-04T13:41:00+02:00</t>
  </si>
  <si>
    <t>Norelement (PREFAB)</t>
  </si>
  <si>
    <t>Norelement Dag Kerlefsen (PREFAB)</t>
  </si>
  <si>
    <t>Norgeshus AS</t>
  </si>
  <si>
    <t>2013-01-18T12:59:00+01:00</t>
  </si>
  <si>
    <t>Norsas</t>
  </si>
  <si>
    <t>Norsk brannvernforening</t>
  </si>
  <si>
    <t>2013-02-04T23:02:00+01:00</t>
  </si>
  <si>
    <t>Norsk institutt for naturforskning (NINA)</t>
  </si>
  <si>
    <t>2013-01-27T11:44:00+01:00</t>
  </si>
  <si>
    <t>Norsk Massivtre AS</t>
  </si>
  <si>
    <t>Norsk Oljemuseum</t>
  </si>
  <si>
    <t>Noveta AS</t>
  </si>
  <si>
    <t xml:space="preserve">Noveta AS </t>
  </si>
  <si>
    <t>NTNU</t>
  </si>
  <si>
    <t>Nygaard AS</t>
  </si>
  <si>
    <t>Nyland byggeadministrasjon AS</t>
  </si>
  <si>
    <t>2012-12-28T14:56:00+01:00</t>
  </si>
  <si>
    <t>OBAS</t>
  </si>
  <si>
    <t>OBOS nye hjem</t>
  </si>
  <si>
    <t>OBOS Nye Hjem</t>
  </si>
  <si>
    <t>OEC Consulting AS</t>
  </si>
  <si>
    <t>2010-12-07T12:27:00+01:00</t>
  </si>
  <si>
    <t>OFE AS</t>
  </si>
  <si>
    <t>OKK Entreprenør AS</t>
  </si>
  <si>
    <t>Olaussen AS</t>
  </si>
  <si>
    <t>2011-03-06T14:46:51+01:00</t>
  </si>
  <si>
    <t>Olav Olsen</t>
  </si>
  <si>
    <t xml:space="preserve">Olav Olsen </t>
  </si>
  <si>
    <t>Ole Jørgen Furdal, Sveio kommune</t>
  </si>
  <si>
    <t>Ole K. Karlsen Entreprenør AS</t>
  </si>
  <si>
    <t>Ole Sivertsen AS</t>
  </si>
  <si>
    <t>2012-12-10T11:32:05+01:00</t>
  </si>
  <si>
    <t>Oleivsgard Byggconsult AS</t>
  </si>
  <si>
    <t>2013-02-04T22:11:00+01:00</t>
  </si>
  <si>
    <t>Olset AS</t>
  </si>
  <si>
    <t>Omsorgsbygg Oslo KF</t>
  </si>
  <si>
    <t>2010-12-22T11:01:00+01:00</t>
  </si>
  <si>
    <t>OPAK AS</t>
  </si>
  <si>
    <t>Oppland bygg ans</t>
  </si>
  <si>
    <t>Oppland fylkeskommune</t>
  </si>
  <si>
    <t>2013-02-04T22:57:00+01:00</t>
  </si>
  <si>
    <t>Opticonsult as</t>
  </si>
  <si>
    <t>Opticonsult Førde (EL)</t>
  </si>
  <si>
    <t>Optimo Prosjekt AS</t>
  </si>
  <si>
    <t>2012-06-06T10:30:08+02:00</t>
  </si>
  <si>
    <t>ORAS Agder AS</t>
  </si>
  <si>
    <t>Oras AS</t>
  </si>
  <si>
    <t>2013-03-06T10:07:24+01:00</t>
  </si>
  <si>
    <t>Oras as (RIV)</t>
  </si>
  <si>
    <t>Oras AS (VVS)</t>
  </si>
  <si>
    <t xml:space="preserve">Oras AS (VVS) </t>
  </si>
  <si>
    <t>Oras buskerud</t>
  </si>
  <si>
    <t xml:space="preserve">Oras buskerud </t>
  </si>
  <si>
    <t>Oras Trondheim as</t>
  </si>
  <si>
    <t>Origo AS (VVA)</t>
  </si>
  <si>
    <t>Orkdal kommune</t>
  </si>
  <si>
    <t>2013-01-23T17:38:00+01:00</t>
  </si>
  <si>
    <t>Oslo Byggentreprenør AS</t>
  </si>
  <si>
    <t>Oslo kommune</t>
  </si>
  <si>
    <t>Oslo Kommune ved Vann- og avløpsetaten og Friluftsetaten</t>
  </si>
  <si>
    <t>Oslo kommune, Bydel Alna</t>
  </si>
  <si>
    <t>2011-03-06T15:42:11+01:00</t>
  </si>
  <si>
    <t>Oslo kommune, Bydel Stovner</t>
  </si>
  <si>
    <t>2011-03-06T15:41:23+01:00</t>
  </si>
  <si>
    <t>2011-03-06T15:41:05+01:00</t>
  </si>
  <si>
    <t>Oslo kommune, Friluftsetaten</t>
  </si>
  <si>
    <t>Oslo kommune, Friluftsetaten og Bydel Alna</t>
  </si>
  <si>
    <t>2011-03-06T15:41:40+01:00</t>
  </si>
  <si>
    <t>Oslo kommune, idrettsetaten</t>
  </si>
  <si>
    <t>2011-03-11T14:50:00+01:00</t>
  </si>
  <si>
    <t>Oslo Kommune, Kulturbyggene i Bjørvika</t>
  </si>
  <si>
    <t>Oslo kommune, Utdanningsetaten</t>
  </si>
  <si>
    <t>2011-02-16T15:16:00+01:00</t>
  </si>
  <si>
    <t>Oslo Prosjektadministrasjon AS v/Terje Inglingstad</t>
  </si>
  <si>
    <t>Oslo S Utvikling AS</t>
  </si>
  <si>
    <t>2011-03-03T13:19:00+01:00</t>
  </si>
  <si>
    <t>Oslo Vei AS</t>
  </si>
  <si>
    <t>Otium AS</t>
  </si>
  <si>
    <t>Overhalla kommune</t>
  </si>
  <si>
    <t>2012-06-12T11:54:00+02:00</t>
  </si>
  <si>
    <t>Papirbredden Eiendom AS</t>
  </si>
  <si>
    <t>Pascal Rådgivning AS</t>
  </si>
  <si>
    <t>Passivhus Norge a/s</t>
  </si>
  <si>
    <t>Peggy Brilke</t>
  </si>
  <si>
    <t>2012-12-10T11:30:00+01:00</t>
  </si>
  <si>
    <t>Per Arne Hestetun og Anne Grete Gruben</t>
  </si>
  <si>
    <t>Per Rasmussen AS, Bærum</t>
  </si>
  <si>
    <t xml:space="preserve">Per Rasmussen AS, Bærum </t>
  </si>
  <si>
    <t>Pilestredet Park Boligutbygging ANS</t>
  </si>
  <si>
    <t>2013-02-18T14:51:00+01:00</t>
  </si>
  <si>
    <t>Planteknikk AS</t>
  </si>
  <si>
    <t>Polyplan AS</t>
  </si>
  <si>
    <t xml:space="preserve">Polyplan AS </t>
  </si>
  <si>
    <t>Porsgrunn kommune</t>
  </si>
  <si>
    <t>2013-03-05T13:25:00+01:00</t>
  </si>
  <si>
    <t>Prima-Hus AS</t>
  </si>
  <si>
    <t>Procon AS</t>
  </si>
  <si>
    <t>2012-12-28T14:59:00+01:00</t>
  </si>
  <si>
    <t>Prokon AS</t>
  </si>
  <si>
    <t>2012-11-11T14:11:00+01:00</t>
  </si>
  <si>
    <t>Prosjektbygg AS</t>
  </si>
  <si>
    <t>Prosjektutvikling Midt-Norge AS</t>
  </si>
  <si>
    <t>Protan Bygg og Tak AS</t>
  </si>
  <si>
    <t>PÅ Elektroforum AS</t>
  </si>
  <si>
    <t>Ragnars AS</t>
  </si>
  <si>
    <t>Rambøll</t>
  </si>
  <si>
    <t>2012-03-22T19:41:00+01:00</t>
  </si>
  <si>
    <t>Ranheimsveien eiendom, Utstillingsplassen Eiendom AS, Larshus AS</t>
  </si>
  <si>
    <t>2011-11-08T10:41:00+01:00</t>
  </si>
  <si>
    <t>Rasmussen &amp; Strand AS</t>
  </si>
  <si>
    <t>Raugstad as</t>
  </si>
  <si>
    <t>REC Indovent</t>
  </si>
  <si>
    <t>Reidar Kristiansen</t>
  </si>
  <si>
    <t>Reinertsen AS</t>
  </si>
  <si>
    <t>Reinertsen AS (RIAku)</t>
  </si>
  <si>
    <t>Reinertsen Engineering AS</t>
  </si>
  <si>
    <t>Reum og Laugtaug AS</t>
  </si>
  <si>
    <t>Richard Ligård, Framtidens Aktivhus AS</t>
  </si>
  <si>
    <t>2011-09-08T16:08:00+02:00</t>
  </si>
  <si>
    <t>Riksheim Consulting AS (RIV)</t>
  </si>
  <si>
    <t>RIV Bjørkaas AS</t>
  </si>
  <si>
    <t>Rivco AS</t>
  </si>
  <si>
    <t>2011-11-16T13:53:37+01:00</t>
  </si>
  <si>
    <t>Roald Haldorsen v/ Oslo Prosjektadministrasjon AS</t>
  </si>
  <si>
    <t>2010-12-22T10:54:00+01:00</t>
  </si>
  <si>
    <t>Roar Jørgensen AS</t>
  </si>
  <si>
    <t>2013-02-15T18:36:00+01:00</t>
  </si>
  <si>
    <t>Roar Ousland og Marit Grinaker Wright</t>
  </si>
  <si>
    <t>2012-10-09T16:46:20+02:00</t>
  </si>
  <si>
    <t>Roar Svenning &amp; Torild Landklopp</t>
  </si>
  <si>
    <t>2011-12-09T10:04:00+01:00</t>
  </si>
  <si>
    <t>Robak VVS as (RIVA)</t>
  </si>
  <si>
    <t>2011-01-03T13:14:00+01:00</t>
  </si>
  <si>
    <t>Rockwool</t>
  </si>
  <si>
    <t>Rogaland bygg og prosjektutvikling AS</t>
  </si>
  <si>
    <t>Rogaland entreprenør AS</t>
  </si>
  <si>
    <t>Rogaland entreprnør AS</t>
  </si>
  <si>
    <t>Rolf Selvaag</t>
  </si>
  <si>
    <t>ROM Eiendom AS</t>
  </si>
  <si>
    <t>Rose Marie Steinsvik sivilark. MNAL</t>
  </si>
  <si>
    <t>Rosenborg Utvikling AS</t>
  </si>
  <si>
    <t>RSG AS</t>
  </si>
  <si>
    <t>2012-01-23T13:41:00+01:00</t>
  </si>
  <si>
    <t>Runde Miljøbygg AS</t>
  </si>
  <si>
    <t>Rye-Kittelsen AS</t>
  </si>
  <si>
    <t>Ryenstubben Invest AS</t>
  </si>
  <si>
    <t>2013-01-22T19:01:00+01:00</t>
  </si>
  <si>
    <t>Rygg Maskin AS (graveentrepenør)</t>
  </si>
  <si>
    <t>Rørfunn AS</t>
  </si>
  <si>
    <t>Rørteknikk AS</t>
  </si>
  <si>
    <t>2011-09-08T16:04:00+02:00</t>
  </si>
  <si>
    <t xml:space="preserve">Rørteknikk AS </t>
  </si>
  <si>
    <t>Samferdselsetaten, Oslo kommune</t>
  </si>
  <si>
    <t>Samnanger kommune</t>
  </si>
  <si>
    <t>Sandnes kommune</t>
  </si>
  <si>
    <t>Sandnes Kommune (Ragna Stakland)</t>
  </si>
  <si>
    <t>Sandås bygg AS</t>
  </si>
  <si>
    <t>SAPA (dører og vinduer)</t>
  </si>
  <si>
    <t>Scandiaconsult</t>
  </si>
  <si>
    <t xml:space="preserve">Scandiaconsult </t>
  </si>
  <si>
    <t>Scandic Oslo Airport</t>
  </si>
  <si>
    <t>2011-11-08T10:10:00+01:00</t>
  </si>
  <si>
    <t>SCC AS</t>
  </si>
  <si>
    <t xml:space="preserve">SCC AS </t>
  </si>
  <si>
    <t>Schüco International KG</t>
  </si>
  <si>
    <t xml:space="preserve">Schüco International KG </t>
  </si>
  <si>
    <t>Seabrokers</t>
  </si>
  <si>
    <t>Seby AS</t>
  </si>
  <si>
    <t>Seko Elektro AS</t>
  </si>
  <si>
    <t>Selmer AS</t>
  </si>
  <si>
    <t>Selvaagbygg</t>
  </si>
  <si>
    <t>Senterbygg Entreprenør AS</t>
  </si>
  <si>
    <t>2013-03-21T01:37:00+01:00</t>
  </si>
  <si>
    <t>SFS intec AS</t>
  </si>
  <si>
    <t>Sig. Halvorsen (rørlegger)</t>
  </si>
  <si>
    <t>Sigurd Eide</t>
  </si>
  <si>
    <t>Simex AS</t>
  </si>
  <si>
    <t>SINTEF</t>
  </si>
  <si>
    <t>SINTEF (energiteknikk, byggteknikk)</t>
  </si>
  <si>
    <t>SINTEF Byggforsk</t>
  </si>
  <si>
    <t>Sinus AS</t>
  </si>
  <si>
    <t>2011-02-17T09:39:00+01:00</t>
  </si>
  <si>
    <t>Sinus AS v/Tønnes Ognedal og Svein Folkvord (akustikk)</t>
  </si>
  <si>
    <t>Sinus Elektro (Elektro)</t>
  </si>
  <si>
    <t>SiT Eiendom</t>
  </si>
  <si>
    <t>Siv ing Haug og Blom-Bakke AS</t>
  </si>
  <si>
    <t>Siv. ing. Karl Knudsen</t>
  </si>
  <si>
    <t>Siv. Ing. Netteberg AS (VVS)</t>
  </si>
  <si>
    <t>Siv. Ing. P.O. Danielsen</t>
  </si>
  <si>
    <t>Siv. Ing. Trond Thorvaldsen AS</t>
  </si>
  <si>
    <t>Siv.Ing Knut Finseth AS (RIB)</t>
  </si>
  <si>
    <t>Siv.ing. Christian Svenkerud</t>
  </si>
  <si>
    <t>Siv.ing. JP Dybdahl AS (RIV)</t>
  </si>
  <si>
    <t>Siv.ing. P.O.Danielsen AS (RIB)</t>
  </si>
  <si>
    <t>Siv.ing. Terje Orlien AS</t>
  </si>
  <si>
    <t>Siv.ing. Trond Amundsen AS (RIB)</t>
  </si>
  <si>
    <t>Siv.Ing. Øyvind Berntsen AS (RIV)</t>
  </si>
  <si>
    <t>Sivilarkitekt Erik Ask</t>
  </si>
  <si>
    <t>Sivilingeniørene Storkmoen og Hamre AS</t>
  </si>
  <si>
    <t xml:space="preserve">Sivilingeniørene Storkmoen og Hamre AS </t>
  </si>
  <si>
    <t>SK Langeland (byggeleder grunn &amp; betong)</t>
  </si>
  <si>
    <t>Skaaret AS</t>
  </si>
  <si>
    <t>Skandinaviska Glassystem AB</t>
  </si>
  <si>
    <t>Skansen AS</t>
  </si>
  <si>
    <t>Skansen Consult AS</t>
  </si>
  <si>
    <t>2012-06-06T00:06:00+02:00</t>
  </si>
  <si>
    <t>Skanska AS</t>
  </si>
  <si>
    <t>Skanska Eiendomsutvikling</t>
  </si>
  <si>
    <t>2012-01-24T16:40:00+01:00</t>
  </si>
  <si>
    <t>Skanska KEB</t>
  </si>
  <si>
    <t>2013-01-22T15:30:00+01:00</t>
  </si>
  <si>
    <t>Skanska Region Bergen</t>
  </si>
  <si>
    <t>2012-01-24T16:45:00+01:00</t>
  </si>
  <si>
    <t>Skanska SPU</t>
  </si>
  <si>
    <t>2013-01-22T15:29:00+01:00</t>
  </si>
  <si>
    <t>Skanska Tekniske</t>
  </si>
  <si>
    <t>2012-01-24T16:43:00+01:00</t>
  </si>
  <si>
    <t>Skanska Tekniske Enteprise</t>
  </si>
  <si>
    <t>2013-01-22T15:32:00+01:00</t>
  </si>
  <si>
    <t>Ski boligbyggelag</t>
  </si>
  <si>
    <t>Skien Kommune</t>
  </si>
  <si>
    <t>Skien kommune</t>
  </si>
  <si>
    <t>2011-02-07T15:00:00+01:00</t>
  </si>
  <si>
    <t>Smed Alsaker AS</t>
  </si>
  <si>
    <t>SMI energi og miljø AS</t>
  </si>
  <si>
    <t>2012-12-28T14:58:00+01:00</t>
  </si>
  <si>
    <t>Smidt &amp; Ingebrigtsen AS</t>
  </si>
  <si>
    <t>2011-03-01T09:45:00+01:00</t>
  </si>
  <si>
    <t>SNO Sogndal</t>
  </si>
  <si>
    <t>2010-12-17T11:18:00+01:00</t>
  </si>
  <si>
    <t>Sohlberg og Toftenes AS</t>
  </si>
  <si>
    <t>Solarnor AS</t>
  </si>
  <si>
    <t>Solberg &amp; Toftenes (RIBR)</t>
  </si>
  <si>
    <t>Solberg og Toftenes AS</t>
  </si>
  <si>
    <t>Solland AS (ventilasjon)</t>
  </si>
  <si>
    <t>SOS Brannsikring AS</t>
  </si>
  <si>
    <t>2012-12-17T12:02:00+01:00</t>
  </si>
  <si>
    <t>Sparebank 1 SMN kvartalet</t>
  </si>
  <si>
    <t>Spets AS</t>
  </si>
  <si>
    <t xml:space="preserve">Spets AS </t>
  </si>
  <si>
    <t>SSBYGG AS</t>
  </si>
  <si>
    <t>2011-09-08T16:03:00+02:00</t>
  </si>
  <si>
    <t>Statens vegvesen</t>
  </si>
  <si>
    <t>Statens vegvesen, Turistvegkontoret</t>
  </si>
  <si>
    <t>Statkraft Grøner AS</t>
  </si>
  <si>
    <t>Statnett SF</t>
  </si>
  <si>
    <t>2012-10-21T14:25:00+02:00</t>
  </si>
  <si>
    <t>Statsbygg</t>
  </si>
  <si>
    <t>Stavanger boligbyggelag</t>
  </si>
  <si>
    <t>Stavanger kommune</t>
  </si>
  <si>
    <t>2011-01-19T09:08:00+01:00</t>
  </si>
  <si>
    <t>Stavanger kommune v/ Stavanger Eiendom</t>
  </si>
  <si>
    <t>Stavanger Turistforening</t>
  </si>
  <si>
    <t>Stavne Gård AS</t>
  </si>
  <si>
    <t>Steen &amp; Lund</t>
  </si>
  <si>
    <t>STEIEN Consult AS</t>
  </si>
  <si>
    <t>2012-11-05T14:28:00+01:00</t>
  </si>
  <si>
    <t>Stein Stoknes</t>
  </si>
  <si>
    <t>Steinar Johansen (tømrer)</t>
  </si>
  <si>
    <t>Steinar Moldal</t>
  </si>
  <si>
    <t>Stensrud og Danielsen</t>
  </si>
  <si>
    <t>Stiftelsen Kirkens Bymisjon</t>
  </si>
  <si>
    <t>2013-02-15T18:33:00+01:00</t>
  </si>
  <si>
    <t>Stiftelsen Østfoldforskning</t>
  </si>
  <si>
    <t xml:space="preserve">Stiftelsen Østfoldforskning </t>
  </si>
  <si>
    <t>Stjern AS</t>
  </si>
  <si>
    <t>Stjern Entreprenør AS Åfjord (SUB-lugarer)</t>
  </si>
  <si>
    <t xml:space="preserve">Stjern Entreprenør AS Åfjord (SUB-lugarer) </t>
  </si>
  <si>
    <t>Stockholm Lighting AB</t>
  </si>
  <si>
    <t>2012-03-22T19:44:00+01:00</t>
  </si>
  <si>
    <t>Stokke Stål AS Fundamenter og betongkonstruksjoner; Dr. Ing. Olav Olsen AS (vindskjermer)</t>
  </si>
  <si>
    <t>Stoltz Røthing AS</t>
  </si>
  <si>
    <t>2011-12-02T12:49:41+01:00</t>
  </si>
  <si>
    <t>Storebrand Livsforsikring v/Storebrand Eiendom AS</t>
  </si>
  <si>
    <t>Stormorken og Hamre AS</t>
  </si>
  <si>
    <t>2012-12-19T16:50:00+01:00</t>
  </si>
  <si>
    <t>Stor-Oslo Prosjekt AS</t>
  </si>
  <si>
    <t>2013-01-22T19:02:00+01:00</t>
  </si>
  <si>
    <t>Strand forskaling (betong)</t>
  </si>
  <si>
    <t>Straume AS</t>
  </si>
  <si>
    <t>2011-03-01T09:47:00+01:00</t>
  </si>
  <si>
    <t>Structura AS</t>
  </si>
  <si>
    <t>Structura AS (Roberth Nøsen)</t>
  </si>
  <si>
    <t>Strøm Gundersen AS</t>
  </si>
  <si>
    <t>2011-10-25T11:39:00+02:00</t>
  </si>
  <si>
    <t>Studentsamskibnaden i Oslo</t>
  </si>
  <si>
    <t>Studentsamskipnaden i Trondheim (SiT)</t>
  </si>
  <si>
    <t>Stærk &amp; Co AS (RIB/RIBr)</t>
  </si>
  <si>
    <t>Støltun</t>
  </si>
  <si>
    <t>Svartlamoen boligstiftelse</t>
  </si>
  <si>
    <t>Svartlamoen boligstiftelse / Trondheim kommune</t>
  </si>
  <si>
    <t>2011-02-08T13:29:00+01:00</t>
  </si>
  <si>
    <t>Svein Aase</t>
  </si>
  <si>
    <t>Svein Arne Bøyum</t>
  </si>
  <si>
    <t>2011-01-03T10:11:50+01:00</t>
  </si>
  <si>
    <t>Svein Boasson AS</t>
  </si>
  <si>
    <t>Svein Søvik AS</t>
  </si>
  <si>
    <t>Sveio Kommune</t>
  </si>
  <si>
    <t>Svendby Bygg Consult AS</t>
  </si>
  <si>
    <t>Svenneby sag og høvleri (gulv)</t>
  </si>
  <si>
    <t>Sweco</t>
  </si>
  <si>
    <t>2012-05-30T10:00:00+02:00</t>
  </si>
  <si>
    <t>Swedoor</t>
  </si>
  <si>
    <t>2012-02-03T11:36:00+01:00</t>
  </si>
  <si>
    <t>System air</t>
  </si>
  <si>
    <t>Systemair AS</t>
  </si>
  <si>
    <t>Systemhus Norge AS</t>
  </si>
  <si>
    <t>Søbstad AS</t>
  </si>
  <si>
    <t>Sør-Trøndelag fylkeskommune</t>
  </si>
  <si>
    <t>2013-02-05T03:30:00+01:00</t>
  </si>
  <si>
    <t>T. Johansen Drift AS</t>
  </si>
  <si>
    <t>Tangen Ing. og arkitektkontor</t>
  </si>
  <si>
    <t>2011-03-06T14:44:59+01:00</t>
  </si>
  <si>
    <t>Team Rør AS (rørlegger)</t>
  </si>
  <si>
    <t>2012-10-21T20:06:00+02:00</t>
  </si>
  <si>
    <t>Teaterplassen 1 AS</t>
  </si>
  <si>
    <t>Technoconsult AS (Ribr)</t>
  </si>
  <si>
    <t>Teka Eiendom AS</t>
  </si>
  <si>
    <t>2013-02-12T13:16:00+01:00</t>
  </si>
  <si>
    <t>Teknisk byrå AS</t>
  </si>
  <si>
    <t>Teknisk Ventilasjon AS</t>
  </si>
  <si>
    <t>2011-10-27T09:53:00+02:00</t>
  </si>
  <si>
    <t>Tekno Team AS</t>
  </si>
  <si>
    <t xml:space="preserve">Tekno Team AS </t>
  </si>
  <si>
    <t>Teknobygg AS</t>
  </si>
  <si>
    <t>Teknoconsult AS</t>
  </si>
  <si>
    <t>2011-09-08T16:07:00+02:00</t>
  </si>
  <si>
    <t>Telerør</t>
  </si>
  <si>
    <t>2013-03-06T10:04:00+01:00</t>
  </si>
  <si>
    <t>Telesafe Consulting AS</t>
  </si>
  <si>
    <t>Tempero Energitjenester AS</t>
  </si>
  <si>
    <t>Theorells AS</t>
  </si>
  <si>
    <t>Thermoplan AS</t>
  </si>
  <si>
    <t>2011-03-08T13:28:00+01:00</t>
  </si>
  <si>
    <t>Thermoplan AS rådgivende ingeniørfirma (VVS)</t>
  </si>
  <si>
    <t>2011-03-08T13:40:19+01:00</t>
  </si>
  <si>
    <t>Thunes Partners AS</t>
  </si>
  <si>
    <t>Timber AS</t>
  </si>
  <si>
    <t>Time kyrkje</t>
  </si>
  <si>
    <t>2011-12-08T10:48:00+01:00</t>
  </si>
  <si>
    <t>Time kyrkjelege fellesråd</t>
  </si>
  <si>
    <t>2011-12-09T14:50:00+01:00</t>
  </si>
  <si>
    <t>Tone Ulland Stokke</t>
  </si>
  <si>
    <t>Tor Entreprenør AS</t>
  </si>
  <si>
    <t>Tor Helge Dokka</t>
  </si>
  <si>
    <t>Tor Nykvist &amp; sønn AS</t>
  </si>
  <si>
    <t>Tore Ravndal AS</t>
  </si>
  <si>
    <t>Torleif Holm Glad</t>
  </si>
  <si>
    <t>2012-11-05T14:27:00+01:00</t>
  </si>
  <si>
    <t>Trebyggeriet AS</t>
  </si>
  <si>
    <t>TreSenteret</t>
  </si>
  <si>
    <t>Treteknisk Institutt, rådgivingstjenesten</t>
  </si>
  <si>
    <t>2013-02-05T01:32:00+01:00</t>
  </si>
  <si>
    <t>Trifolia Landskpasarkitekter</t>
  </si>
  <si>
    <t>2011-03-06T15:40:47+01:00</t>
  </si>
  <si>
    <t>Trio Entreprenør</t>
  </si>
  <si>
    <t>2011-03-06T14:45:15+01:00</t>
  </si>
  <si>
    <t>Troll Næring as</t>
  </si>
  <si>
    <t>2013-01-30T20:28:57+01:00</t>
  </si>
  <si>
    <t>Tromsø kommune</t>
  </si>
  <si>
    <t>2011-05-10T22:27:00+02:00</t>
  </si>
  <si>
    <t>Tromsø kommune Eiendom</t>
  </si>
  <si>
    <t>2011-02-08T12:42:44+01:00</t>
  </si>
  <si>
    <t>Trond Wickman AS</t>
  </si>
  <si>
    <t>Trond Wickman as (RIE)</t>
  </si>
  <si>
    <t>2011-01-03T13:17:00+01:00</t>
  </si>
  <si>
    <t>Trondheim byteknikk</t>
  </si>
  <si>
    <t>Trondheim kommune</t>
  </si>
  <si>
    <t>Trondheim kommune v/ Trondheim eiendom</t>
  </si>
  <si>
    <t>Tronrud Entreprenør AS</t>
  </si>
  <si>
    <t>Trygve Leiksett (SMN Kvartalet)</t>
  </si>
  <si>
    <t>Trønderplan</t>
  </si>
  <si>
    <t>2012-06-12T15:39:00+02:00</t>
  </si>
  <si>
    <t>Tunge AS Mesterhus</t>
  </si>
  <si>
    <t>Tunge Maskin AS</t>
  </si>
  <si>
    <t>Tømrer-Tomas AS (byggeleder)</t>
  </si>
  <si>
    <t>Tønsberg kommunale eiendom KF</t>
  </si>
  <si>
    <t>2011-03-06T14:44:17+01:00</t>
  </si>
  <si>
    <t>Ulsteinvik kommune</t>
  </si>
  <si>
    <t>Undervisningsbygg Oslo KF</t>
  </si>
  <si>
    <t>2011-08-31T11:58:00+02:00</t>
  </si>
  <si>
    <t>Unico AS</t>
  </si>
  <si>
    <t>Unison Elektro AS (elektro)</t>
  </si>
  <si>
    <t>Universell Utforming AS</t>
  </si>
  <si>
    <t>2012-12-18T11:20:00+01:00</t>
  </si>
  <si>
    <t>Urd Klima Sandnes AS (ventilasjon)</t>
  </si>
  <si>
    <t>USBL (Stig Paugaard)</t>
  </si>
  <si>
    <t>Utdanningsforbundet</t>
  </si>
  <si>
    <t>Utstillingsplassen Eiendom</t>
  </si>
  <si>
    <t>2011-11-08T10:12:00+01:00</t>
  </si>
  <si>
    <t>Varde byggadministrasjon AS</t>
  </si>
  <si>
    <t>VAR-prosjekt AS, Bærum</t>
  </si>
  <si>
    <t xml:space="preserve">VAR-prosjekt AS, Bærum </t>
  </si>
  <si>
    <t>VEF Entreprenør</t>
  </si>
  <si>
    <t>2012-01-09T10:36:00+01:00</t>
  </si>
  <si>
    <t>Veg Tech AB (sedumstaket)</t>
  </si>
  <si>
    <t>Veidekke ASA</t>
  </si>
  <si>
    <t>Veidekke Eiedom AS</t>
  </si>
  <si>
    <t>Veidekke entreprenør AS</t>
  </si>
  <si>
    <t>Velux Norge AS (takvinduer)</t>
  </si>
  <si>
    <t>Vennesla kommune</t>
  </si>
  <si>
    <t>2012-06-06T11:11:00+02:00</t>
  </si>
  <si>
    <t>Vest Consult (VVS)</t>
  </si>
  <si>
    <t>Vestafjell as (grunn og betong)</t>
  </si>
  <si>
    <t>2011-03-08T13:50:46+01:00</t>
  </si>
  <si>
    <t>Via Nova AS</t>
  </si>
  <si>
    <t>Viken skog</t>
  </si>
  <si>
    <t>2012-11-11T20:15:00+01:00</t>
  </si>
  <si>
    <t>Vink Plast AS (Vindskjermer)</t>
  </si>
  <si>
    <t>Vintervoll AS</t>
  </si>
  <si>
    <t>Vision Bygg AS</t>
  </si>
  <si>
    <t>2013-01-01T20:17:00+01:00</t>
  </si>
  <si>
    <t>VVS Norplan AS</t>
  </si>
  <si>
    <t>Wegger &amp; Kvalsvik AS (totalentreprenør)</t>
  </si>
  <si>
    <t>2010-12-22T10:54:26+01:00</t>
  </si>
  <si>
    <t>Wiberg arkitektur &amp; plan</t>
  </si>
  <si>
    <t>2011-10-31T13:20:00+01:00</t>
  </si>
  <si>
    <t>Will Arentz AS</t>
  </si>
  <si>
    <t>Will Arentz, Rådgivende ingeniører</t>
  </si>
  <si>
    <t xml:space="preserve">Will Arentz, Rådgivende ingeniører </t>
  </si>
  <si>
    <t>Wörle Sparowitz Ingenieure (statikk)</t>
  </si>
  <si>
    <t>YIT</t>
  </si>
  <si>
    <t>YIT (tekniske løsninger)</t>
  </si>
  <si>
    <t>YIT (ventilasjon, EL)</t>
  </si>
  <si>
    <t>YIT, Gard Olsen (Elektro)</t>
  </si>
  <si>
    <t>YIT/Optimo Prosjekt</t>
  </si>
  <si>
    <t>2012-06-06T10:33:00+02:00</t>
  </si>
  <si>
    <t>Zen Resort &amp; Spa, Norge</t>
  </si>
  <si>
    <t>Øivin Vestre</t>
  </si>
  <si>
    <t>Økologisk håndverksbedrift / NJH</t>
  </si>
  <si>
    <t>Øren Consult</t>
  </si>
  <si>
    <t>Øvre Romerike Prosjektering AS</t>
  </si>
  <si>
    <t>ÅF - Consult AS</t>
  </si>
  <si>
    <t>2012-12-19T16:57:00+01:00</t>
  </si>
  <si>
    <t>ÅF Engineering AS</t>
  </si>
  <si>
    <t>2011-03-06T14:45:53+01:00</t>
  </si>
  <si>
    <t>ÅF-consulting AS (RIE)</t>
  </si>
  <si>
    <t>2012-12-19T16:56:53+01:00</t>
  </si>
  <si>
    <t>Åke Larson Construction AS</t>
  </si>
  <si>
    <t>Åsane Byggmesterforretning AS</t>
  </si>
  <si>
    <t>2011-03-01T09:53:00+01:00</t>
  </si>
  <si>
    <t>2011-03-01T09:54:00+01:00</t>
  </si>
  <si>
    <t>Arven etter Norwegian Wood</t>
  </si>
  <si>
    <t>2013-02-01T12:28:00+01:00</t>
  </si>
  <si>
    <t>Betongelementprisen</t>
  </si>
  <si>
    <t>2012-06-04T15:00:00+02:00</t>
  </si>
  <si>
    <t>Betongtavlen</t>
  </si>
  <si>
    <t>2012-06-04T14:58:00+02:00</t>
  </si>
  <si>
    <t>Houens Fonds Diplom</t>
  </si>
  <si>
    <t>2012-06-04T14:00:00+02:00</t>
  </si>
  <si>
    <t>Murverksprisen</t>
  </si>
  <si>
    <t>2012-06-04T15:01:00+02:00</t>
  </si>
  <si>
    <t>Norsk stålkonstruksjonspris</t>
  </si>
  <si>
    <t>NSW Miljøpris</t>
  </si>
  <si>
    <t>2012-06-04T15:03:00+02:00</t>
  </si>
  <si>
    <t>Statens byggeskikkpris</t>
  </si>
  <si>
    <t>2011-11-16T21:00:00+01:00</t>
  </si>
  <si>
    <t>Statens Bymiljøpris</t>
  </si>
  <si>
    <t>2012-06-14T15:49:00+02:00</t>
  </si>
  <si>
    <t>Sundts premie</t>
  </si>
  <si>
    <t>2012-06-04T14:51:00+02:00</t>
  </si>
  <si>
    <t>Treprisen</t>
  </si>
  <si>
    <t>Trondheims byggeskikkpris</t>
  </si>
  <si>
    <t>2012-06-14T15:51:47+02:00</t>
  </si>
  <si>
    <t>Årets bygg</t>
  </si>
  <si>
    <t>2012-06-04T15:36:00+02:00</t>
  </si>
  <si>
    <t>Begrenset anbudskonkurranse</t>
  </si>
  <si>
    <t>2012-06-22T09:15:00+02:00</t>
  </si>
  <si>
    <t>Begrenset idekonkurranse *</t>
  </si>
  <si>
    <t>2012-06-04T13:40:00+02:00</t>
  </si>
  <si>
    <t>Begrenset plan-og designkonkurranse</t>
  </si>
  <si>
    <t>2012-06-05T23:57:00+02:00</t>
  </si>
  <si>
    <t>Begrenset prosjektkonkurranse</t>
  </si>
  <si>
    <t>2012-06-04T13:43:00+02:00</t>
  </si>
  <si>
    <t>Direkte engasjement</t>
  </si>
  <si>
    <t>2011-12-09T09:53:00+01:00</t>
  </si>
  <si>
    <t>Forhandlet konkurranse</t>
  </si>
  <si>
    <t>2012-06-22T09:16:00+02:00</t>
  </si>
  <si>
    <t>Konkurransepreget dialog</t>
  </si>
  <si>
    <t>2012-06-15T12:37:00+02:00</t>
  </si>
  <si>
    <t>Paralelloppdrag *</t>
  </si>
  <si>
    <t>2012-06-04T13:44:00+02:00</t>
  </si>
  <si>
    <t>Rammeavtale</t>
  </si>
  <si>
    <t>2012-06-04T13:30:00+02:00</t>
  </si>
  <si>
    <t>Totalentreprisekonkurranse</t>
  </si>
  <si>
    <t>2012-06-15T12:49:00+02:00</t>
  </si>
  <si>
    <t>Åpen anbudskonkurranse</t>
  </si>
  <si>
    <t>2012-06-22T09:14:00+02:00</t>
  </si>
  <si>
    <t>Åpen idekonkurranse *</t>
  </si>
  <si>
    <t>2012-06-04T13:42:00+02:00</t>
  </si>
  <si>
    <t>Åpen plan og designkonkurranse</t>
  </si>
  <si>
    <t>2012-06-04T13:39:00+02:00</t>
  </si>
  <si>
    <t>Åpen prosjektkonkurranse</t>
  </si>
  <si>
    <t>2012-06-04T13:37:00+02:00</t>
  </si>
  <si>
    <t>Delte entrepriser</t>
  </si>
  <si>
    <t>2012-06-22T09:42:33+02:00</t>
  </si>
  <si>
    <t>Hoved-/generalentreprise</t>
  </si>
  <si>
    <t>2012-06-22T09:28:00+02:00</t>
  </si>
  <si>
    <t>Levetids-/samspillsentreprise</t>
  </si>
  <si>
    <t>2012-06-22T09:32:00+02:00</t>
  </si>
  <si>
    <t>Offentlig Privat Samarbeid (OPS)</t>
  </si>
  <si>
    <t>2012-06-04T13:49:00+02:00</t>
  </si>
  <si>
    <t>Selvbygger</t>
  </si>
  <si>
    <t>2012-06-04T13:51:00+02:00</t>
  </si>
  <si>
    <t>Totalentreprise</t>
  </si>
  <si>
    <t>2011-12-09T10:03:00+01:00</t>
  </si>
  <si>
    <t>BREEAM Excellent</t>
  </si>
  <si>
    <t>2012-06-04T13:56:00+02:00</t>
  </si>
  <si>
    <t>BREEAM Outstanding</t>
  </si>
  <si>
    <t>2012-06-04T13:57:00+02:00</t>
  </si>
  <si>
    <t>BREEAM Very Good</t>
  </si>
  <si>
    <t>2012-06-14T15:36:08+02:00</t>
  </si>
  <si>
    <t>Lavenergibygg (NS3701)</t>
  </si>
  <si>
    <t>2012-10-04T13:17:00+02:00</t>
  </si>
  <si>
    <t>Lavenergihus klasse 1 (NS3700)</t>
  </si>
  <si>
    <t>2012-06-14T17:25:00+02:00</t>
  </si>
  <si>
    <t>Lavenergihus klasse 2 (NS3700)</t>
  </si>
  <si>
    <t>2012-06-14T17:26:00+02:00</t>
  </si>
  <si>
    <t>Passivhusstandard (NS3700/3701)</t>
  </si>
  <si>
    <t>2011-11-04T14:27:00+01:00</t>
  </si>
  <si>
    <t>2011-11-16T16:11:00+01:00</t>
  </si>
  <si>
    <t>2011-11-03T15:55:00+01:00</t>
  </si>
  <si>
    <t>2011-11-04T14:26:00+01:00</t>
  </si>
  <si>
    <t>Fredet / vernet</t>
  </si>
  <si>
    <t>2012-08-24T15:33:00+02:00</t>
  </si>
  <si>
    <t>Ideprosjekt</t>
  </si>
  <si>
    <t>2011-11-16T16:12:00+01:00</t>
  </si>
  <si>
    <t>2011-11-16T16:14:00+01:00</t>
  </si>
  <si>
    <t>Agder Wood</t>
  </si>
  <si>
    <t>2012-10-04T13:59:00+02:00</t>
  </si>
  <si>
    <t>BREEAM-NOR piloter</t>
  </si>
  <si>
    <t>2012-06-04T15:05:00+02:00</t>
  </si>
  <si>
    <t>Framtidens bygder</t>
  </si>
  <si>
    <t>2012-10-04T13:44:00+02:00</t>
  </si>
  <si>
    <t>Framtidens Bygg</t>
  </si>
  <si>
    <t>2011-11-16T21:28:00+01:00</t>
  </si>
  <si>
    <t>FutureBuilt</t>
  </si>
  <si>
    <t>2013-04-08T16:33:32+02:00</t>
  </si>
  <si>
    <t>Miljøverndepartementets pilotprogram for miljøvennlig byutvikling</t>
  </si>
  <si>
    <t>2012-12-14T17:01:58+01:00</t>
  </si>
  <si>
    <t>Norwegian Wood</t>
  </si>
  <si>
    <t>2013-02-02T20:12:34+01:00</t>
  </si>
  <si>
    <t>Powerhouse</t>
  </si>
  <si>
    <t>2012-10-04T13:45:00+02:00</t>
  </si>
  <si>
    <t>Tid for Tre - Bergen</t>
  </si>
  <si>
    <t>2012-06-04T15:06:00+02:00</t>
  </si>
  <si>
    <t>Trebyen Trondheim</t>
  </si>
  <si>
    <t>2012-02-03T12:55:00+01:00</t>
  </si>
  <si>
    <t>ZEB</t>
  </si>
  <si>
    <t>2012-10-04T13:43:00+02:00</t>
  </si>
  <si>
    <t>Miljøvennlige Trebruer for framtiden</t>
  </si>
  <si>
    <t>2012-06-04T15:13:00+02:00</t>
  </si>
  <si>
    <t>Miljøvennlige Trefasader</t>
  </si>
  <si>
    <t>2012-06-04T15:12:00+02:00</t>
  </si>
  <si>
    <t>Northpass</t>
  </si>
  <si>
    <t>2012-06-04T15:10:00+02:00</t>
  </si>
  <si>
    <t>REBO</t>
  </si>
  <si>
    <t>2011-11-04T12:51:00+01:00</t>
  </si>
  <si>
    <t>Renergi/Renergix (forskningsrådet)</t>
  </si>
  <si>
    <t>2012-10-04T14:33:00+02:00</t>
  </si>
  <si>
    <t>TES EnergyFacade</t>
  </si>
  <si>
    <t>ØkoBygg-programmet</t>
  </si>
  <si>
    <t>2012-11-11T16:20:00+01:00</t>
  </si>
  <si>
    <t>2012-05-24T12:55:00+02:00</t>
  </si>
  <si>
    <t>2012-05-30T22:17:27+02:00</t>
  </si>
  <si>
    <t>2012-05-30T22:12:00+02:00</t>
  </si>
  <si>
    <t>2012-05-30T18:01:00+02:00</t>
  </si>
  <si>
    <t>Finans Norge</t>
  </si>
  <si>
    <t>2013-03-22T12:23:04+01:00</t>
  </si>
  <si>
    <t>Framtidens Byer</t>
  </si>
  <si>
    <t>2012-10-16T20:55:00+02:00</t>
  </si>
  <si>
    <t>Framtidens bygg</t>
  </si>
  <si>
    <t>2012-11-13T20:58:00+01:00</t>
  </si>
  <si>
    <t>2012-05-30T22:13:00+02:00</t>
  </si>
  <si>
    <t>2012-05-30T09:27:00+02:00</t>
  </si>
  <si>
    <t>Husbanken</t>
  </si>
  <si>
    <t>2012-05-30T23:30:13+02:00</t>
  </si>
  <si>
    <t>Kommunal- og regionaldepartementet</t>
  </si>
  <si>
    <t>2012-09-06T15:53:00+02:00</t>
  </si>
  <si>
    <t>2012-05-30T22:14:00+02:00</t>
  </si>
  <si>
    <t>KS</t>
  </si>
  <si>
    <t>2012-09-06T15:56:00+02:00</t>
  </si>
  <si>
    <t>Miljøverndepartementet</t>
  </si>
  <si>
    <t>2012-11-12T21:05:03+01:00</t>
  </si>
  <si>
    <t>NHO</t>
  </si>
  <si>
    <t>2012-09-06T15:54:00+02:00</t>
  </si>
  <si>
    <t>Norske Arkitekters Landsforbund</t>
  </si>
  <si>
    <t>2013-04-24T09:44:38+02:00</t>
  </si>
  <si>
    <t>Olje- og energidepartementet</t>
  </si>
  <si>
    <t>2012-05-30T23:10:51+02:00</t>
  </si>
  <si>
    <t>Porsgrunn og Skien</t>
  </si>
  <si>
    <t>2012-06-14T18:31:00+02:00</t>
  </si>
  <si>
    <t>Samferdselsdepartementet</t>
  </si>
  <si>
    <t>2012-09-06T15:48:00+02:00</t>
  </si>
  <si>
    <t>Treteknisk Institutt</t>
  </si>
  <si>
    <t>2013-03-22T13:44:00+01:00</t>
  </si>
  <si>
    <t>2012-05-30T22:15:00+02:00</t>
  </si>
  <si>
    <t>Virke</t>
  </si>
  <si>
    <t>Husbanken_barnehager</t>
  </si>
  <si>
    <t>2010-12-21T15:25:00+01:00</t>
  </si>
  <si>
    <t>Husbanken_boligsosialt</t>
  </si>
  <si>
    <t>2010-12-16T13:41:00+01:00</t>
  </si>
  <si>
    <t>Husbanken_byggeskikk</t>
  </si>
  <si>
    <t>2011-01-13T12:25:00+01:00</t>
  </si>
  <si>
    <t>Husbanken_energi_miljø</t>
  </si>
  <si>
    <t>2011-09-12T10:55:34+02:00</t>
  </si>
  <si>
    <t>Husbanken_klimatilpasning</t>
  </si>
  <si>
    <t>2012-04-23T17:02:00+02:00</t>
  </si>
  <si>
    <t>Husbanken_områdeløft</t>
  </si>
  <si>
    <t>2011-01-18T15:05:51+01:00</t>
  </si>
  <si>
    <t>Husbanken_omsorgsboliger_sykehjem</t>
  </si>
  <si>
    <t>2010-12-16T13:46:07+01:00</t>
  </si>
  <si>
    <t>Husbanken_stedsutvikling</t>
  </si>
  <si>
    <t>2010-12-31T12:17:00+01:00</t>
  </si>
  <si>
    <t>Husbanken_universell_utforming</t>
  </si>
  <si>
    <t>2010-12-23T10:06:00+01:00</t>
  </si>
  <si>
    <t>2012-05-30T17:51:00+02:00</t>
  </si>
  <si>
    <t>Bedre bymiljø</t>
  </si>
  <si>
    <t>2012-05-30T23:44:37+02:00</t>
  </si>
  <si>
    <t>Energi i bygg</t>
  </si>
  <si>
    <t>2012-05-30T23:42:00+02:00</t>
  </si>
  <si>
    <t>Forbruk og avfall</t>
  </si>
  <si>
    <t>2012-05-30T23:43:00+02:00</t>
  </si>
  <si>
    <t>2012-05-30T23:44:16+02:00</t>
  </si>
  <si>
    <t>2012-06-12T23:00:00+02:00</t>
  </si>
  <si>
    <t>2012-06-13T00:10:00+02:00</t>
  </si>
  <si>
    <t>2012-06-12T23:46:00+02:00</t>
  </si>
  <si>
    <t>Andebu</t>
  </si>
  <si>
    <t>2012-06-12T23:26:00+02:00</t>
  </si>
  <si>
    <t>2012-06-13T00:11:00+02:00</t>
  </si>
  <si>
    <t>2012-06-12T23:34:00+02:00</t>
  </si>
  <si>
    <t>2012-06-12T22:52:00+02:00</t>
  </si>
  <si>
    <t>2011-04-06T10:53:00+02:00</t>
  </si>
  <si>
    <t>2012-06-12T23:06:00+02:00</t>
  </si>
  <si>
    <t>2012-06-12T22:36:00+02:00</t>
  </si>
  <si>
    <t>2012-06-12T23:29:00+02:00</t>
  </si>
  <si>
    <t>2012-05-31T21:45:00+02:00</t>
  </si>
  <si>
    <t>2012-06-13T00:00:00+02:00</t>
  </si>
  <si>
    <t>2012-06-12T23:12:00+02:00</t>
  </si>
  <si>
    <t>2012-06-13T00:06:00+02:00</t>
  </si>
  <si>
    <t>2012-06-12T23:09:00+02:00</t>
  </si>
  <si>
    <t>2012-05-31T21:22:00+02:00</t>
  </si>
  <si>
    <t>2012-06-12T22:53:00+02:00</t>
  </si>
  <si>
    <t>2012-06-13T00:12:00+02:00</t>
  </si>
  <si>
    <t>2012-06-12T23:10:00+02:00</t>
  </si>
  <si>
    <t>2012-06-12T23:39:00+02:00</t>
  </si>
  <si>
    <t>2010-12-06T16:33:43+01:00</t>
  </si>
  <si>
    <t>2012-06-12T23:13:00+02:00</t>
  </si>
  <si>
    <t>2012-06-13T00:13:00+02:00</t>
  </si>
  <si>
    <t>2012-06-12T22:37:00+02:00</t>
  </si>
  <si>
    <t>2012-05-31T21:46:00+02:00</t>
  </si>
  <si>
    <t>2012-06-12T23:47:00+02:00</t>
  </si>
  <si>
    <t>2012-06-12T23:30:00+02:00</t>
  </si>
  <si>
    <t>2012-05-31T21:23:00+02:00</t>
  </si>
  <si>
    <t>2012-05-31T21:47:00+02:00</t>
  </si>
  <si>
    <t>2012-06-12T23:53:00+02:00</t>
  </si>
  <si>
    <t>2012-06-12T23:17:00+02:00</t>
  </si>
  <si>
    <t>2012-08-21T10:45:00+02:00</t>
  </si>
  <si>
    <t>2011-01-12T19:26:00+01:00</t>
  </si>
  <si>
    <t>2012-06-12T23:54:00+02:00</t>
  </si>
  <si>
    <t>2012-06-12T22:38:00+02:00</t>
  </si>
  <si>
    <t>2012-06-12T22:54:00+02:00</t>
  </si>
  <si>
    <t>2012-06-13T00:14:00+02:00</t>
  </si>
  <si>
    <t>2012-06-12T23:40:00+02:00</t>
  </si>
  <si>
    <t>2012-06-13T00:01:00+02:00</t>
  </si>
  <si>
    <t>2012-05-31T23:31:00+02:00</t>
  </si>
  <si>
    <t>Grong</t>
  </si>
  <si>
    <t>2012-06-12T22:55:00+02:00</t>
  </si>
  <si>
    <t>Halden</t>
  </si>
  <si>
    <t>2011-11-08T13:51:00+01:00</t>
  </si>
  <si>
    <t>2012-06-12T22:39:00+02:00</t>
  </si>
  <si>
    <t>2012-01-26T10:49:35+01:00</t>
  </si>
  <si>
    <t>2012-06-13T00:07:00+02:00</t>
  </si>
  <si>
    <t>2012-06-13T00:15:07+02:00</t>
  </si>
  <si>
    <t>2012-06-13T00:15:00+02:00</t>
  </si>
  <si>
    <t>2012-06-12T23:01:00+02:00</t>
  </si>
  <si>
    <t>2012-05-31T21:24:00+02:00</t>
  </si>
  <si>
    <t>2012-06-12T23:18:00+02:00</t>
  </si>
  <si>
    <t>2012-06-12T23:35:00+02:00</t>
  </si>
  <si>
    <t>2012-06-12T23:11:00+02:00</t>
  </si>
  <si>
    <t>2012-06-12T22:56:00+02:00</t>
  </si>
  <si>
    <t>2011-11-15T14:59:00+01:00</t>
  </si>
  <si>
    <t>2010-12-14T09:40:00+01:00</t>
  </si>
  <si>
    <t>2012-06-12T23:14:00+02:00</t>
  </si>
  <si>
    <t>2012-06-12T22:40:00+02:00</t>
  </si>
  <si>
    <t>2012-01-26T10:49:16+01:00</t>
  </si>
  <si>
    <t>2012-06-12T23:07:00+02:00</t>
  </si>
  <si>
    <t>2012-05-31T21:48:00+02:00</t>
  </si>
  <si>
    <t>2012-05-31T21:25:00+02:00</t>
  </si>
  <si>
    <t>2012-06-13T00:02:00+02:00</t>
  </si>
  <si>
    <t>2012-06-12T23:27:00+02:00</t>
  </si>
  <si>
    <t>2012-06-12T23:26:08+02:00</t>
  </si>
  <si>
    <t>2012-06-13T00:08:00+02:00</t>
  </si>
  <si>
    <t>2012-06-12T23:55:00+02:00</t>
  </si>
  <si>
    <t>2012-06-12T23:41:13+02:00</t>
  </si>
  <si>
    <t>2012-06-13T00:03:00+02:00</t>
  </si>
  <si>
    <t>2012-06-12T22:57:00+02:00</t>
  </si>
  <si>
    <t>2012-06-13T00:16:00+02:00</t>
  </si>
  <si>
    <t>2012-05-31T23:30:00+02:00</t>
  </si>
  <si>
    <t>2012-06-12T23:08:00+02:00</t>
  </si>
  <si>
    <t>2012-06-12T23:02:00+02:00</t>
  </si>
  <si>
    <t>2012-01-26T10:51:09+01:00</t>
  </si>
  <si>
    <t>2012-05-31T21:49:00+02:00</t>
  </si>
  <si>
    <t>2012-06-12T23:19:00+02:00</t>
  </si>
  <si>
    <t>2012-06-12T22:41:00+02:00</t>
  </si>
  <si>
    <t>2012-06-12T23:56:00+02:00</t>
  </si>
  <si>
    <t>2012-06-12T23:31:08+02:00</t>
  </si>
  <si>
    <t>2012-06-12T23:31:00+02:00</t>
  </si>
  <si>
    <t>2012-06-12T23:20:00+02:00</t>
  </si>
  <si>
    <t>2011-03-05T08:39:36+01:00</t>
  </si>
  <si>
    <t>2012-06-12T23:15:00+02:00</t>
  </si>
  <si>
    <t>2012-06-12T23:41:00+02:00</t>
  </si>
  <si>
    <t>2012-06-13T00:09:00+02:00</t>
  </si>
  <si>
    <t>2012-06-12T23:48:00+02:00</t>
  </si>
  <si>
    <t>2012-06-12T23:03:06+02:00</t>
  </si>
  <si>
    <t>2012-06-12T23:03:00+02:00</t>
  </si>
  <si>
    <t>2011-03-06T17:53:29+01:00</t>
  </si>
  <si>
    <t>2012-05-31T21:50:00+02:00</t>
  </si>
  <si>
    <t>2012-06-12T23:36:09+02:00</t>
  </si>
  <si>
    <t>2012-06-13T00:17:00+02:00</t>
  </si>
  <si>
    <t>2012-06-12T22:42:00+02:00</t>
  </si>
  <si>
    <t>2012-06-12T23:42:00+02:00</t>
  </si>
  <si>
    <t>2012-06-12T23:49:00+02:00</t>
  </si>
  <si>
    <t>2012-06-12T23:04:00+02:00</t>
  </si>
  <si>
    <t>2012-06-12T23:36:00+02:00</t>
  </si>
  <si>
    <t>2012-06-12T23:32:00+02:00</t>
  </si>
  <si>
    <t>2012-06-12T23:21:00+02:00</t>
  </si>
  <si>
    <t>2012-06-12T23:57:00+02:00</t>
  </si>
  <si>
    <t>2012-06-12T22:43:00+02:00</t>
  </si>
  <si>
    <t>2012-06-12T23:37:00+02:00</t>
  </si>
  <si>
    <t>2012-05-31T21:26:00+02:00</t>
  </si>
  <si>
    <t>2012-06-12T22:58:00+02:00</t>
  </si>
  <si>
    <t>2012-06-13T00:04:00+02:00</t>
  </si>
  <si>
    <t>2012-06-12T23:05:00+02:00</t>
  </si>
  <si>
    <t>2011-02-10T21:04:23+01:00</t>
  </si>
  <si>
    <t>2012-06-13T00:18:00+02:00</t>
  </si>
  <si>
    <t>2012-06-12T22:44:00+02:00</t>
  </si>
  <si>
    <t>2012-05-31T21:41:00+02:00</t>
  </si>
  <si>
    <t>2012-05-31T21:51:00+02:00</t>
  </si>
  <si>
    <t>2012-06-12T22:45:00+02:00</t>
  </si>
  <si>
    <t>2012-05-31T21:45:05+02:00</t>
  </si>
  <si>
    <t>2012-06-12T23:28:00+02:00</t>
  </si>
  <si>
    <t>2012-06-12T23:43:00+02:00</t>
  </si>
  <si>
    <t>2012-06-13T00:05:00+02:00</t>
  </si>
  <si>
    <t>2012-05-31T21:43:00+02:00</t>
  </si>
  <si>
    <t>2012-06-12T23:16:00+02:00</t>
  </si>
  <si>
    <t>2012-06-12T23:50:00+02:00</t>
  </si>
  <si>
    <t>2012-06-13T00:19:00+02:00</t>
  </si>
  <si>
    <t>2012-05-31T21:32:00+02:00</t>
  </si>
  <si>
    <t>2011-11-08T11:07:00+01:00</t>
  </si>
  <si>
    <t>2012-05-31T21:52:33+02:00</t>
  </si>
  <si>
    <t>2012-05-31T21:52:00+02:00</t>
  </si>
  <si>
    <t>2012-06-12T22:47:00+02:00</t>
  </si>
  <si>
    <t>2012-01-26T10:51:42+01:00</t>
  </si>
  <si>
    <t>2012-06-12T23:58:00+02:00</t>
  </si>
  <si>
    <t>2012-06-12T23:44:00+02:00</t>
  </si>
  <si>
    <t>2012-06-13T00:20:00+02:00</t>
  </si>
  <si>
    <t>2011-12-09T10:53:00+01:00</t>
  </si>
  <si>
    <t>2012-06-12T22:59:00+02:00</t>
  </si>
  <si>
    <t>2012-06-12T23:38:14+02:00</t>
  </si>
  <si>
    <t>2012-06-12T22:48:00+02:00</t>
  </si>
  <si>
    <t>2012-06-12T23:22:00+02:00</t>
  </si>
  <si>
    <t>2012-06-12T23:45:00+02:00</t>
  </si>
  <si>
    <t>2012-05-31T21:53:00+02:00</t>
  </si>
  <si>
    <t>2011-12-09T09:37:00+01:00</t>
  </si>
  <si>
    <t>2012-06-12T23:24:05+02:00</t>
  </si>
  <si>
    <t>2012-06-12T23:51:00+02:00</t>
  </si>
  <si>
    <t>2011-03-06T17:53:50+01:00</t>
  </si>
  <si>
    <t>2012-05-31T21:33:00+02:00</t>
  </si>
  <si>
    <t>By-/ stedsutvikling</t>
  </si>
  <si>
    <t>2012-12-11T17:01:19+01:00</t>
  </si>
  <si>
    <t>Industridesign</t>
  </si>
  <si>
    <t>2012-06-14T15:25:00+02:00</t>
  </si>
  <si>
    <t>Interiør</t>
  </si>
  <si>
    <t>2012-12-11T17:39:02+01:00</t>
  </si>
  <si>
    <t>Landskap og blå-grønn struktur</t>
  </si>
  <si>
    <t>2012-12-11T17:00:39+01:00</t>
  </si>
  <si>
    <t>Nybygg / Tilbygg</t>
  </si>
  <si>
    <t>2012-12-11T17:38:36+01:00</t>
  </si>
  <si>
    <t>Ombruk / Rehabilitering / Transformasjon</t>
  </si>
  <si>
    <t>2012-06-14T14:30:00+02:00</t>
  </si>
  <si>
    <t>Regionalutvikling</t>
  </si>
  <si>
    <t>2012-06-14T14:31:00+02:00</t>
  </si>
  <si>
    <t>Regulering</t>
  </si>
  <si>
    <t>2012-12-11T17:00:52+01:00</t>
  </si>
  <si>
    <t>Transport og infrastruktur</t>
  </si>
  <si>
    <t>2011-11-16T19:53:00+01:00</t>
  </si>
  <si>
    <t>MeasureName</t>
  </si>
  <si>
    <t>Klimatilpasning / absorbsjon</t>
  </si>
  <si>
    <t>2012-07-13T11:30:00+02:00</t>
  </si>
  <si>
    <t>Energi / arealeffektivitet</t>
  </si>
  <si>
    <t>2010-12-17T10:18:57+01:00</t>
  </si>
  <si>
    <t>Sosiale aspekter / attraktive arenaer og møtesteder</t>
  </si>
  <si>
    <t>2010-12-17T10:18:16+01:00</t>
  </si>
  <si>
    <t>Energi / automatisering</t>
  </si>
  <si>
    <t>Godt innemiljø / balansert ventilasjon</t>
  </si>
  <si>
    <t>Areal og transport / bildeling</t>
  </si>
  <si>
    <t>2012-09-20T15:59:36+02:00</t>
  </si>
  <si>
    <t>Energi / bioenergi</t>
  </si>
  <si>
    <t>Energi / biogass</t>
  </si>
  <si>
    <t>2012-09-17T19:00:00+02:00</t>
  </si>
  <si>
    <t>Vann og avløp / biologisk avløpssystem</t>
  </si>
  <si>
    <t>2012-07-13T09:38:00+02:00</t>
  </si>
  <si>
    <t>Grønne arealer / biologisk mangfold</t>
  </si>
  <si>
    <t>Sosiale aspekter / bokvalitet</t>
  </si>
  <si>
    <t>2012-07-13T11:08:00+02:00</t>
  </si>
  <si>
    <t>Sosiale aspekter / boligsosial planlegging</t>
  </si>
  <si>
    <t>Sosiale aspekter / boligsosial samarbeid</t>
  </si>
  <si>
    <t>Sosiale aspekter / bomiljø</t>
  </si>
  <si>
    <t>2012-07-13T11:09:00+02:00</t>
  </si>
  <si>
    <t>Prosess/metode / brukermedvirkning</t>
  </si>
  <si>
    <t>Prosess/metode / bygningsinformasjonsmodell (BIM)</t>
  </si>
  <si>
    <t>2012-07-13T10:46:58+02:00</t>
  </si>
  <si>
    <t>Godt innemiljø / bygningsintegrert ventilasjon</t>
  </si>
  <si>
    <t>Miljøvennlig by- og tettstedsutvikling / bymiljø</t>
  </si>
  <si>
    <t>2012-07-13T10:40:00+02:00</t>
  </si>
  <si>
    <t>Miljøvennlig by- og tettstedsutvikling / byomforming</t>
  </si>
  <si>
    <t>Energi / dagslys</t>
  </si>
  <si>
    <t>2011-11-23T17:08:21+01:00</t>
  </si>
  <si>
    <t>Godt innemiljø / diffusjonsåpen konstruksjon</t>
  </si>
  <si>
    <t>2010-12-17T10:19:17+01:00</t>
  </si>
  <si>
    <t>Energi / ekstra isolering</t>
  </si>
  <si>
    <t>Prosess/metode / energi-/klimaplan</t>
  </si>
  <si>
    <t>2012-07-13T10:54:00+02:00</t>
  </si>
  <si>
    <t>Energi / energibesparende utstyr</t>
  </si>
  <si>
    <t>Energi / energieffektivitet</t>
  </si>
  <si>
    <t>Prosess/metode / energiregnskap</t>
  </si>
  <si>
    <t>2012-07-13T11:03:00+02:00</t>
  </si>
  <si>
    <t>Avfall og kildesortering / farlig avfall</t>
  </si>
  <si>
    <t>2012-07-13T09:44:00+02:00</t>
  </si>
  <si>
    <t>Sosiale aspekter / felles løsninger</t>
  </si>
  <si>
    <t>Energi / fjernvarme</t>
  </si>
  <si>
    <t>Klimatilpasning / flomveier</t>
  </si>
  <si>
    <t>2012-07-13T11:23:00+02:00</t>
  </si>
  <si>
    <t>Klimatilpasning / fordrøyning</t>
  </si>
  <si>
    <t>2012-07-13T11:22:00+02:00</t>
  </si>
  <si>
    <t>Areal og transport / fortetting</t>
  </si>
  <si>
    <t>Avfall og kildesortering / forurenset grunn</t>
  </si>
  <si>
    <t>2012-07-13T09:45:00+02:00</t>
  </si>
  <si>
    <t>Universell utforming / fremkommelighet</t>
  </si>
  <si>
    <t>2011-11-23T17:36:00+01:00</t>
  </si>
  <si>
    <t>Godt innemiljø / fuktregulerende materialer</t>
  </si>
  <si>
    <t>2012-07-13T10:23:45+02:00</t>
  </si>
  <si>
    <t>Energi / geoenergi</t>
  </si>
  <si>
    <t>2013-02-08T17:28:28+01:00</t>
  </si>
  <si>
    <t>Avfall og kildesortering / gjenbruk av materialer</t>
  </si>
  <si>
    <t>2012-07-13T09:52:46+02:00</t>
  </si>
  <si>
    <t>Avfall og kildesortering / gjenvinning</t>
  </si>
  <si>
    <t>2012-07-13T09:47:00+02:00</t>
  </si>
  <si>
    <t>Klimatilpasning / grønne tak</t>
  </si>
  <si>
    <t>2012-07-13T11:21:14+02:00</t>
  </si>
  <si>
    <t>Grønne arealer / grønnstruktur</t>
  </si>
  <si>
    <t>Grønne arealer / grønt gårdsrom</t>
  </si>
  <si>
    <t>Klimatilpasning / havnivåtilpasning</t>
  </si>
  <si>
    <t>2012-07-13T11:25:00+02:00</t>
  </si>
  <si>
    <t>Godt innemiljø / hybrid ventilasjon</t>
  </si>
  <si>
    <t>Prosess/metode / indirekte utslipp</t>
  </si>
  <si>
    <t>2012-07-13T11:04:00+02:00</t>
  </si>
  <si>
    <t>Klimatilpasning / infiltrasjon</t>
  </si>
  <si>
    <t>2012-07-13T11:22:05+02:00</t>
  </si>
  <si>
    <t>Prosess/metode / integrert energidesign (IED)</t>
  </si>
  <si>
    <t>2012-07-13T10:44:00+02:00</t>
  </si>
  <si>
    <t>Energi / jordvarme</t>
  </si>
  <si>
    <t>Avfall og kildesortering / kildesortering</t>
  </si>
  <si>
    <t>2010-12-17T10:18:00+01:00</t>
  </si>
  <si>
    <t>Prosess/metode / klimafotavtrykk</t>
  </si>
  <si>
    <t>2012-07-13T11:04:12+02:00</t>
  </si>
  <si>
    <t>Prosess/metode / klimaregnskap</t>
  </si>
  <si>
    <t>Stedstilpasning / klimatilpasning</t>
  </si>
  <si>
    <t>Klimatilpasning / klimatilpasningsanalyse</t>
  </si>
  <si>
    <t>2012-07-13T11:28:00+02:00</t>
  </si>
  <si>
    <t>Klimatilpasning / klimatilpasningstiltak</t>
  </si>
  <si>
    <t>2012-07-13T11:29:14+02:00</t>
  </si>
  <si>
    <t>Areal og transport / kollektivtrafikk</t>
  </si>
  <si>
    <t>Prosess/metode / kommunal plan</t>
  </si>
  <si>
    <t>2012-07-13T10:55:00+02:00</t>
  </si>
  <si>
    <t>Avfall og kildesortering / kompostering</t>
  </si>
  <si>
    <t>Prosess/metode / kvalitetsprogram</t>
  </si>
  <si>
    <t>2012-07-13T10:45:00+02:00</t>
  </si>
  <si>
    <t>Stedstilpasning / landskapstilpasning</t>
  </si>
  <si>
    <t>Godt innemiljø / lavemitterende materialer</t>
  </si>
  <si>
    <t>2012-07-13T10:27:00+02:00</t>
  </si>
  <si>
    <t>Konstruksjoner og materialbruk / lokale materialer</t>
  </si>
  <si>
    <t>Universell utforming / luftkvalitet</t>
  </si>
  <si>
    <t>Universell utforming / lydforhold</t>
  </si>
  <si>
    <t>Godt innemiljø / mekanisk ventilasjon</t>
  </si>
  <si>
    <t>Prosess/metode / metodeutvikling</t>
  </si>
  <si>
    <t>2012-07-13T10:49:00+02:00</t>
  </si>
  <si>
    <t>Innkjøp og forbruk / miljøfyrtårn</t>
  </si>
  <si>
    <t>2012-07-13T10:38:00+02:00</t>
  </si>
  <si>
    <t>Areal og transport / miljøgate</t>
  </si>
  <si>
    <t>2012-07-13T00:44:00+02:00</t>
  </si>
  <si>
    <t>Prosess/metode / miljøkampanjer</t>
  </si>
  <si>
    <t>2012-07-13T10:53:00+02:00</t>
  </si>
  <si>
    <t>Prosess/metode / miljømarkering</t>
  </si>
  <si>
    <t>2012-07-13T10:52:06+02:00</t>
  </si>
  <si>
    <t>Prosess/metode / miljøoppfølgingsprogram</t>
  </si>
  <si>
    <t>Prosess/metode / miljøsertifiseringsarbeid</t>
  </si>
  <si>
    <t>Miljøvennlig by- og tettstedsutvikling / miljøsoner</t>
  </si>
  <si>
    <t>Areal og transport / miljøvennlig bystruktur</t>
  </si>
  <si>
    <t>Konstruksjoner og materialbruk / miljøvennlig overflatebehandling</t>
  </si>
  <si>
    <t>Avfall og kildesortering / miljøvennlig riving</t>
  </si>
  <si>
    <t>2012-07-13T09:56:00+02:00</t>
  </si>
  <si>
    <t>Miljøvennlig by- og tettstedsutvikling / miljøvennlige arbeidsreiser</t>
  </si>
  <si>
    <t>Prosess/metode / mobilisering</t>
  </si>
  <si>
    <t>2012-07-13T10:48:00+02:00</t>
  </si>
  <si>
    <t>Godt innemiljø / naturlig ventilasjon</t>
  </si>
  <si>
    <t>Konstruksjoner og materialbruk / naturnære materialer</t>
  </si>
  <si>
    <t>Prosess/metode / nudge</t>
  </si>
  <si>
    <t>2013-01-23T17:33:00+01:00</t>
  </si>
  <si>
    <t>Grønne arealer / nyttevekster</t>
  </si>
  <si>
    <t>Innkjøp og forbruk / offentlige innkjøp</t>
  </si>
  <si>
    <t>2012-07-13T10:37:00+02:00</t>
  </si>
  <si>
    <t>Avfall og kildesortering / ombruk av bygningsmasse</t>
  </si>
  <si>
    <t>Vann og avløp / oppsamling av regnvann</t>
  </si>
  <si>
    <t>Universell utforming / orienterbarhet</t>
  </si>
  <si>
    <t>Klimatilpasning / overflatedekker</t>
  </si>
  <si>
    <t>Universell utforming / overflater</t>
  </si>
  <si>
    <t>Klimatilpasning / overflatevann</t>
  </si>
  <si>
    <t>Vann og avløp / overvannshåndtering</t>
  </si>
  <si>
    <t>2012-07-13T11:16:00+02:00</t>
  </si>
  <si>
    <t>Grønne arealer / park- og grøntareal</t>
  </si>
  <si>
    <t>Energi / passiv solvarme</t>
  </si>
  <si>
    <t>Klimatilpasning / permeable flater</t>
  </si>
  <si>
    <t>2012-07-13T11:29:00+02:00</t>
  </si>
  <si>
    <t>Avfall og kildesortering / prefabrikasjon</t>
  </si>
  <si>
    <t>2012-07-13T09:54:00+02:00</t>
  </si>
  <si>
    <t>Avfall og kildesortering / redesign</t>
  </si>
  <si>
    <t>2012-07-13T09:42:00+02:00</t>
  </si>
  <si>
    <t>Areal og transport / reduksjon av parkeringsdekning</t>
  </si>
  <si>
    <t>2012-07-13T00:46:00+02:00</t>
  </si>
  <si>
    <t>Areal og transport / reduksjon av teknisk infrastruktur</t>
  </si>
  <si>
    <t>Innkjøp og forbruk / redusere/endre forbruk</t>
  </si>
  <si>
    <t>Prosess/metode / regional plan</t>
  </si>
  <si>
    <t>2012-07-13T11:02:00+02:00</t>
  </si>
  <si>
    <t>Klimatilpasning / regnbed</t>
  </si>
  <si>
    <t>Vann og avløp / rehabilitering av vannmiljø</t>
  </si>
  <si>
    <t>Konstruksjoner og materialbruk / renholdsvennlige materialer</t>
  </si>
  <si>
    <t>Vann og avløp / rensing av gråvann</t>
  </si>
  <si>
    <t>Godt innemiljø / rent bygg</t>
  </si>
  <si>
    <t>Klimatilpasning / risiko- og sårbarhetsanalyser</t>
  </si>
  <si>
    <t>Areal og transport / samordnet transportplanlegging</t>
  </si>
  <si>
    <t>2012-07-13T10:42:00+02:00</t>
  </si>
  <si>
    <t>Miljøvennlig by- og tettstedsutvikling / sentrumsutvikling</t>
  </si>
  <si>
    <t>Klimatilpasning / skredforebygging</t>
  </si>
  <si>
    <t>2012-07-13T11:23:59+02:00</t>
  </si>
  <si>
    <t>Konstruksjoner og materialbruk / slitesterke materialer</t>
  </si>
  <si>
    <t>Energi / solavskjerming</t>
  </si>
  <si>
    <t>2011-08-17T14:20:00+02:00</t>
  </si>
  <si>
    <t>Energi / solcelle</t>
  </si>
  <si>
    <t>Energi / solfanger</t>
  </si>
  <si>
    <t>Energi / solrom</t>
  </si>
  <si>
    <t>Energi / sonedeling</t>
  </si>
  <si>
    <t>Prosess/metode / stedsanalyse</t>
  </si>
  <si>
    <t>2012-07-13T10:48:29+02:00</t>
  </si>
  <si>
    <t>Areal og transport / styrking av sentrum</t>
  </si>
  <si>
    <t>Areal og transport / støyskjerming</t>
  </si>
  <si>
    <t>Energi / synlig energistyring</t>
  </si>
  <si>
    <t>2012-06-14T20:18:00+02:00</t>
  </si>
  <si>
    <t>Energi / termisk masse</t>
  </si>
  <si>
    <t>Stedstilpasning / terrengtilpassing</t>
  </si>
  <si>
    <t>Energi / tett bygningskropp</t>
  </si>
  <si>
    <t>Areal og transport / tilrettelegging for syklister/fotgjengere</t>
  </si>
  <si>
    <t>Universell utforming / utstyr og bygningsdeler</t>
  </si>
  <si>
    <t>Areal og transport / utvikling av knutepunkter</t>
  </si>
  <si>
    <t>Vann og avløp / vannbesparende utstyr</t>
  </si>
  <si>
    <t>Energi / vannbåren oppvarming</t>
  </si>
  <si>
    <t>Vann og avløp / vannrensing</t>
  </si>
  <si>
    <t>Energi / varmegjenvinning</t>
  </si>
  <si>
    <t>Energi / varmepumpe</t>
  </si>
  <si>
    <t>Stedstilpasning / vegetasjonstilpasning</t>
  </si>
  <si>
    <t>2012-07-13T11:11:00+02:00</t>
  </si>
  <si>
    <t>Klimatilpasning / vindsikring</t>
  </si>
  <si>
    <t>2012-07-13T11:27:34+02:00</t>
  </si>
  <si>
    <t>Avfall og kildesortering / våtorganisk avfall</t>
  </si>
  <si>
    <t>2012-09-17T19:01:00+02:00</t>
  </si>
  <si>
    <t>Type_Id</t>
  </si>
  <si>
    <t>Type_Name</t>
  </si>
  <si>
    <t>Type_MeasureCount</t>
  </si>
  <si>
    <t>Measure_Id</t>
  </si>
  <si>
    <t>Measure_Name</t>
  </si>
  <si>
    <t>Measure_MeasureName</t>
  </si>
  <si>
    <t xml:space="preserve">Sosiale aspekter / attraktive arenaer og møtesteder </t>
  </si>
  <si>
    <t xml:space="preserve">Innkjøp og forbruk / redusere/endre forbruk </t>
  </si>
  <si>
    <t>2011-11-24T16:41:00+01:00</t>
  </si>
  <si>
    <t>Boligområder/ boliganlegg</t>
  </si>
  <si>
    <t>2011-11-16T19:03:00+01:00</t>
  </si>
  <si>
    <t>Bruer *</t>
  </si>
  <si>
    <t>2012-06-14T10:39:00+02:00</t>
  </si>
  <si>
    <t>Byrom, gater, torg</t>
  </si>
  <si>
    <t>2012-06-13T17:34:00+02:00</t>
  </si>
  <si>
    <t>Enebolig/ rekkehus o.l.</t>
  </si>
  <si>
    <t>2012-06-13T17:32:40+02:00</t>
  </si>
  <si>
    <t>Forretning / handel</t>
  </si>
  <si>
    <t>2012-06-14T14:54:00+02:00</t>
  </si>
  <si>
    <t>Friluftsområder, turvei, vannkant</t>
  </si>
  <si>
    <t>2012-06-14T13:26:57+02:00</t>
  </si>
  <si>
    <t>Hager, gårdsrom, uteanlegg på tak</t>
  </si>
  <si>
    <t>2012-06-13T17:35:00+02:00</t>
  </si>
  <si>
    <t>Helsebygg *</t>
  </si>
  <si>
    <t>2012-06-14T14:44:58+02:00</t>
  </si>
  <si>
    <t>2011-12-14T13:03:00+01:00</t>
  </si>
  <si>
    <t>Hytte/Fritidsbolig</t>
  </si>
  <si>
    <t>2012-06-14T11:00:36+02:00</t>
  </si>
  <si>
    <t>Idrettsanlegg- / bygg</t>
  </si>
  <si>
    <t>2012-06-14T14:51:00+02:00</t>
  </si>
  <si>
    <t>Industribygg</t>
  </si>
  <si>
    <t>2008-12-10T12:23:00+01:00</t>
  </si>
  <si>
    <t>Kirke/krematorium</t>
  </si>
  <si>
    <t>2008-07-17T14:04:00+02:00</t>
  </si>
  <si>
    <t>Kontorbygg</t>
  </si>
  <si>
    <t>2011-11-16T17:59:00+01:00</t>
  </si>
  <si>
    <t>Kulturbygg/ -anlegg</t>
  </si>
  <si>
    <t>2011-11-24T16:48:00+01:00</t>
  </si>
  <si>
    <t>Laboratoriebygg</t>
  </si>
  <si>
    <t>2012-06-14T10:40:01+02:00</t>
  </si>
  <si>
    <t>Messer / konferansesenter</t>
  </si>
  <si>
    <t>2012-06-14T15:09:30+02:00</t>
  </si>
  <si>
    <t>Museum / Utstillinger</t>
  </si>
  <si>
    <t>2012-06-14T13:26:00+02:00</t>
  </si>
  <si>
    <t>Omsorgsboliger</t>
  </si>
  <si>
    <t>2012-06-13T17:31:23+02:00</t>
  </si>
  <si>
    <t>Overordnede planer *</t>
  </si>
  <si>
    <t>2012-06-14T10:40:00+02:00</t>
  </si>
  <si>
    <t>Parker og grøntanlegg</t>
  </si>
  <si>
    <t>2012-06-14T10:43:59+02:00</t>
  </si>
  <si>
    <t>Reguleringsplaner *</t>
  </si>
  <si>
    <t>2012-06-14T10:38:00+02:00</t>
  </si>
  <si>
    <t>Rehabilitering *</t>
  </si>
  <si>
    <t>2012-06-14T10:32:00+02:00</t>
  </si>
  <si>
    <t>Skole/undervisningsbygg</t>
  </si>
  <si>
    <t>2011-11-16T19:42:00+01:00</t>
  </si>
  <si>
    <t>Svømmehall / Badeanlegg</t>
  </si>
  <si>
    <t>2011-11-24T16:47:00+01:00</t>
  </si>
  <si>
    <t>2009-03-26T16:12:00+01:00</t>
  </si>
  <si>
    <t>Universitet/ høyskolebygg</t>
  </si>
  <si>
    <t>2012-06-14T11:27:07+02:00</t>
  </si>
  <si>
    <t>Velferdsbygg *</t>
  </si>
  <si>
    <t>2012-06-14T14:39:00+02:00</t>
  </si>
  <si>
    <t xml:space="preserve">Obligatoriske kriterier </t>
  </si>
  <si>
    <t>Ja</t>
  </si>
  <si>
    <t xml:space="preserve">Sertifisering </t>
  </si>
  <si>
    <t xml:space="preserve">Redegjør for type sertifisering (BREEAM, Svanen eller annet) </t>
  </si>
  <si>
    <t>Sertifisering</t>
  </si>
  <si>
    <t>METODE CO2</t>
  </si>
  <si>
    <t>VERKTØY CO2</t>
  </si>
  <si>
    <t xml:space="preserve">FutureBuilt ZERO (gjelder prosjekter i FB 2.0) </t>
  </si>
  <si>
    <t>OneClick LCA</t>
  </si>
  <si>
    <t xml:space="preserve">NS 3720 (gjelder prosjekter i FB 1.0) </t>
  </si>
  <si>
    <t xml:space="preserve">Byggeledelse (BL) </t>
  </si>
  <si>
    <t>Er kriterier for SOSIAL BÆREKRAFT oppfylt / under oppfylling?</t>
  </si>
  <si>
    <t>Er kriterier for BYMILJØ OG ARKITEKTUR oppfylt / under oppfylling?</t>
  </si>
  <si>
    <t>Er kriterier for NÆR-NULLENERGI oppfylt / under oppfylling?</t>
  </si>
  <si>
    <t>Er kriterier for FUTUREBUILT-ZERO  oppfylt / under oppfylling?</t>
  </si>
  <si>
    <t>Er kriterier for FUTUREBUILT-ZERO-T  oppfylt / under oppfylling?</t>
  </si>
  <si>
    <t>Oppgi prosjektets tilvalgs kriterier  (velg 2-3 kriterier fra nedtrekksmenyen)</t>
  </si>
  <si>
    <t>ZERO-L</t>
  </si>
  <si>
    <t>Plastbruk</t>
  </si>
  <si>
    <t xml:space="preserve">Oppgi navn på FoUI-prosjekt </t>
  </si>
  <si>
    <t>Angi firmanavn</t>
  </si>
  <si>
    <t xml:space="preserve">Prosjektleder (PL) </t>
  </si>
  <si>
    <t>Energirådgiver (RIEn)</t>
  </si>
  <si>
    <t xml:space="preserve">Rådgiver sosial bærekraft </t>
  </si>
  <si>
    <t xml:space="preserve">Rådgiver naturmangfold  </t>
  </si>
  <si>
    <t>KRITERIER</t>
  </si>
  <si>
    <t>Sirkulære bygg</t>
  </si>
  <si>
    <t>Sirkulære nabolag</t>
  </si>
  <si>
    <t>Rådgiver sirkularitet</t>
  </si>
  <si>
    <t>Svanemerket - Bolig og andre bygg</t>
  </si>
  <si>
    <t>Svanemerket - Bygg rehabilitering</t>
  </si>
  <si>
    <t xml:space="preserve">BREEAM-NOR Excellent </t>
  </si>
  <si>
    <t>BREEAM-NOR Outstanding</t>
  </si>
  <si>
    <t>Prosjektering</t>
  </si>
  <si>
    <t>https://no.redditview.com/articles/excel/how-to-create-drop-down-lists-in-excel-on-mac.html</t>
  </si>
  <si>
    <t>Velg fra nedtrekksmenyen</t>
  </si>
  <si>
    <t>ENTREPRISEFORMER</t>
  </si>
  <si>
    <t>Hovedentreprise</t>
  </si>
  <si>
    <t>Samspillsentreprise</t>
  </si>
  <si>
    <t>Nei (utdyp i kommentarfeltet)</t>
  </si>
  <si>
    <t xml:space="preserve">Naturmangfold </t>
  </si>
  <si>
    <r>
      <t xml:space="preserve">Dersom du </t>
    </r>
    <r>
      <rPr>
        <i/>
        <sz val="11"/>
        <rFont val="Replica-Light"/>
      </rPr>
      <t>ikke</t>
    </r>
    <r>
      <rPr>
        <sz val="11"/>
        <rFont val="Replica-Light"/>
      </rPr>
      <t xml:space="preserve"> finner et passende valg i en meny kan du foreslå nye valg i kommentarfeltet.</t>
    </r>
  </si>
  <si>
    <r>
      <t xml:space="preserve">Prosjekttype </t>
    </r>
    <r>
      <rPr>
        <sz val="14"/>
        <rFont val="Calibri Light"/>
        <family val="2"/>
      </rPr>
      <t>(skala)</t>
    </r>
  </si>
  <si>
    <t>Klimasats</t>
  </si>
  <si>
    <t>Innovasjon Norge</t>
  </si>
  <si>
    <t>Tilskuddsprogram</t>
  </si>
  <si>
    <t>Materialer</t>
  </si>
  <si>
    <t>Er kriterier for FUTUREBUILT-ZERO-0  oppfylt / under oppfylling? (gjelder kun områdeprosjekter)</t>
  </si>
  <si>
    <t>Konkurranseformer</t>
  </si>
  <si>
    <t>Paralelloppdrag</t>
  </si>
  <si>
    <t>Begrenset idékonkurranse</t>
  </si>
  <si>
    <t>Begrenset plan- og idé-konkurranse</t>
  </si>
  <si>
    <t>Åpen idékonkurranse</t>
  </si>
  <si>
    <t>Velg et el. flere valg fra nedtrekksmenyen. Oppgi str. per funksjon  i cellen til høyre</t>
  </si>
  <si>
    <t>Innovasjons-/FOUI-tema(er)</t>
  </si>
  <si>
    <t>Er kriterier for INNOVASJON oppfylt / under oppfylling?</t>
  </si>
  <si>
    <t>Reduzer</t>
  </si>
  <si>
    <t xml:space="preserve">Som prosjektert bygg </t>
  </si>
  <si>
    <t xml:space="preserve">Fyll ut det som er relevant i den fasen prosjektet er i nå. </t>
  </si>
  <si>
    <r>
      <t xml:space="preserve">KLIMAGASSREGNSKAP </t>
    </r>
    <r>
      <rPr>
        <sz val="11"/>
        <rFont val="Replica-Light"/>
      </rPr>
      <t>(FB ZERO/ZERO-T)</t>
    </r>
  </si>
  <si>
    <t xml:space="preserve">FutureBuilts rapporterings- og formidlingsskjema </t>
  </si>
  <si>
    <t>Skjema versjon: 07.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</si>
</sst>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.m\.yyyy"/>
    <numFmt numFmtId="165" formatCode="d\.\ mmm\.\ yyyy"/>
    <numFmt numFmtId="166" formatCode="0.0"/>
    <numFmt numFmtId="167" formatCode="dd/mm/yyyy;@"/>
    <numFmt numFmtId="168" formatCode="00"/>
    <numFmt numFmtId="169" formatCode="0.000"/>
  </numFmts>
  <fonts count="50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indexed="1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 tint="-0.499984740745262"/>
      <name val="Verdana"/>
      <family val="2"/>
    </font>
    <font>
      <i/>
      <sz val="10"/>
      <name val="Verdana"/>
      <family val="2"/>
    </font>
    <font>
      <strike/>
      <sz val="10"/>
      <color indexed="53"/>
      <name val="Verdana"/>
      <family val="2"/>
    </font>
    <font>
      <b/>
      <strike/>
      <sz val="10"/>
      <color indexed="53"/>
      <name val="Verdana"/>
      <family val="2"/>
    </font>
    <font>
      <i/>
      <strike/>
      <sz val="10"/>
      <color indexed="53"/>
      <name val="Verdana"/>
      <family val="2"/>
    </font>
    <font>
      <b/>
      <i/>
      <sz val="11"/>
      <color theme="0" tint="-0.499984740745262"/>
      <name val="Calibri"/>
      <family val="2"/>
      <scheme val="minor"/>
    </font>
    <font>
      <i/>
      <sz val="10"/>
      <color theme="0" tint="-0.499984740745262"/>
      <name val="Verdana"/>
      <family val="2"/>
    </font>
    <font>
      <u/>
      <sz val="10"/>
      <color theme="11"/>
      <name val="Verdana"/>
      <family val="2"/>
    </font>
    <font>
      <sz val="11"/>
      <name val="Calibri Light"/>
      <family val="2"/>
    </font>
    <font>
      <sz val="10"/>
      <name val="Calibri Light"/>
      <family val="2"/>
    </font>
    <font>
      <sz val="10"/>
      <name val="Calibri"/>
      <family val="2"/>
    </font>
    <font>
      <u/>
      <sz val="10"/>
      <color theme="10"/>
      <name val="Verdana"/>
      <family val="2"/>
    </font>
    <font>
      <i/>
      <sz val="10"/>
      <color rgb="FFFF0000"/>
      <name val="Verdana"/>
      <family val="2"/>
    </font>
    <font>
      <b/>
      <sz val="10"/>
      <name val="Replica-Light"/>
    </font>
    <font>
      <sz val="10"/>
      <name val="Replica-Light"/>
    </font>
    <font>
      <sz val="10"/>
      <color indexed="10"/>
      <name val="Replica-Light"/>
    </font>
    <font>
      <sz val="10"/>
      <color theme="5" tint="-0.249977111117893"/>
      <name val="Replica-Light"/>
    </font>
    <font>
      <sz val="10"/>
      <color rgb="FFFF0000"/>
      <name val="Replica-Light"/>
    </font>
    <font>
      <i/>
      <sz val="10"/>
      <color rgb="FFFF0000"/>
      <name val="Replica-Light"/>
    </font>
    <font>
      <sz val="11"/>
      <name val="Replica-Light"/>
    </font>
    <font>
      <b/>
      <sz val="11"/>
      <name val="Replica-Light"/>
    </font>
    <font>
      <i/>
      <sz val="11"/>
      <name val="Replica-Light"/>
    </font>
    <font>
      <u/>
      <sz val="11"/>
      <color theme="10"/>
      <name val="Replica-Light"/>
    </font>
    <font>
      <sz val="11"/>
      <color indexed="10"/>
      <name val="Replica-Light"/>
    </font>
    <font>
      <sz val="11"/>
      <color theme="1"/>
      <name val="Replica-Light"/>
    </font>
    <font>
      <sz val="11"/>
      <color rgb="FF000000"/>
      <name val="Replica-Light"/>
    </font>
    <font>
      <sz val="11"/>
      <name val="Verdana"/>
      <family val="2"/>
    </font>
    <font>
      <sz val="9"/>
      <name val="Replica-Light"/>
    </font>
    <font>
      <sz val="9"/>
      <color theme="1"/>
      <name val="Replica-Light"/>
    </font>
    <font>
      <sz val="9"/>
      <color rgb="FFFF0000"/>
      <name val="Replica-Light"/>
    </font>
    <font>
      <sz val="9"/>
      <name val="Verdana"/>
      <family val="2"/>
    </font>
    <font>
      <sz val="9"/>
      <color rgb="FF000000"/>
      <name val="Replica-Light"/>
    </font>
    <font>
      <b/>
      <sz val="14"/>
      <name val="Calibri Light"/>
      <family val="2"/>
    </font>
    <font>
      <sz val="14"/>
      <name val="Calibri Light"/>
      <family val="2"/>
    </font>
    <font>
      <sz val="11"/>
      <color theme="1"/>
      <name val="Replica-Light"/>
      <family val="3"/>
    </font>
    <font>
      <sz val="10"/>
      <color theme="1"/>
      <name val="Replica-Light"/>
    </font>
    <font>
      <b/>
      <sz val="10"/>
      <color theme="1"/>
      <name val="Replica-Light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/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/>
      <top/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0" fillId="0" borderId="0" xfId="0" quotePrefix="1"/>
    <xf numFmtId="0" fontId="0" fillId="0" borderId="0" xfId="0" quotePrefix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wrapText="1"/>
    </xf>
    <xf numFmtId="0" fontId="3" fillId="0" borderId="0" xfId="0" quotePrefix="1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6" borderId="39" xfId="0" applyFill="1" applyBorder="1" applyAlignment="1">
      <alignment vertical="top"/>
    </xf>
    <xf numFmtId="0" fontId="14" fillId="5" borderId="0" xfId="0" applyFont="1" applyFill="1"/>
    <xf numFmtId="0" fontId="14" fillId="5" borderId="0" xfId="0" applyFont="1" applyFill="1" applyAlignment="1">
      <alignment vertical="top"/>
    </xf>
    <xf numFmtId="49" fontId="0" fillId="6" borderId="0" xfId="0" applyNumberFormat="1" applyFill="1"/>
    <xf numFmtId="0" fontId="0" fillId="0" borderId="3" xfId="0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19" fillId="4" borderId="0" xfId="0" applyFont="1" applyFill="1" applyAlignment="1">
      <alignment vertical="top"/>
    </xf>
    <xf numFmtId="0" fontId="0" fillId="6" borderId="12" xfId="0" applyFill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6" borderId="0" xfId="0" applyFill="1"/>
    <xf numFmtId="0" fontId="0" fillId="3" borderId="0" xfId="0" applyFill="1" applyAlignment="1">
      <alignment horizontal="center" wrapText="1"/>
    </xf>
    <xf numFmtId="0" fontId="0" fillId="2" borderId="0" xfId="0" applyFill="1"/>
    <xf numFmtId="0" fontId="0" fillId="0" borderId="1" xfId="0" applyBorder="1" applyAlignment="1">
      <alignment horizontal="center" wrapText="1"/>
    </xf>
    <xf numFmtId="0" fontId="19" fillId="0" borderId="0" xfId="0" applyFont="1" applyAlignment="1">
      <alignment vertical="top"/>
    </xf>
    <xf numFmtId="0" fontId="19" fillId="0" borderId="0" xfId="0" applyFont="1"/>
    <xf numFmtId="0" fontId="10" fillId="4" borderId="0" xfId="0" applyFont="1" applyFill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0" fillId="4" borderId="28" xfId="0" applyFill="1" applyBorder="1"/>
    <xf numFmtId="0" fontId="0" fillId="4" borderId="28" xfId="0" applyFill="1" applyBorder="1" applyAlignment="1">
      <alignment vertical="top"/>
    </xf>
    <xf numFmtId="0" fontId="0" fillId="4" borderId="33" xfId="0" applyFill="1" applyBorder="1" applyAlignment="1">
      <alignment vertical="top"/>
    </xf>
    <xf numFmtId="0" fontId="0" fillId="4" borderId="1" xfId="0" applyFill="1" applyBorder="1" applyAlignment="1">
      <alignment horizontal="center" wrapText="1"/>
    </xf>
    <xf numFmtId="0" fontId="0" fillId="4" borderId="35" xfId="0" applyFill="1" applyBorder="1" applyAlignment="1">
      <alignment vertical="top"/>
    </xf>
    <xf numFmtId="0" fontId="0" fillId="4" borderId="37" xfId="0" applyFill="1" applyBorder="1" applyAlignment="1">
      <alignment horizontal="center" wrapText="1"/>
    </xf>
    <xf numFmtId="0" fontId="0" fillId="4" borderId="29" xfId="0" applyFill="1" applyBorder="1" applyAlignment="1">
      <alignment vertical="top"/>
    </xf>
    <xf numFmtId="0" fontId="0" fillId="3" borderId="32" xfId="0" applyFill="1" applyBorder="1" applyAlignment="1">
      <alignment horizontal="center" wrapText="1"/>
    </xf>
    <xf numFmtId="0" fontId="0" fillId="0" borderId="28" xfId="0" applyBorder="1" applyAlignment="1">
      <alignment vertical="top"/>
    </xf>
    <xf numFmtId="0" fontId="0" fillId="0" borderId="33" xfId="0" applyBorder="1"/>
    <xf numFmtId="0" fontId="0" fillId="0" borderId="35" xfId="0" applyBorder="1"/>
    <xf numFmtId="0" fontId="0" fillId="3" borderId="37" xfId="0" applyFill="1" applyBorder="1" applyAlignment="1">
      <alignment horizontal="center" wrapText="1"/>
    </xf>
    <xf numFmtId="0" fontId="0" fillId="0" borderId="29" xfId="0" applyBorder="1" applyAlignment="1">
      <alignment vertical="top"/>
    </xf>
    <xf numFmtId="0" fontId="0" fillId="6" borderId="38" xfId="0" applyFill="1" applyBorder="1" applyAlignment="1">
      <alignment horizontal="center" wrapText="1"/>
    </xf>
    <xf numFmtId="0" fontId="8" fillId="0" borderId="0" xfId="0" applyFont="1" applyAlignment="1">
      <alignment wrapText="1"/>
    </xf>
    <xf numFmtId="167" fontId="0" fillId="0" borderId="0" xfId="0" applyNumberFormat="1"/>
    <xf numFmtId="0" fontId="0" fillId="0" borderId="0" xfId="0" applyAlignment="1">
      <alignment horizontal="center" wrapText="1"/>
    </xf>
    <xf numFmtId="0" fontId="0" fillId="6" borderId="0" xfId="0" applyFill="1" applyAlignment="1">
      <alignment wrapText="1"/>
    </xf>
    <xf numFmtId="49" fontId="0" fillId="6" borderId="0" xfId="0" applyNumberFormat="1" applyFill="1" applyAlignment="1">
      <alignment wrapText="1"/>
    </xf>
    <xf numFmtId="0" fontId="0" fillId="6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3" borderId="15" xfId="0" applyFill="1" applyBorder="1" applyAlignment="1">
      <alignment horizontal="center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7" fillId="0" borderId="0" xfId="0" applyFont="1" applyAlignment="1">
      <alignment vertical="top"/>
    </xf>
    <xf numFmtId="0" fontId="7" fillId="0" borderId="0" xfId="0" applyFont="1"/>
    <xf numFmtId="2" fontId="0" fillId="0" borderId="0" xfId="0" applyNumberFormat="1" applyAlignment="1">
      <alignment vertical="top"/>
    </xf>
    <xf numFmtId="166" fontId="0" fillId="0" borderId="0" xfId="0" applyNumberFormat="1" applyAlignment="1">
      <alignment vertical="top"/>
    </xf>
    <xf numFmtId="3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5" borderId="0" xfId="0" applyFill="1"/>
    <xf numFmtId="0" fontId="0" fillId="5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0" borderId="15" xfId="0" applyBorder="1" applyAlignment="1">
      <alignment horizontal="center" wrapText="1"/>
    </xf>
    <xf numFmtId="3" fontId="0" fillId="0" borderId="0" xfId="0" applyNumberFormat="1" applyAlignment="1">
      <alignment horizontal="left" vertical="top"/>
    </xf>
    <xf numFmtId="1" fontId="0" fillId="6" borderId="0" xfId="0" applyNumberFormat="1" applyFill="1"/>
    <xf numFmtId="1" fontId="0" fillId="0" borderId="0" xfId="0" applyNumberFormat="1" applyAlignment="1">
      <alignment vertical="top"/>
    </xf>
    <xf numFmtId="167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0" fillId="11" borderId="0" xfId="0" applyFont="1" applyFill="1" applyAlignment="1">
      <alignment horizontal="left" vertical="center" wrapText="1"/>
    </xf>
    <xf numFmtId="0" fontId="9" fillId="11" borderId="0" xfId="0" applyFont="1" applyFill="1" applyAlignment="1">
      <alignment horizontal="left" vertical="center" wrapText="1"/>
    </xf>
    <xf numFmtId="0" fontId="10" fillId="11" borderId="31" xfId="0" applyFont="1" applyFill="1" applyBorder="1" applyAlignment="1">
      <alignment horizontal="left" vertical="center" wrapText="1"/>
    </xf>
    <xf numFmtId="0" fontId="10" fillId="10" borderId="31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10" fillId="10" borderId="34" xfId="0" applyFont="1" applyFill="1" applyBorder="1" applyAlignment="1">
      <alignment horizontal="left" vertical="center" wrapText="1"/>
    </xf>
    <xf numFmtId="0" fontId="10" fillId="10" borderId="36" xfId="0" applyFont="1" applyFill="1" applyBorder="1" applyAlignment="1">
      <alignment horizontal="left" vertical="center" wrapText="1"/>
    </xf>
    <xf numFmtId="0" fontId="10" fillId="12" borderId="0" xfId="0" applyFont="1" applyFill="1" applyAlignment="1">
      <alignment horizontal="left" vertical="center" wrapText="1"/>
    </xf>
    <xf numFmtId="0" fontId="0" fillId="12" borderId="0" xfId="0" applyFill="1"/>
    <xf numFmtId="0" fontId="12" fillId="12" borderId="0" xfId="0" applyFont="1" applyFill="1" applyAlignment="1">
      <alignment horizontal="left" vertical="center" wrapText="1" indent="1"/>
    </xf>
    <xf numFmtId="0" fontId="9" fillId="12" borderId="0" xfId="0" applyFont="1" applyFill="1" applyAlignment="1">
      <alignment horizontal="left" vertical="center" wrapText="1"/>
    </xf>
    <xf numFmtId="0" fontId="18" fillId="8" borderId="0" xfId="0" applyFont="1" applyFill="1" applyAlignment="1">
      <alignment horizontal="left" vertical="center" wrapText="1"/>
    </xf>
    <xf numFmtId="0" fontId="19" fillId="8" borderId="1" xfId="0" applyFont="1" applyFill="1" applyBorder="1" applyAlignment="1">
      <alignment horizontal="center" wrapText="1"/>
    </xf>
    <xf numFmtId="0" fontId="19" fillId="8" borderId="0" xfId="0" applyFont="1" applyFill="1" applyAlignment="1">
      <alignment horizontal="center" wrapText="1"/>
    </xf>
    <xf numFmtId="0" fontId="19" fillId="8" borderId="0" xfId="0" applyFont="1" applyFill="1"/>
    <xf numFmtId="0" fontId="19" fillId="8" borderId="0" xfId="0" applyFont="1" applyFill="1" applyAlignment="1">
      <alignment vertical="top"/>
    </xf>
    <xf numFmtId="0" fontId="19" fillId="8" borderId="12" xfId="0" applyFont="1" applyFill="1" applyBorder="1" applyAlignment="1">
      <alignment horizontal="center" wrapText="1"/>
    </xf>
    <xf numFmtId="0" fontId="0" fillId="8" borderId="0" xfId="0" applyFill="1"/>
    <xf numFmtId="0" fontId="11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 indent="1"/>
    </xf>
    <xf numFmtId="0" fontId="0" fillId="6" borderId="0" xfId="0" applyFill="1" applyAlignment="1">
      <alignment vertical="top" wrapText="1"/>
    </xf>
    <xf numFmtId="0" fontId="8" fillId="4" borderId="0" xfId="0" applyFont="1" applyFill="1" applyAlignment="1">
      <alignment horizontal="left" vertical="top" wrapText="1" indent="1"/>
    </xf>
    <xf numFmtId="0" fontId="9" fillId="0" borderId="0" xfId="0" applyFont="1" applyAlignment="1">
      <alignment horizontal="center" vertical="center" wrapText="1"/>
    </xf>
    <xf numFmtId="169" fontId="0" fillId="0" borderId="0" xfId="0" applyNumberFormat="1" applyAlignment="1">
      <alignment vertical="top"/>
    </xf>
    <xf numFmtId="169" fontId="0" fillId="0" borderId="0" xfId="0" applyNumberFormat="1"/>
    <xf numFmtId="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0" fillId="0" borderId="1" xfId="0" applyBorder="1" applyAlignment="1">
      <alignment horizontal="left" vertical="top"/>
    </xf>
    <xf numFmtId="0" fontId="9" fillId="13" borderId="0" xfId="0" applyFont="1" applyFill="1" applyAlignment="1">
      <alignment horizontal="left" vertical="center" wrapText="1"/>
    </xf>
    <xf numFmtId="0" fontId="9" fillId="14" borderId="0" xfId="0" applyFont="1" applyFill="1" applyAlignment="1">
      <alignment horizontal="left" vertical="center" wrapText="1"/>
    </xf>
    <xf numFmtId="0" fontId="0" fillId="3" borderId="15" xfId="0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0" fillId="12" borderId="0" xfId="0" applyFont="1" applyFill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vertical="top"/>
    </xf>
    <xf numFmtId="0" fontId="2" fillId="2" borderId="0" xfId="0" applyFont="1" applyFill="1"/>
    <xf numFmtId="0" fontId="2" fillId="0" borderId="4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6" borderId="0" xfId="0" applyFont="1" applyFill="1"/>
    <xf numFmtId="166" fontId="2" fillId="0" borderId="0" xfId="0" applyNumberFormat="1" applyFont="1" applyAlignment="1">
      <alignment vertical="top"/>
    </xf>
    <xf numFmtId="0" fontId="0" fillId="0" borderId="1" xfId="0" applyBorder="1" applyAlignment="1">
      <alignment vertical="top"/>
    </xf>
    <xf numFmtId="0" fontId="1" fillId="4" borderId="36" xfId="0" applyFont="1" applyFill="1" applyBorder="1" applyAlignment="1">
      <alignment horizontal="left" vertical="center" wrapText="1" indent="1"/>
    </xf>
    <xf numFmtId="0" fontId="0" fillId="14" borderId="0" xfId="0" applyFill="1"/>
    <xf numFmtId="0" fontId="2" fillId="0" borderId="0" xfId="0" quotePrefix="1" applyFont="1" applyAlignment="1">
      <alignment vertical="top"/>
    </xf>
    <xf numFmtId="0" fontId="0" fillId="6" borderId="0" xfId="0" applyFill="1" applyAlignment="1">
      <alignment horizontal="center" wrapText="1"/>
    </xf>
    <xf numFmtId="0" fontId="0" fillId="14" borderId="0" xfId="0" applyFill="1" applyAlignment="1">
      <alignment vertical="top"/>
    </xf>
    <xf numFmtId="0" fontId="0" fillId="0" borderId="0" xfId="3" applyNumberFormat="1" applyFont="1" applyAlignment="1" applyProtection="1">
      <alignment vertical="top"/>
    </xf>
    <xf numFmtId="0" fontId="2" fillId="0" borderId="0" xfId="0" applyFont="1" applyAlignment="1">
      <alignment vertical="top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vertical="center" wrapText="1"/>
    </xf>
    <xf numFmtId="0" fontId="25" fillId="0" borderId="20" xfId="0" applyFont="1" applyBorder="1" applyAlignment="1" applyProtection="1">
      <alignment horizontal="left" vertical="top" wrapText="1"/>
      <protection locked="0"/>
    </xf>
    <xf numFmtId="0" fontId="1" fillId="10" borderId="34" xfId="0" applyFont="1" applyFill="1" applyBorder="1" applyAlignment="1">
      <alignment horizontal="left" vertical="center" wrapText="1" indent="1"/>
    </xf>
    <xf numFmtId="0" fontId="1" fillId="10" borderId="36" xfId="0" applyFont="1" applyFill="1" applyBorder="1" applyAlignment="1">
      <alignment horizontal="left" vertical="center" wrapText="1" indent="1"/>
    </xf>
    <xf numFmtId="0" fontId="1" fillId="4" borderId="34" xfId="0" applyFont="1" applyFill="1" applyBorder="1" applyAlignment="1">
      <alignment horizontal="left" vertical="center" wrapText="1" indent="1"/>
    </xf>
    <xf numFmtId="0" fontId="1" fillId="11" borderId="34" xfId="0" applyFont="1" applyFill="1" applyBorder="1" applyAlignment="1">
      <alignment horizontal="left" vertical="center" wrapText="1" indent="1"/>
    </xf>
    <xf numFmtId="0" fontId="1" fillId="11" borderId="36" xfId="0" applyFont="1" applyFill="1" applyBorder="1" applyAlignment="1">
      <alignment horizontal="left" vertical="center" wrapText="1" indent="1"/>
    </xf>
    <xf numFmtId="0" fontId="1" fillId="12" borderId="0" xfId="0" applyFont="1" applyFill="1" applyAlignment="1">
      <alignment horizontal="left" vertical="center" wrapText="1" indent="1"/>
    </xf>
    <xf numFmtId="0" fontId="26" fillId="4" borderId="0" xfId="0" applyFont="1" applyFill="1" applyAlignment="1">
      <alignment wrapText="1"/>
    </xf>
    <xf numFmtId="0" fontId="26" fillId="4" borderId="0" xfId="0" applyFont="1" applyFill="1"/>
    <xf numFmtId="0" fontId="26" fillId="4" borderId="0" xfId="0" applyFont="1" applyFill="1" applyAlignment="1">
      <alignment horizontal="center" wrapText="1"/>
    </xf>
    <xf numFmtId="14" fontId="27" fillId="0" borderId="1" xfId="0" applyNumberFormat="1" applyFont="1" applyBorder="1" applyAlignment="1" applyProtection="1">
      <alignment horizontal="center" vertical="top" wrapText="1"/>
      <protection locked="0"/>
    </xf>
    <xf numFmtId="0" fontId="27" fillId="3" borderId="4" xfId="0" applyFont="1" applyFill="1" applyBorder="1" applyAlignment="1" applyProtection="1">
      <alignment horizontal="left" vertical="top" wrapText="1"/>
      <protection locked="0"/>
    </xf>
    <xf numFmtId="0" fontId="27" fillId="3" borderId="0" xfId="0" applyFont="1" applyFill="1" applyAlignment="1">
      <alignment vertical="top"/>
    </xf>
    <xf numFmtId="0" fontId="27" fillId="3" borderId="0" xfId="0" applyFont="1" applyFill="1"/>
    <xf numFmtId="0" fontId="27" fillId="3" borderId="0" xfId="0" applyFont="1" applyFill="1" applyAlignment="1">
      <alignment wrapText="1"/>
    </xf>
    <xf numFmtId="0" fontId="27" fillId="3" borderId="0" xfId="0" applyFont="1" applyFill="1" applyAlignment="1">
      <alignment horizontal="center" wrapText="1"/>
    </xf>
    <xf numFmtId="0" fontId="27" fillId="0" borderId="0" xfId="0" applyFont="1"/>
    <xf numFmtId="0" fontId="27" fillId="9" borderId="0" xfId="0" applyFont="1" applyFill="1"/>
    <xf numFmtId="0" fontId="27" fillId="4" borderId="0" xfId="0" applyFont="1" applyFill="1" applyAlignment="1">
      <alignment vertical="top"/>
    </xf>
    <xf numFmtId="0" fontId="27" fillId="4" borderId="0" xfId="0" applyFont="1" applyFill="1" applyAlignment="1">
      <alignment wrapText="1"/>
    </xf>
    <xf numFmtId="0" fontId="27" fillId="4" borderId="0" xfId="0" applyFont="1" applyFill="1"/>
    <xf numFmtId="0" fontId="27" fillId="4" borderId="0" xfId="0" applyFont="1" applyFill="1" applyAlignment="1">
      <alignment horizontal="center" wrapText="1"/>
    </xf>
    <xf numFmtId="0" fontId="26" fillId="9" borderId="0" xfId="0" applyFont="1" applyFill="1"/>
    <xf numFmtId="0" fontId="28" fillId="7" borderId="0" xfId="0" applyFont="1" applyFill="1" applyAlignment="1">
      <alignment vertical="top"/>
    </xf>
    <xf numFmtId="0" fontId="26" fillId="0" borderId="0" xfId="0" applyFont="1"/>
    <xf numFmtId="0" fontId="26" fillId="4" borderId="0" xfId="0" applyFont="1" applyFill="1" applyAlignment="1">
      <alignment vertical="top"/>
    </xf>
    <xf numFmtId="164" fontId="27" fillId="4" borderId="0" xfId="0" applyNumberFormat="1" applyFont="1" applyFill="1" applyAlignment="1">
      <alignment wrapText="1"/>
    </xf>
    <xf numFmtId="165" fontId="27" fillId="4" borderId="0" xfId="0" applyNumberFormat="1" applyFont="1" applyFill="1" applyAlignment="1">
      <alignment horizontal="center" wrapText="1"/>
    </xf>
    <xf numFmtId="0" fontId="27" fillId="2" borderId="2" xfId="0" applyFont="1" applyFill="1" applyBorder="1" applyAlignment="1">
      <alignment vertical="top" wrapText="1"/>
    </xf>
    <xf numFmtId="0" fontId="27" fillId="2" borderId="4" xfId="0" applyFont="1" applyFill="1" applyBorder="1" applyAlignment="1">
      <alignment vertical="top" wrapText="1"/>
    </xf>
    <xf numFmtId="0" fontId="29" fillId="0" borderId="1" xfId="0" applyFont="1" applyBorder="1" applyAlignment="1" applyProtection="1">
      <alignment horizontal="center" wrapText="1"/>
      <protection locked="0"/>
    </xf>
    <xf numFmtId="0" fontId="30" fillId="3" borderId="11" xfId="0" applyFont="1" applyFill="1" applyBorder="1" applyAlignment="1" applyProtection="1">
      <alignment horizontal="left" vertical="top" wrapText="1"/>
      <protection locked="0"/>
    </xf>
    <xf numFmtId="0" fontId="27" fillId="9" borderId="0" xfId="0" applyFont="1" applyFill="1" applyAlignment="1">
      <alignment vertical="top"/>
    </xf>
    <xf numFmtId="0" fontId="27" fillId="0" borderId="0" xfId="0" applyFont="1" applyAlignment="1">
      <alignment vertical="top"/>
    </xf>
    <xf numFmtId="0" fontId="30" fillId="3" borderId="49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Alignment="1">
      <alignment vertical="top"/>
    </xf>
    <xf numFmtId="0" fontId="27" fillId="2" borderId="3" xfId="0" applyFont="1" applyFill="1" applyBorder="1" applyAlignment="1">
      <alignment wrapText="1"/>
    </xf>
    <xf numFmtId="0" fontId="29" fillId="0" borderId="49" xfId="0" applyFont="1" applyBorder="1" applyAlignment="1" applyProtection="1">
      <alignment horizontal="center" wrapText="1"/>
      <protection locked="0"/>
    </xf>
    <xf numFmtId="0" fontId="27" fillId="2" borderId="26" xfId="0" applyFont="1" applyFill="1" applyBorder="1"/>
    <xf numFmtId="0" fontId="27" fillId="2" borderId="6" xfId="0" applyFont="1" applyFill="1" applyBorder="1"/>
    <xf numFmtId="0" fontId="27" fillId="2" borderId="53" xfId="0" applyFont="1" applyFill="1" applyBorder="1" applyAlignment="1">
      <alignment wrapText="1"/>
    </xf>
    <xf numFmtId="0" fontId="27" fillId="2" borderId="53" xfId="0" applyFont="1" applyFill="1" applyBorder="1"/>
    <xf numFmtId="0" fontId="27" fillId="3" borderId="51" xfId="0" applyFont="1" applyFill="1" applyBorder="1" applyAlignment="1" applyProtection="1">
      <alignment horizontal="left" vertical="top" wrapText="1"/>
      <protection locked="0"/>
    </xf>
    <xf numFmtId="0" fontId="27" fillId="2" borderId="3" xfId="0" applyFont="1" applyFill="1" applyBorder="1"/>
    <xf numFmtId="0" fontId="27" fillId="2" borderId="21" xfId="0" applyFont="1" applyFill="1" applyBorder="1" applyAlignment="1">
      <alignment wrapText="1"/>
    </xf>
    <xf numFmtId="0" fontId="29" fillId="0" borderId="15" xfId="0" applyFont="1" applyBorder="1" applyAlignment="1" applyProtection="1">
      <alignment horizontal="center" wrapText="1"/>
      <protection locked="0"/>
    </xf>
    <xf numFmtId="0" fontId="27" fillId="3" borderId="18" xfId="0" applyFont="1" applyFill="1" applyBorder="1" applyAlignment="1" applyProtection="1">
      <alignment horizontal="left" vertical="top" wrapText="1"/>
      <protection locked="0"/>
    </xf>
    <xf numFmtId="0" fontId="27" fillId="2" borderId="52" xfId="0" applyFont="1" applyFill="1" applyBorder="1" applyAlignment="1">
      <alignment wrapText="1"/>
    </xf>
    <xf numFmtId="0" fontId="27" fillId="2" borderId="52" xfId="0" applyFont="1" applyFill="1" applyBorder="1"/>
    <xf numFmtId="0" fontId="29" fillId="0" borderId="44" xfId="0" applyFont="1" applyBorder="1" applyAlignment="1" applyProtection="1">
      <alignment horizontal="center" wrapText="1"/>
      <protection locked="0"/>
    </xf>
    <xf numFmtId="0" fontId="27" fillId="3" borderId="46" xfId="0" applyFont="1" applyFill="1" applyBorder="1" applyAlignment="1" applyProtection="1">
      <alignment horizontal="left" vertical="top" wrapText="1"/>
      <protection locked="0"/>
    </xf>
    <xf numFmtId="0" fontId="27" fillId="2" borderId="6" xfId="0" applyFont="1" applyFill="1" applyBorder="1" applyAlignment="1">
      <alignment wrapText="1"/>
    </xf>
    <xf numFmtId="0" fontId="29" fillId="0" borderId="8" xfId="0" applyFont="1" applyBorder="1" applyAlignment="1" applyProtection="1">
      <alignment horizontal="center" wrapText="1"/>
      <protection locked="0"/>
    </xf>
    <xf numFmtId="0" fontId="27" fillId="3" borderId="7" xfId="0" applyFont="1" applyFill="1" applyBorder="1" applyAlignment="1" applyProtection="1">
      <alignment horizontal="left" vertical="top" wrapText="1"/>
      <protection locked="0"/>
    </xf>
    <xf numFmtId="0" fontId="27" fillId="2" borderId="21" xfId="0" applyFont="1" applyFill="1" applyBorder="1"/>
    <xf numFmtId="0" fontId="29" fillId="0" borderId="25" xfId="0" applyFont="1" applyBorder="1" applyAlignment="1" applyProtection="1">
      <alignment horizontal="center" wrapText="1"/>
      <protection locked="0"/>
    </xf>
    <xf numFmtId="0" fontId="27" fillId="3" borderId="26" xfId="0" applyFont="1" applyFill="1" applyBorder="1" applyAlignment="1" applyProtection="1">
      <alignment horizontal="left" vertical="top" wrapText="1"/>
      <protection locked="0"/>
    </xf>
    <xf numFmtId="0" fontId="29" fillId="0" borderId="16" xfId="0" applyFont="1" applyBorder="1" applyAlignment="1" applyProtection="1">
      <alignment horizontal="center" wrapText="1"/>
      <protection locked="0"/>
    </xf>
    <xf numFmtId="0" fontId="28" fillId="4" borderId="0" xfId="0" applyFont="1" applyFill="1" applyAlignment="1">
      <alignment vertical="top"/>
    </xf>
    <xf numFmtId="0" fontId="27" fillId="3" borderId="47" xfId="0" applyFont="1" applyFill="1" applyBorder="1" applyAlignment="1" applyProtection="1">
      <alignment vertical="top" wrapText="1"/>
      <protection locked="0"/>
    </xf>
    <xf numFmtId="0" fontId="27" fillId="2" borderId="0" xfId="0" applyFont="1" applyFill="1" applyAlignment="1">
      <alignment wrapText="1"/>
    </xf>
    <xf numFmtId="0" fontId="27" fillId="3" borderId="48" xfId="0" applyFont="1" applyFill="1" applyBorder="1" applyAlignment="1" applyProtection="1">
      <alignment vertical="top" wrapText="1"/>
      <protection locked="0"/>
    </xf>
    <xf numFmtId="0" fontId="27" fillId="0" borderId="0" xfId="0" applyFont="1" applyAlignment="1">
      <alignment wrapText="1"/>
    </xf>
    <xf numFmtId="0" fontId="27" fillId="3" borderId="13" xfId="0" applyFont="1" applyFill="1" applyBorder="1" applyAlignment="1" applyProtection="1">
      <alignment horizontal="center" wrapText="1"/>
      <protection locked="0"/>
    </xf>
    <xf numFmtId="0" fontId="27" fillId="3" borderId="13" xfId="0" applyFont="1" applyFill="1" applyBorder="1" applyAlignment="1" applyProtection="1">
      <alignment horizontal="left" vertical="top" wrapText="1"/>
      <protection locked="0"/>
    </xf>
    <xf numFmtId="0" fontId="27" fillId="3" borderId="26" xfId="0" applyFont="1" applyFill="1" applyBorder="1" applyAlignment="1" applyProtection="1">
      <alignment horizontal="center" wrapText="1"/>
      <protection locked="0"/>
    </xf>
    <xf numFmtId="9" fontId="30" fillId="0" borderId="57" xfId="0" applyNumberFormat="1" applyFont="1" applyBorder="1" applyAlignment="1" applyProtection="1">
      <alignment vertical="top" wrapText="1"/>
      <protection locked="0"/>
    </xf>
    <xf numFmtId="0" fontId="30" fillId="0" borderId="15" xfId="0" applyFont="1" applyBorder="1" applyAlignment="1" applyProtection="1">
      <alignment horizontal="center" wrapText="1"/>
      <protection locked="0"/>
    </xf>
    <xf numFmtId="0" fontId="30" fillId="0" borderId="16" xfId="0" applyFont="1" applyBorder="1" applyAlignment="1" applyProtection="1">
      <alignment horizontal="center" wrapText="1"/>
      <protection locked="0"/>
    </xf>
    <xf numFmtId="0" fontId="30" fillId="0" borderId="13" xfId="0" applyFont="1" applyBorder="1" applyAlignment="1" applyProtection="1">
      <alignment horizontal="left" vertical="top" wrapText="1"/>
      <protection locked="0"/>
    </xf>
    <xf numFmtId="0" fontId="30" fillId="0" borderId="25" xfId="0" applyFont="1" applyBorder="1" applyAlignment="1" applyProtection="1">
      <alignment horizontal="center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7" xfId="0" applyFont="1" applyBorder="1" applyAlignment="1" applyProtection="1">
      <alignment horizontal="left" vertical="top" wrapText="1"/>
      <protection locked="0"/>
    </xf>
    <xf numFmtId="3" fontId="29" fillId="0" borderId="15" xfId="0" applyNumberFormat="1" applyFont="1" applyBorder="1" applyAlignment="1" applyProtection="1">
      <alignment horizontal="center" wrapText="1"/>
      <protection locked="0"/>
    </xf>
    <xf numFmtId="3" fontId="29" fillId="0" borderId="16" xfId="0" applyNumberFormat="1" applyFont="1" applyBorder="1" applyAlignment="1" applyProtection="1">
      <alignment horizontal="center" wrapText="1"/>
      <protection locked="0"/>
    </xf>
    <xf numFmtId="0" fontId="27" fillId="3" borderId="20" xfId="0" applyFont="1" applyFill="1" applyBorder="1" applyAlignment="1" applyProtection="1">
      <alignment horizontal="left" vertical="top" wrapText="1"/>
      <protection locked="0"/>
    </xf>
    <xf numFmtId="3" fontId="27" fillId="0" borderId="16" xfId="0" applyNumberFormat="1" applyFont="1" applyBorder="1" applyAlignment="1" applyProtection="1">
      <alignment horizontal="center" wrapText="1"/>
      <protection locked="0"/>
    </xf>
    <xf numFmtId="3" fontId="27" fillId="3" borderId="16" xfId="0" applyNumberFormat="1" applyFont="1" applyFill="1" applyBorder="1" applyAlignment="1" applyProtection="1">
      <alignment horizontal="center" wrapText="1"/>
      <protection locked="0"/>
    </xf>
    <xf numFmtId="3" fontId="27" fillId="3" borderId="25" xfId="0" applyNumberFormat="1" applyFont="1" applyFill="1" applyBorder="1" applyAlignment="1" applyProtection="1">
      <alignment horizontal="center" wrapText="1"/>
      <protection locked="0"/>
    </xf>
    <xf numFmtId="0" fontId="27" fillId="2" borderId="0" xfId="0" applyFont="1" applyFill="1"/>
    <xf numFmtId="0" fontId="27" fillId="2" borderId="0" xfId="0" applyFont="1" applyFill="1" applyAlignment="1">
      <alignment horizontal="center" wrapText="1"/>
    </xf>
    <xf numFmtId="0" fontId="30" fillId="9" borderId="0" xfId="0" applyFont="1" applyFill="1"/>
    <xf numFmtId="0" fontId="30" fillId="4" borderId="0" xfId="0" applyFont="1" applyFill="1" applyAlignment="1">
      <alignment vertical="top"/>
    </xf>
    <xf numFmtId="0" fontId="30" fillId="4" borderId="0" xfId="0" applyFont="1" applyFill="1"/>
    <xf numFmtId="0" fontId="30" fillId="0" borderId="0" xfId="0" applyFont="1"/>
    <xf numFmtId="0" fontId="27" fillId="0" borderId="51" xfId="0" applyFont="1" applyBorder="1" applyAlignment="1" applyProtection="1">
      <alignment horizontal="left" vertical="top" wrapText="1"/>
      <protection locked="0"/>
    </xf>
    <xf numFmtId="0" fontId="27" fillId="3" borderId="46" xfId="0" applyFont="1" applyFill="1" applyBorder="1" applyAlignment="1" applyProtection="1">
      <alignment horizontal="center" wrapText="1"/>
      <protection locked="0"/>
    </xf>
    <xf numFmtId="0" fontId="31" fillId="3" borderId="59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30" fillId="0" borderId="1" xfId="0" applyFont="1" applyBorder="1" applyAlignment="1" applyProtection="1">
      <alignment horizontal="left" vertical="top" wrapText="1"/>
      <protection locked="0"/>
    </xf>
    <xf numFmtId="0" fontId="30" fillId="3" borderId="20" xfId="0" applyFont="1" applyFill="1" applyBorder="1" applyAlignment="1" applyProtection="1">
      <alignment horizontal="left" vertical="top" wrapText="1"/>
      <protection locked="0"/>
    </xf>
    <xf numFmtId="0" fontId="27" fillId="3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 applyProtection="1">
      <alignment vertical="top" wrapText="1"/>
      <protection locked="0"/>
    </xf>
    <xf numFmtId="0" fontId="30" fillId="0" borderId="1" xfId="0" applyFont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2" borderId="62" xfId="0" applyFont="1" applyFill="1" applyBorder="1" applyAlignment="1">
      <alignment wrapText="1"/>
    </xf>
    <xf numFmtId="0" fontId="27" fillId="2" borderId="62" xfId="0" applyFont="1" applyFill="1" applyBorder="1"/>
    <xf numFmtId="0" fontId="32" fillId="3" borderId="0" xfId="0" applyFont="1" applyFill="1" applyAlignment="1">
      <alignment vertical="top"/>
    </xf>
    <xf numFmtId="0" fontId="33" fillId="3" borderId="0" xfId="0" applyFont="1" applyFill="1" applyAlignment="1">
      <alignment vertical="top"/>
    </xf>
    <xf numFmtId="0" fontId="35" fillId="3" borderId="0" xfId="8" applyFont="1" applyFill="1" applyProtection="1"/>
    <xf numFmtId="0" fontId="32" fillId="4" borderId="0" xfId="0" applyFont="1" applyFill="1" applyAlignment="1">
      <alignment vertical="top"/>
    </xf>
    <xf numFmtId="0" fontId="33" fillId="2" borderId="1" xfId="0" applyFont="1" applyFill="1" applyBorder="1" applyAlignment="1">
      <alignment vertical="top" wrapText="1"/>
    </xf>
    <xf numFmtId="0" fontId="32" fillId="2" borderId="2" xfId="0" applyFont="1" applyFill="1" applyBorder="1" applyAlignment="1">
      <alignment vertical="top"/>
    </xf>
    <xf numFmtId="0" fontId="36" fillId="7" borderId="0" xfId="0" applyFont="1" applyFill="1" applyAlignment="1">
      <alignment vertical="top"/>
    </xf>
    <xf numFmtId="0" fontId="33" fillId="2" borderId="11" xfId="0" applyFont="1" applyFill="1" applyBorder="1" applyAlignment="1">
      <alignment vertical="top" wrapText="1"/>
    </xf>
    <xf numFmtId="0" fontId="32" fillId="2" borderId="2" xfId="0" applyFont="1" applyFill="1" applyBorder="1" applyAlignment="1">
      <alignment vertical="top" wrapText="1"/>
    </xf>
    <xf numFmtId="0" fontId="37" fillId="2" borderId="11" xfId="0" applyFont="1" applyFill="1" applyBorder="1" applyAlignment="1">
      <alignment horizontal="left" vertical="top" wrapText="1"/>
    </xf>
    <xf numFmtId="0" fontId="37" fillId="2" borderId="8" xfId="0" applyFont="1" applyFill="1" applyBorder="1" applyAlignment="1">
      <alignment horizontal="left" vertical="top" wrapText="1"/>
    </xf>
    <xf numFmtId="0" fontId="33" fillId="4" borderId="0" xfId="0" applyFont="1" applyFill="1" applyAlignment="1">
      <alignment vertical="top"/>
    </xf>
    <xf numFmtId="0" fontId="32" fillId="2" borderId="9" xfId="0" applyFont="1" applyFill="1" applyBorder="1" applyAlignment="1">
      <alignment vertical="top" wrapText="1"/>
    </xf>
    <xf numFmtId="0" fontId="32" fillId="2" borderId="1" xfId="0" applyFont="1" applyFill="1" applyBorder="1" applyAlignment="1">
      <alignment vertical="top" wrapText="1"/>
    </xf>
    <xf numFmtId="0" fontId="33" fillId="2" borderId="1" xfId="0" applyFont="1" applyFill="1" applyBorder="1" applyAlignment="1">
      <alignment vertical="top"/>
    </xf>
    <xf numFmtId="0" fontId="32" fillId="2" borderId="50" xfId="0" applyFont="1" applyFill="1" applyBorder="1" applyAlignment="1">
      <alignment vertical="top"/>
    </xf>
    <xf numFmtId="0" fontId="37" fillId="2" borderId="50" xfId="0" applyFont="1" applyFill="1" applyBorder="1" applyAlignment="1">
      <alignment vertical="top"/>
    </xf>
    <xf numFmtId="0" fontId="32" fillId="2" borderId="2" xfId="0" applyFont="1" applyFill="1" applyBorder="1"/>
    <xf numFmtId="0" fontId="37" fillId="2" borderId="2" xfId="0" applyFont="1" applyFill="1" applyBorder="1" applyAlignment="1">
      <alignment vertical="top"/>
    </xf>
    <xf numFmtId="0" fontId="32" fillId="2" borderId="17" xfId="0" applyFont="1" applyFill="1" applyBorder="1" applyAlignment="1">
      <alignment vertical="top"/>
    </xf>
    <xf numFmtId="0" fontId="32" fillId="2" borderId="45" xfId="0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32" fillId="2" borderId="61" xfId="0" applyFont="1" applyFill="1" applyBorder="1" applyAlignment="1">
      <alignment vertical="top"/>
    </xf>
    <xf numFmtId="0" fontId="33" fillId="2" borderId="11" xfId="0" applyFont="1" applyFill="1" applyBorder="1" applyAlignment="1">
      <alignment vertical="top"/>
    </xf>
    <xf numFmtId="0" fontId="32" fillId="2" borderId="56" xfId="0" applyFont="1" applyFill="1" applyBorder="1" applyAlignment="1">
      <alignment horizontal="left" vertical="top" wrapText="1"/>
    </xf>
    <xf numFmtId="0" fontId="37" fillId="2" borderId="14" xfId="0" applyFont="1" applyFill="1" applyBorder="1" applyAlignment="1">
      <alignment vertical="top"/>
    </xf>
    <xf numFmtId="0" fontId="37" fillId="2" borderId="8" xfId="0" applyFont="1" applyFill="1" applyBorder="1" applyAlignment="1">
      <alignment vertical="top"/>
    </xf>
    <xf numFmtId="0" fontId="32" fillId="2" borderId="0" xfId="0" applyFont="1" applyFill="1" applyAlignment="1">
      <alignment vertical="top"/>
    </xf>
    <xf numFmtId="0" fontId="40" fillId="2" borderId="17" xfId="0" applyFont="1" applyFill="1" applyBorder="1" applyAlignment="1">
      <alignment vertical="top"/>
    </xf>
    <xf numFmtId="0" fontId="40" fillId="2" borderId="18" xfId="0" applyFont="1" applyFill="1" applyBorder="1" applyAlignment="1">
      <alignment wrapText="1"/>
    </xf>
    <xf numFmtId="0" fontId="40" fillId="2" borderId="19" xfId="0" applyFont="1" applyFill="1" applyBorder="1"/>
    <xf numFmtId="0" fontId="40" fillId="2" borderId="7" xfId="0" applyFont="1" applyFill="1" applyBorder="1"/>
    <xf numFmtId="0" fontId="40" fillId="2" borderId="18" xfId="0" applyFont="1" applyFill="1" applyBorder="1" applyAlignment="1">
      <alignment vertical="top"/>
    </xf>
    <xf numFmtId="0" fontId="40" fillId="2" borderId="5" xfId="0" applyFont="1" applyFill="1" applyBorder="1" applyAlignment="1">
      <alignment vertical="top"/>
    </xf>
    <xf numFmtId="0" fontId="40" fillId="2" borderId="7" xfId="0" applyFont="1" applyFill="1" applyBorder="1" applyAlignment="1">
      <alignment vertical="top"/>
    </xf>
    <xf numFmtId="0" fontId="41" fillId="2" borderId="21" xfId="0" applyFont="1" applyFill="1" applyBorder="1" applyAlignment="1">
      <alignment vertical="top"/>
    </xf>
    <xf numFmtId="0" fontId="40" fillId="2" borderId="51" xfId="0" applyFont="1" applyFill="1" applyBorder="1" applyAlignment="1">
      <alignment vertical="top"/>
    </xf>
    <xf numFmtId="0" fontId="41" fillId="2" borderId="17" xfId="0" applyFont="1" applyFill="1" applyBorder="1"/>
    <xf numFmtId="0" fontId="40" fillId="2" borderId="18" xfId="0" applyFont="1" applyFill="1" applyBorder="1"/>
    <xf numFmtId="0" fontId="40" fillId="2" borderId="2" xfId="0" applyFont="1" applyFill="1" applyBorder="1" applyAlignment="1">
      <alignment vertical="top"/>
    </xf>
    <xf numFmtId="0" fontId="40" fillId="2" borderId="4" xfId="0" applyFont="1" applyFill="1" applyBorder="1"/>
    <xf numFmtId="0" fontId="42" fillId="2" borderId="50" xfId="0" applyFont="1" applyFill="1" applyBorder="1" applyAlignment="1">
      <alignment vertical="top"/>
    </xf>
    <xf numFmtId="0" fontId="40" fillId="2" borderId="17" xfId="0" applyFont="1" applyFill="1" applyBorder="1" applyAlignment="1">
      <alignment vertical="top" wrapText="1"/>
    </xf>
    <xf numFmtId="0" fontId="40" fillId="2" borderId="19" xfId="0" applyFont="1" applyFill="1" applyBorder="1" applyAlignment="1">
      <alignment vertical="top" wrapText="1"/>
    </xf>
    <xf numFmtId="0" fontId="40" fillId="2" borderId="20" xfId="0" applyFont="1" applyFill="1" applyBorder="1" applyAlignment="1">
      <alignment wrapText="1"/>
    </xf>
    <xf numFmtId="0" fontId="40" fillId="2" borderId="6" xfId="0" applyFont="1" applyFill="1" applyBorder="1" applyAlignment="1">
      <alignment wrapText="1"/>
    </xf>
    <xf numFmtId="0" fontId="40" fillId="2" borderId="12" xfId="0" applyFont="1" applyFill="1" applyBorder="1" applyAlignment="1">
      <alignment vertical="top"/>
    </xf>
    <xf numFmtId="0" fontId="40" fillId="2" borderId="58" xfId="0" applyFont="1" applyFill="1" applyBorder="1" applyAlignment="1">
      <alignment wrapText="1"/>
    </xf>
    <xf numFmtId="0" fontId="40" fillId="2" borderId="55" xfId="0" applyFont="1" applyFill="1" applyBorder="1" applyAlignment="1">
      <alignment vertical="top" wrapText="1"/>
    </xf>
    <xf numFmtId="0" fontId="40" fillId="2" borderId="54" xfId="0" applyFont="1" applyFill="1" applyBorder="1" applyAlignment="1">
      <alignment wrapText="1"/>
    </xf>
    <xf numFmtId="0" fontId="40" fillId="2" borderId="55" xfId="0" applyFont="1" applyFill="1" applyBorder="1" applyAlignment="1">
      <alignment vertical="top"/>
    </xf>
    <xf numFmtId="0" fontId="40" fillId="2" borderId="54" xfId="0" applyFont="1" applyFill="1" applyBorder="1" applyAlignment="1">
      <alignment vertical="top" wrapText="1"/>
    </xf>
    <xf numFmtId="0" fontId="41" fillId="2" borderId="21" xfId="0" applyFont="1" applyFill="1" applyBorder="1" applyAlignment="1">
      <alignment wrapText="1"/>
    </xf>
    <xf numFmtId="0" fontId="41" fillId="2" borderId="21" xfId="0" applyFont="1" applyFill="1" applyBorder="1"/>
    <xf numFmtId="0" fontId="41" fillId="2" borderId="22" xfId="0" applyFont="1" applyFill="1" applyBorder="1" applyAlignment="1">
      <alignment wrapText="1"/>
    </xf>
    <xf numFmtId="0" fontId="41" fillId="2" borderId="22" xfId="0" applyFont="1" applyFill="1" applyBorder="1"/>
    <xf numFmtId="0" fontId="41" fillId="2" borderId="24" xfId="0" applyFont="1" applyFill="1" applyBorder="1" applyAlignment="1">
      <alignment wrapText="1"/>
    </xf>
    <xf numFmtId="0" fontId="41" fillId="2" borderId="24" xfId="0" applyFont="1" applyFill="1" applyBorder="1"/>
    <xf numFmtId="0" fontId="45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46" fillId="0" borderId="0" xfId="0" applyFont="1" applyAlignment="1">
      <alignment vertical="top"/>
    </xf>
    <xf numFmtId="0" fontId="46" fillId="0" borderId="0" xfId="0" applyFont="1"/>
    <xf numFmtId="0" fontId="27" fillId="3" borderId="25" xfId="0" applyFont="1" applyFill="1" applyBorder="1" applyAlignment="1" applyProtection="1">
      <alignment horizontal="left" vertical="top" wrapText="1"/>
      <protection locked="0"/>
    </xf>
    <xf numFmtId="0" fontId="47" fillId="2" borderId="14" xfId="0" applyFont="1" applyFill="1" applyBorder="1" applyAlignment="1">
      <alignment vertical="top"/>
    </xf>
    <xf numFmtId="0" fontId="37" fillId="2" borderId="11" xfId="0" applyFont="1" applyFill="1" applyBorder="1" applyAlignment="1">
      <alignment vertical="top"/>
    </xf>
    <xf numFmtId="0" fontId="41" fillId="2" borderId="17" xfId="0" applyFont="1" applyFill="1" applyBorder="1" applyAlignment="1">
      <alignment wrapText="1"/>
    </xf>
    <xf numFmtId="0" fontId="41" fillId="2" borderId="18" xfId="0" applyFont="1" applyFill="1" applyBorder="1"/>
    <xf numFmtId="0" fontId="41" fillId="2" borderId="19" xfId="0" applyFont="1" applyFill="1" applyBorder="1" applyAlignment="1">
      <alignment wrapText="1"/>
    </xf>
    <xf numFmtId="0" fontId="41" fillId="2" borderId="20" xfId="0" applyFont="1" applyFill="1" applyBorder="1"/>
    <xf numFmtId="0" fontId="41" fillId="2" borderId="23" xfId="0" applyFont="1" applyFill="1" applyBorder="1" applyAlignment="1">
      <alignment wrapText="1"/>
    </xf>
    <xf numFmtId="0" fontId="41" fillId="2" borderId="26" xfId="0" applyFont="1" applyFill="1" applyBorder="1"/>
    <xf numFmtId="0" fontId="37" fillId="2" borderId="11" xfId="0" quotePrefix="1" applyFont="1" applyFill="1" applyBorder="1" applyAlignment="1">
      <alignment vertical="top"/>
    </xf>
    <xf numFmtId="0" fontId="49" fillId="4" borderId="0" xfId="0" applyFont="1" applyFill="1" applyAlignment="1">
      <alignment horizontal="center" wrapText="1"/>
    </xf>
    <xf numFmtId="0" fontId="49" fillId="4" borderId="0" xfId="0" applyFont="1" applyFill="1" applyAlignment="1">
      <alignment horizontal="left" wrapText="1"/>
    </xf>
    <xf numFmtId="0" fontId="37" fillId="0" borderId="14" xfId="0" applyFont="1" applyBorder="1" applyAlignment="1">
      <alignment horizontal="left" vertical="top" wrapText="1"/>
    </xf>
    <xf numFmtId="0" fontId="30" fillId="4" borderId="0" xfId="0" applyFont="1" applyFill="1" applyAlignment="1">
      <alignment wrapText="1"/>
    </xf>
    <xf numFmtId="0" fontId="34" fillId="3" borderId="0" xfId="0" applyFont="1" applyFill="1" applyAlignment="1">
      <alignment vertical="top"/>
    </xf>
    <xf numFmtId="0" fontId="37" fillId="2" borderId="14" xfId="0" applyFont="1" applyFill="1" applyBorder="1" applyAlignment="1">
      <alignment horizontal="left" vertical="top" wrapText="1"/>
    </xf>
    <xf numFmtId="0" fontId="48" fillId="0" borderId="1" xfId="0" applyFont="1" applyBorder="1" applyAlignment="1" applyProtection="1">
      <alignment horizontal="left" vertical="top" wrapText="1"/>
      <protection locked="0"/>
    </xf>
    <xf numFmtId="0" fontId="37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wrapText="1"/>
    </xf>
    <xf numFmtId="0" fontId="40" fillId="2" borderId="1" xfId="0" applyFont="1" applyFill="1" applyBorder="1"/>
    <xf numFmtId="0" fontId="40" fillId="2" borderId="21" xfId="0" applyFont="1" applyFill="1" applyBorder="1"/>
    <xf numFmtId="0" fontId="27" fillId="2" borderId="24" xfId="0" applyFont="1" applyFill="1" applyBorder="1"/>
    <xf numFmtId="0" fontId="32" fillId="2" borderId="12" xfId="0" applyFont="1" applyFill="1" applyBorder="1" applyAlignment="1">
      <alignment horizontal="left" vertical="top" wrapText="1"/>
    </xf>
    <xf numFmtId="0" fontId="40" fillId="2" borderId="2" xfId="0" applyFont="1" applyFill="1" applyBorder="1" applyAlignment="1">
      <alignment vertical="top" wrapText="1"/>
    </xf>
    <xf numFmtId="0" fontId="43" fillId="0" borderId="4" xfId="0" applyFont="1" applyBorder="1" applyAlignment="1">
      <alignment vertical="top" wrapText="1"/>
    </xf>
    <xf numFmtId="0" fontId="38" fillId="2" borderId="14" xfId="0" applyFont="1" applyFill="1" applyBorder="1" applyAlignment="1">
      <alignment vertical="top" wrapText="1"/>
    </xf>
    <xf numFmtId="0" fontId="38" fillId="0" borderId="14" xfId="0" applyFont="1" applyBorder="1" applyAlignment="1">
      <alignment vertical="top" wrapText="1"/>
    </xf>
    <xf numFmtId="0" fontId="38" fillId="0" borderId="8" xfId="0" applyFont="1" applyBorder="1" applyAlignment="1">
      <alignment vertical="top" wrapText="1"/>
    </xf>
    <xf numFmtId="0" fontId="41" fillId="2" borderId="9" xfId="0" applyFont="1" applyFill="1" applyBorder="1" applyAlignment="1">
      <alignment vertical="top" wrapText="1"/>
    </xf>
    <xf numFmtId="0" fontId="44" fillId="0" borderId="10" xfId="0" applyFont="1" applyBorder="1" applyAlignment="1">
      <alignment vertical="top" wrapText="1"/>
    </xf>
    <xf numFmtId="0" fontId="44" fillId="0" borderId="12" xfId="0" applyFont="1" applyBorder="1" applyAlignment="1">
      <alignment vertical="top" wrapText="1"/>
    </xf>
    <xf numFmtId="0" fontId="44" fillId="0" borderId="13" xfId="0" applyFont="1" applyBorder="1" applyAlignment="1">
      <alignment vertical="top" wrapText="1"/>
    </xf>
    <xf numFmtId="0" fontId="44" fillId="0" borderId="5" xfId="0" applyFont="1" applyBorder="1" applyAlignment="1">
      <alignment vertical="top" wrapText="1"/>
    </xf>
    <xf numFmtId="0" fontId="44" fillId="0" borderId="7" xfId="0" applyFont="1" applyBorder="1" applyAlignment="1">
      <alignment vertical="top" wrapText="1"/>
    </xf>
    <xf numFmtId="0" fontId="27" fillId="4" borderId="5" xfId="0" applyFont="1" applyFill="1" applyBorder="1" applyAlignment="1">
      <alignment horizontal="left" wrapText="1"/>
    </xf>
    <xf numFmtId="0" fontId="27" fillId="4" borderId="6" xfId="0" applyFont="1" applyFill="1" applyBorder="1" applyAlignment="1">
      <alignment horizontal="left" wrapText="1"/>
    </xf>
    <xf numFmtId="0" fontId="27" fillId="2" borderId="3" xfId="0" applyFont="1" applyFill="1" applyBorder="1" applyAlignment="1">
      <alignment vertical="top" wrapText="1"/>
    </xf>
    <xf numFmtId="0" fontId="0" fillId="0" borderId="4" xfId="0" applyBorder="1"/>
    <xf numFmtId="0" fontId="32" fillId="2" borderId="11" xfId="0" applyFont="1" applyFill="1" applyBorder="1" applyAlignment="1">
      <alignment horizontal="left" vertical="top"/>
    </xf>
    <xf numFmtId="0" fontId="32" fillId="2" borderId="14" xfId="0" applyFont="1" applyFill="1" applyBorder="1" applyAlignment="1">
      <alignment horizontal="left" vertical="top"/>
    </xf>
    <xf numFmtId="0" fontId="32" fillId="2" borderId="8" xfId="0" applyFont="1" applyFill="1" applyBorder="1" applyAlignment="1">
      <alignment horizontal="left" vertical="top"/>
    </xf>
    <xf numFmtId="0" fontId="40" fillId="2" borderId="60" xfId="0" applyFont="1" applyFill="1" applyBorder="1" applyAlignment="1">
      <alignment vertical="top" wrapText="1"/>
    </xf>
    <xf numFmtId="0" fontId="43" fillId="0" borderId="10" xfId="0" applyFont="1" applyBorder="1"/>
    <xf numFmtId="0" fontId="43" fillId="0" borderId="0" xfId="0" applyFont="1"/>
    <xf numFmtId="0" fontId="43" fillId="0" borderId="13" xfId="0" applyFont="1" applyBorder="1"/>
    <xf numFmtId="0" fontId="43" fillId="0" borderId="6" xfId="0" applyFont="1" applyBorder="1"/>
    <xf numFmtId="0" fontId="43" fillId="0" borderId="7" xfId="0" applyFont="1" applyBorder="1"/>
    <xf numFmtId="0" fontId="32" fillId="2" borderId="9" xfId="0" applyFont="1" applyFill="1" applyBorder="1" applyAlignment="1">
      <alignment vertical="top" wrapText="1"/>
    </xf>
    <xf numFmtId="0" fontId="39" fillId="0" borderId="12" xfId="0" applyFont="1" applyBorder="1"/>
    <xf numFmtId="0" fontId="39" fillId="0" borderId="5" xfId="0" applyFont="1" applyBorder="1"/>
    <xf numFmtId="0" fontId="40" fillId="2" borderId="2" xfId="0" applyFont="1" applyFill="1" applyBorder="1" applyAlignment="1">
      <alignment wrapText="1"/>
    </xf>
    <xf numFmtId="0" fontId="43" fillId="0" borderId="4" xfId="0" applyFont="1" applyBorder="1"/>
    <xf numFmtId="164" fontId="40" fillId="2" borderId="3" xfId="0" applyNumberFormat="1" applyFont="1" applyFill="1" applyBorder="1" applyAlignment="1">
      <alignment wrapText="1"/>
    </xf>
    <xf numFmtId="0" fontId="40" fillId="0" borderId="4" xfId="0" applyFont="1" applyBorder="1"/>
    <xf numFmtId="0" fontId="37" fillId="2" borderId="11" xfId="0" applyFont="1" applyFill="1" applyBorder="1" applyAlignment="1">
      <alignment horizontal="left" vertical="top" wrapText="1"/>
    </xf>
    <xf numFmtId="0" fontId="37" fillId="2" borderId="8" xfId="0" applyFont="1" applyFill="1" applyBorder="1" applyAlignment="1">
      <alignment horizontal="left" vertical="top" wrapText="1"/>
    </xf>
    <xf numFmtId="0" fontId="37" fillId="0" borderId="14" xfId="0" applyFont="1" applyBorder="1" applyAlignment="1">
      <alignment horizontal="left" vertical="top" wrapText="1"/>
    </xf>
    <xf numFmtId="0" fontId="40" fillId="0" borderId="2" xfId="0" applyFont="1" applyBorder="1" applyAlignment="1">
      <alignment vertical="top" wrapText="1"/>
    </xf>
    <xf numFmtId="3" fontId="0" fillId="0" borderId="2" xfId="0" applyNumberFormat="1" applyBorder="1" applyAlignment="1">
      <alignment horizontal="left" vertical="top"/>
    </xf>
    <xf numFmtId="3" fontId="0" fillId="0" borderId="3" xfId="0" applyNumberFormat="1" applyBorder="1" applyAlignment="1">
      <alignment horizontal="left" vertical="top"/>
    </xf>
    <xf numFmtId="3" fontId="0" fillId="0" borderId="4" xfId="0" applyNumberFormat="1" applyBorder="1" applyAlignment="1">
      <alignment horizontal="left" vertical="top"/>
    </xf>
    <xf numFmtId="3" fontId="0" fillId="0" borderId="2" xfId="0" applyNumberFormat="1" applyBorder="1" applyAlignment="1">
      <alignment horizontal="left" vertical="top" wrapText="1"/>
    </xf>
    <xf numFmtId="3" fontId="0" fillId="0" borderId="3" xfId="0" applyNumberFormat="1" applyBorder="1" applyAlignment="1">
      <alignment horizontal="left" vertical="top" wrapText="1"/>
    </xf>
    <xf numFmtId="3" fontId="0" fillId="0" borderId="4" xfId="0" applyNumberFormat="1" applyBorder="1" applyAlignment="1">
      <alignment horizontal="left" vertical="top" wrapText="1"/>
    </xf>
    <xf numFmtId="3" fontId="0" fillId="0" borderId="40" xfId="0" applyNumberFormat="1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3" fontId="0" fillId="0" borderId="42" xfId="0" applyNumberFormat="1" applyBorder="1" applyAlignment="1">
      <alignment horizontal="left" vertical="top"/>
    </xf>
    <xf numFmtId="3" fontId="0" fillId="0" borderId="27" xfId="0" applyNumberFormat="1" applyBorder="1" applyAlignment="1">
      <alignment horizontal="left" vertical="top"/>
    </xf>
    <xf numFmtId="3" fontId="0" fillId="0" borderId="43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9">
    <cellStyle name="Benyttet hyperkobling" xfId="7" builtinId="9" hidden="1"/>
    <cellStyle name="Benyttet hyperkobling" xfId="4" builtinId="9" hidden="1"/>
    <cellStyle name="Benyttet hyperkobling" xfId="2" builtinId="9" hidden="1"/>
    <cellStyle name="Benyttet hyperkobling" xfId="6" builtinId="9" hidden="1"/>
    <cellStyle name="Benyttet hyperkobling" xfId="5" builtinId="9" hidden="1"/>
    <cellStyle name="Hyperkobling" xfId="1" builtinId="8" hidden="1"/>
    <cellStyle name="Hyperkobling" xfId="8" builtinId="8"/>
    <cellStyle name="Normal" xfId="0" builtinId="0"/>
    <cellStyle name="Prosent" xfId="3" builtinId="5"/>
  </cellStyles>
  <dxfs count="2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 val="0"/>
        <i val="0"/>
        <color rgb="FF00B050"/>
      </font>
    </dxf>
    <dxf>
      <font>
        <color rgb="FF00B050"/>
      </font>
    </dxf>
  </dxfs>
  <tableStyles count="0" defaultTableStyle="TableStyleMedium9" defaultPivotStyle="PivotStyleMedium4"/>
  <colors>
    <mruColors>
      <color rgb="FFFF99CC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42" Type="http://schemas.openxmlformats.org/officeDocument/2006/relationships/customXml" Target="../customXml/item7.xml"/><Relationship Id="rId47" Type="http://schemas.openxmlformats.org/officeDocument/2006/relationships/customXml" Target="../customXml/item1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40" Type="http://schemas.openxmlformats.org/officeDocument/2006/relationships/customXml" Target="../customXml/item5.xml"/><Relationship Id="rId45" Type="http://schemas.openxmlformats.org/officeDocument/2006/relationships/customXml" Target="../customXml/item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49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43" Type="http://schemas.openxmlformats.org/officeDocument/2006/relationships/customXml" Target="../customXml/item8.xml"/><Relationship Id="rId48" Type="http://schemas.openxmlformats.org/officeDocument/2006/relationships/customXml" Target="../customXml/item1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46" Type="http://schemas.openxmlformats.org/officeDocument/2006/relationships/customXml" Target="../customXml/item11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turebuilt.no/Forbildeprosjek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99F7-26BA-4E4D-9FF8-1AF348DB9B25}">
  <sheetPr codeName="Ark2">
    <tabColor theme="0" tint="-0.14999847407452621"/>
    <pageSetUpPr fitToPage="1"/>
  </sheetPr>
  <dimension ref="A1:I110"/>
  <sheetViews>
    <sheetView tabSelected="1" zoomScale="130" zoomScaleNormal="130" zoomScalePageLayoutView="90" workbookViewId="0">
      <selection activeCell="C3" sqref="C3"/>
    </sheetView>
  </sheetViews>
  <sheetFormatPr baseColWidth="10" defaultColWidth="10.6640625" defaultRowHeight="14" x14ac:dyDescent="0.15"/>
  <cols>
    <col min="1" max="1" width="0.5" style="147" customWidth="1"/>
    <col min="2" max="2" width="3.5" style="166" customWidth="1"/>
    <col min="3" max="3" width="20" style="256" customWidth="1"/>
    <col min="4" max="4" width="35.1640625" style="191" bestFit="1" customWidth="1"/>
    <col min="5" max="5" width="27.33203125" style="210" customWidth="1"/>
    <col min="6" max="6" width="26.1640625" style="211" customWidth="1"/>
    <col min="7" max="7" width="42.83203125" style="191" customWidth="1"/>
    <col min="8" max="8" width="3.1640625" style="210" customWidth="1"/>
    <col min="9" max="9" width="15.33203125" style="147" customWidth="1"/>
    <col min="10" max="16384" width="10.6640625" style="147"/>
  </cols>
  <sheetData>
    <row r="1" spans="1:8" x14ac:dyDescent="0.15">
      <c r="A1" s="144"/>
      <c r="B1" s="143"/>
      <c r="C1" s="229"/>
      <c r="D1" s="145"/>
      <c r="E1" s="144"/>
      <c r="F1" s="146"/>
      <c r="G1" s="145"/>
      <c r="H1" s="144"/>
    </row>
    <row r="2" spans="1:8" x14ac:dyDescent="0.15">
      <c r="A2" s="144"/>
      <c r="B2" s="143"/>
      <c r="C2" s="230" t="s">
        <v>3462</v>
      </c>
      <c r="D2" s="145"/>
      <c r="E2" s="144"/>
      <c r="F2" s="146"/>
      <c r="G2" s="145"/>
      <c r="H2" s="144"/>
    </row>
    <row r="3" spans="1:8" x14ac:dyDescent="0.15">
      <c r="A3" s="144"/>
      <c r="B3" s="143"/>
      <c r="C3" s="305" t="s">
        <v>3463</v>
      </c>
      <c r="D3" s="145"/>
      <c r="E3" s="144"/>
      <c r="F3" s="146"/>
      <c r="G3" s="145"/>
      <c r="H3" s="144"/>
    </row>
    <row r="4" spans="1:8" x14ac:dyDescent="0.15">
      <c r="A4" s="144"/>
      <c r="B4" s="143"/>
      <c r="C4" s="229"/>
      <c r="D4" s="145"/>
      <c r="E4" s="144"/>
      <c r="F4" s="146"/>
      <c r="G4" s="145"/>
      <c r="H4" s="144"/>
    </row>
    <row r="5" spans="1:8" x14ac:dyDescent="0.15">
      <c r="A5" s="144"/>
      <c r="B5" s="143"/>
      <c r="C5" s="230" t="s">
        <v>0</v>
      </c>
      <c r="D5" s="145"/>
      <c r="E5" s="144"/>
      <c r="F5" s="146"/>
      <c r="G5" s="145"/>
      <c r="H5" s="144"/>
    </row>
    <row r="6" spans="1:8" x14ac:dyDescent="0.15">
      <c r="A6" s="144"/>
      <c r="B6" s="143"/>
      <c r="C6" s="229" t="s">
        <v>3460</v>
      </c>
      <c r="D6" s="145"/>
      <c r="E6" s="144"/>
      <c r="F6" s="146"/>
      <c r="G6" s="145"/>
      <c r="H6" s="144"/>
    </row>
    <row r="7" spans="1:8" x14ac:dyDescent="0.15">
      <c r="A7" s="144"/>
      <c r="B7" s="143"/>
      <c r="C7" s="229" t="s">
        <v>1</v>
      </c>
      <c r="D7" s="145"/>
      <c r="E7" s="144"/>
      <c r="F7" s="146"/>
      <c r="G7" s="145"/>
      <c r="H7" s="144"/>
    </row>
    <row r="8" spans="1:8" x14ac:dyDescent="0.15">
      <c r="A8" s="144"/>
      <c r="B8" s="143"/>
      <c r="C8" s="229"/>
      <c r="D8" s="145"/>
      <c r="E8" s="144"/>
      <c r="F8" s="146"/>
      <c r="G8" s="145"/>
      <c r="H8" s="144"/>
    </row>
    <row r="9" spans="1:8" x14ac:dyDescent="0.15">
      <c r="A9" s="144"/>
      <c r="B9" s="143"/>
      <c r="C9" s="229" t="s">
        <v>2</v>
      </c>
      <c r="D9" s="145"/>
      <c r="E9" s="144"/>
      <c r="F9" s="146"/>
      <c r="G9" s="145"/>
      <c r="H9" s="144"/>
    </row>
    <row r="10" spans="1:8" x14ac:dyDescent="0.15">
      <c r="A10" s="144"/>
      <c r="B10" s="143"/>
      <c r="C10" s="229" t="s">
        <v>3443</v>
      </c>
      <c r="D10" s="145"/>
      <c r="E10" s="144"/>
      <c r="F10" s="146"/>
      <c r="G10" s="145"/>
      <c r="H10" s="144"/>
    </row>
    <row r="11" spans="1:8" x14ac:dyDescent="0.15">
      <c r="A11" s="144"/>
      <c r="B11" s="143"/>
      <c r="C11" s="229"/>
      <c r="D11" s="145"/>
      <c r="E11" s="144"/>
      <c r="F11" s="146"/>
      <c r="G11" s="145"/>
      <c r="H11" s="144"/>
    </row>
    <row r="12" spans="1:8" x14ac:dyDescent="0.15">
      <c r="A12" s="144"/>
      <c r="B12" s="143"/>
      <c r="C12" s="229" t="s">
        <v>3</v>
      </c>
      <c r="D12" s="145"/>
      <c r="E12" s="144"/>
      <c r="F12" s="146"/>
      <c r="G12" s="145"/>
      <c r="H12" s="144"/>
    </row>
    <row r="13" spans="1:8" x14ac:dyDescent="0.15">
      <c r="A13" s="144"/>
      <c r="B13" s="143"/>
      <c r="C13" s="231" t="s">
        <v>4</v>
      </c>
      <c r="D13" s="144"/>
      <c r="E13" s="144"/>
      <c r="F13" s="146"/>
      <c r="G13" s="145"/>
      <c r="H13" s="144"/>
    </row>
    <row r="14" spans="1:8" x14ac:dyDescent="0.15">
      <c r="A14" s="144"/>
      <c r="B14" s="143"/>
      <c r="C14" s="230"/>
      <c r="D14" s="145"/>
      <c r="E14" s="144"/>
      <c r="F14" s="146"/>
      <c r="G14" s="145"/>
      <c r="H14" s="144"/>
    </row>
    <row r="15" spans="1:8" x14ac:dyDescent="0.15">
      <c r="A15" s="148"/>
      <c r="B15" s="149"/>
      <c r="C15" s="232"/>
      <c r="D15" s="150"/>
      <c r="E15" s="151"/>
      <c r="F15" s="152"/>
      <c r="G15" s="150"/>
      <c r="H15" s="151"/>
    </row>
    <row r="16" spans="1:8" x14ac:dyDescent="0.15">
      <c r="A16" s="148"/>
      <c r="B16" s="149"/>
      <c r="C16" s="232"/>
      <c r="D16" s="150"/>
      <c r="E16" s="151"/>
      <c r="F16" s="151"/>
      <c r="G16" s="150"/>
      <c r="H16" s="151"/>
    </row>
    <row r="17" spans="1:8" s="155" customFormat="1" ht="30" x14ac:dyDescent="0.15">
      <c r="A17" s="153"/>
      <c r="B17" s="154"/>
      <c r="C17" s="233" t="s">
        <v>5</v>
      </c>
      <c r="D17" s="138"/>
      <c r="E17" s="139"/>
      <c r="F17" s="140" t="s">
        <v>6</v>
      </c>
      <c r="G17" s="138" t="s">
        <v>7</v>
      </c>
      <c r="H17" s="139"/>
    </row>
    <row r="18" spans="1:8" s="155" customFormat="1" x14ac:dyDescent="0.15">
      <c r="A18" s="153"/>
      <c r="B18" s="154"/>
      <c r="C18" s="234" t="s">
        <v>8</v>
      </c>
      <c r="D18" s="343" t="s">
        <v>9</v>
      </c>
      <c r="E18" s="344"/>
      <c r="F18" s="141"/>
      <c r="G18" s="142"/>
      <c r="H18" s="139"/>
    </row>
    <row r="19" spans="1:8" s="155" customFormat="1" x14ac:dyDescent="0.15">
      <c r="A19" s="153"/>
      <c r="B19" s="154"/>
      <c r="C19" s="235"/>
      <c r="D19" s="154"/>
      <c r="E19" s="154"/>
      <c r="F19" s="154"/>
      <c r="G19" s="154"/>
      <c r="H19" s="139"/>
    </row>
    <row r="20" spans="1:8" s="155" customFormat="1" ht="30" x14ac:dyDescent="0.15">
      <c r="A20" s="153"/>
      <c r="B20" s="154"/>
      <c r="C20" s="236" t="s">
        <v>10</v>
      </c>
      <c r="D20" s="154"/>
      <c r="E20" s="154"/>
      <c r="F20" s="154"/>
      <c r="G20" s="154"/>
      <c r="H20" s="139"/>
    </row>
    <row r="21" spans="1:8" ht="15" x14ac:dyDescent="0.15">
      <c r="A21" s="148"/>
      <c r="B21" s="154"/>
      <c r="C21" s="237" t="s">
        <v>12</v>
      </c>
      <c r="D21" s="159"/>
      <c r="E21" s="160"/>
      <c r="F21" s="176"/>
      <c r="G21" s="220"/>
      <c r="H21" s="151"/>
    </row>
    <row r="22" spans="1:8" ht="13" x14ac:dyDescent="0.15">
      <c r="A22" s="148"/>
      <c r="B22" s="154"/>
      <c r="C22" s="345" t="s">
        <v>15</v>
      </c>
      <c r="D22" s="257" t="s">
        <v>16</v>
      </c>
      <c r="E22" s="258"/>
      <c r="F22" s="176"/>
      <c r="G22" s="224"/>
      <c r="H22" s="151"/>
    </row>
    <row r="23" spans="1:8" ht="13" x14ac:dyDescent="0.15">
      <c r="A23" s="148"/>
      <c r="B23" s="149"/>
      <c r="C23" s="346"/>
      <c r="D23" s="259" t="s">
        <v>17</v>
      </c>
      <c r="E23" s="260"/>
      <c r="F23" s="176"/>
      <c r="G23" s="225"/>
      <c r="H23" s="151"/>
    </row>
    <row r="24" spans="1:8" s="164" customFormat="1" ht="15" customHeight="1" x14ac:dyDescent="0.15">
      <c r="A24" s="163"/>
      <c r="B24" s="154"/>
      <c r="C24" s="345" t="s">
        <v>18</v>
      </c>
      <c r="D24" s="257" t="s">
        <v>19</v>
      </c>
      <c r="E24" s="261"/>
      <c r="F24" s="176"/>
      <c r="G24" s="224"/>
      <c r="H24" s="149"/>
    </row>
    <row r="25" spans="1:8" s="164" customFormat="1" ht="16" customHeight="1" x14ac:dyDescent="0.15">
      <c r="A25" s="163"/>
      <c r="B25" s="149"/>
      <c r="C25" s="346"/>
      <c r="D25" s="262" t="s">
        <v>20</v>
      </c>
      <c r="E25" s="263"/>
      <c r="F25" s="176"/>
      <c r="G25" s="224"/>
      <c r="H25" s="149"/>
    </row>
    <row r="26" spans="1:8" s="164" customFormat="1" ht="17" customHeight="1" x14ac:dyDescent="0.15">
      <c r="A26" s="163"/>
      <c r="B26" s="154"/>
      <c r="C26" s="238" t="s">
        <v>21</v>
      </c>
      <c r="D26" s="264" t="s">
        <v>3437</v>
      </c>
      <c r="E26" s="265"/>
      <c r="F26" s="161" t="s">
        <v>14</v>
      </c>
      <c r="G26" s="226"/>
      <c r="H26" s="149"/>
    </row>
    <row r="27" spans="1:8" ht="15" x14ac:dyDescent="0.15">
      <c r="A27" s="148"/>
      <c r="B27" s="154"/>
      <c r="C27" s="238" t="s">
        <v>23</v>
      </c>
      <c r="D27" s="266" t="s">
        <v>3455</v>
      </c>
      <c r="E27" s="258"/>
      <c r="F27" s="161" t="s">
        <v>14</v>
      </c>
      <c r="G27" s="219"/>
      <c r="H27" s="151"/>
    </row>
    <row r="28" spans="1:8" x14ac:dyDescent="0.15">
      <c r="A28" s="148"/>
      <c r="B28" s="154"/>
      <c r="C28" s="345" t="s">
        <v>24</v>
      </c>
      <c r="D28" s="266" t="s">
        <v>3455</v>
      </c>
      <c r="E28" s="267"/>
      <c r="F28" s="161" t="s">
        <v>14</v>
      </c>
      <c r="G28" s="224"/>
      <c r="H28" s="151"/>
    </row>
    <row r="29" spans="1:8" x14ac:dyDescent="0.15">
      <c r="A29" s="148"/>
      <c r="B29" s="154"/>
      <c r="C29" s="347"/>
      <c r="D29" s="264" t="s">
        <v>22</v>
      </c>
      <c r="E29" s="267"/>
      <c r="F29" s="161" t="s">
        <v>14</v>
      </c>
      <c r="G29" s="224"/>
      <c r="H29" s="151"/>
    </row>
    <row r="30" spans="1:8" x14ac:dyDescent="0.15">
      <c r="A30" s="148"/>
      <c r="B30" s="154"/>
      <c r="C30" s="347"/>
      <c r="D30" s="264" t="s">
        <v>22</v>
      </c>
      <c r="E30" s="267"/>
      <c r="F30" s="161" t="s">
        <v>14</v>
      </c>
      <c r="G30" s="225"/>
      <c r="H30" s="151"/>
    </row>
    <row r="31" spans="1:8" ht="15" x14ac:dyDescent="0.15">
      <c r="A31" s="148"/>
      <c r="B31" s="154"/>
      <c r="C31" s="303" t="s">
        <v>26</v>
      </c>
      <c r="D31" s="270"/>
      <c r="E31" s="265"/>
      <c r="F31" s="161" t="s">
        <v>14</v>
      </c>
      <c r="G31" s="165"/>
      <c r="H31" s="151"/>
    </row>
    <row r="32" spans="1:8" ht="15" x14ac:dyDescent="0.15">
      <c r="A32" s="148"/>
      <c r="B32" s="154"/>
      <c r="C32" s="308" t="s">
        <v>27</v>
      </c>
      <c r="D32" s="309"/>
      <c r="E32" s="310"/>
      <c r="F32" s="161" t="s">
        <v>14</v>
      </c>
      <c r="G32" s="223"/>
      <c r="H32" s="151"/>
    </row>
    <row r="33" spans="1:8" s="155" customFormat="1" x14ac:dyDescent="0.15">
      <c r="A33" s="153"/>
      <c r="B33" s="156"/>
      <c r="C33" s="240"/>
      <c r="D33" s="157"/>
      <c r="E33" s="139"/>
      <c r="F33" s="158"/>
      <c r="G33" s="138"/>
      <c r="H33" s="139"/>
    </row>
    <row r="34" spans="1:8" ht="15" x14ac:dyDescent="0.15">
      <c r="A34" s="148"/>
      <c r="B34" s="154"/>
      <c r="C34" s="236" t="s">
        <v>3427</v>
      </c>
      <c r="D34" s="150"/>
      <c r="E34" s="151"/>
      <c r="F34" s="140" t="s">
        <v>11</v>
      </c>
      <c r="G34" s="138" t="s">
        <v>7</v>
      </c>
      <c r="H34" s="151"/>
    </row>
    <row r="35" spans="1:8" ht="14" customHeight="1" x14ac:dyDescent="0.15">
      <c r="A35" s="148"/>
      <c r="B35" s="154"/>
      <c r="C35" s="241" t="s">
        <v>3402</v>
      </c>
      <c r="D35" s="314" t="s">
        <v>3414</v>
      </c>
      <c r="E35" s="315"/>
      <c r="F35" s="161" t="s">
        <v>14</v>
      </c>
      <c r="G35" s="162"/>
      <c r="H35" s="151"/>
    </row>
    <row r="36" spans="1:8" ht="14" customHeight="1" x14ac:dyDescent="0.15">
      <c r="A36" s="148"/>
      <c r="B36" s="154"/>
      <c r="C36" s="242"/>
      <c r="D36" s="314" t="s">
        <v>3413</v>
      </c>
      <c r="E36" s="315"/>
      <c r="F36" s="161" t="s">
        <v>14</v>
      </c>
      <c r="G36" s="162"/>
      <c r="H36" s="151"/>
    </row>
    <row r="37" spans="1:8" ht="14" customHeight="1" x14ac:dyDescent="0.15">
      <c r="A37" s="148"/>
      <c r="B37" s="154"/>
      <c r="C37" s="242"/>
      <c r="D37" s="348" t="s">
        <v>3457</v>
      </c>
      <c r="E37" s="315"/>
      <c r="F37" s="161" t="s">
        <v>14</v>
      </c>
      <c r="G37" s="162"/>
      <c r="H37" s="151"/>
    </row>
    <row r="38" spans="1:8" ht="14" customHeight="1" x14ac:dyDescent="0.15">
      <c r="A38" s="148"/>
      <c r="B38" s="154"/>
      <c r="C38" s="242"/>
      <c r="D38" s="314" t="s">
        <v>3415</v>
      </c>
      <c r="E38" s="315"/>
      <c r="F38" s="161" t="s">
        <v>14</v>
      </c>
      <c r="G38" s="162"/>
      <c r="H38" s="151"/>
    </row>
    <row r="39" spans="1:8" ht="13" customHeight="1" x14ac:dyDescent="0.15">
      <c r="A39" s="148"/>
      <c r="B39" s="154"/>
      <c r="C39" s="242"/>
      <c r="D39" s="314" t="s">
        <v>3416</v>
      </c>
      <c r="E39" s="315"/>
      <c r="F39" s="161" t="s">
        <v>14</v>
      </c>
      <c r="G39" s="162"/>
      <c r="H39" s="151"/>
    </row>
    <row r="40" spans="1:8" ht="14" customHeight="1" x14ac:dyDescent="0.15">
      <c r="A40" s="148"/>
      <c r="B40" s="154"/>
      <c r="C40" s="242"/>
      <c r="D40" s="314" t="s">
        <v>3417</v>
      </c>
      <c r="E40" s="315"/>
      <c r="F40" s="161" t="s">
        <v>14</v>
      </c>
      <c r="G40" s="162"/>
      <c r="H40" s="151"/>
    </row>
    <row r="41" spans="1:8" ht="25" customHeight="1" x14ac:dyDescent="0.15">
      <c r="A41" s="148"/>
      <c r="B41" s="154"/>
      <c r="C41" s="242"/>
      <c r="D41" s="314" t="s">
        <v>3449</v>
      </c>
      <c r="E41" s="315"/>
      <c r="F41" s="161" t="s">
        <v>14</v>
      </c>
      <c r="G41" s="307"/>
      <c r="H41" s="151"/>
    </row>
    <row r="42" spans="1:8" ht="15" x14ac:dyDescent="0.15">
      <c r="A42" s="148"/>
      <c r="B42" s="149"/>
      <c r="C42" s="238" t="s">
        <v>3404</v>
      </c>
      <c r="D42" s="268" t="s">
        <v>3405</v>
      </c>
      <c r="E42" s="269"/>
      <c r="F42" s="176"/>
      <c r="G42" s="225"/>
      <c r="H42" s="151"/>
    </row>
    <row r="43" spans="1:8" x14ac:dyDescent="0.15">
      <c r="A43" s="148"/>
      <c r="B43" s="154"/>
      <c r="C43" s="306"/>
      <c r="D43" s="341" t="s">
        <v>25</v>
      </c>
      <c r="E43" s="342"/>
      <c r="F43" s="176"/>
      <c r="G43" s="225"/>
      <c r="H43" s="151"/>
    </row>
    <row r="44" spans="1:8" ht="13" customHeight="1" x14ac:dyDescent="0.15">
      <c r="A44" s="148"/>
      <c r="B44" s="154"/>
      <c r="C44" s="238" t="s">
        <v>3456</v>
      </c>
      <c r="D44" s="311" t="s">
        <v>3421</v>
      </c>
      <c r="E44" s="267"/>
      <c r="F44" s="181"/>
      <c r="G44" s="220"/>
      <c r="H44" s="151"/>
    </row>
    <row r="45" spans="1:8" ht="13" customHeight="1" x14ac:dyDescent="0.15">
      <c r="A45" s="148"/>
      <c r="B45" s="149"/>
      <c r="C45" s="239"/>
      <c r="D45" s="312"/>
      <c r="E45" s="169"/>
      <c r="F45" s="184"/>
      <c r="G45" s="184"/>
      <c r="H45" s="151"/>
    </row>
    <row r="46" spans="1:8" x14ac:dyDescent="0.15">
      <c r="A46" s="148"/>
      <c r="B46" s="154"/>
      <c r="C46" s="316" t="s">
        <v>13</v>
      </c>
      <c r="D46" s="319" t="s">
        <v>3418</v>
      </c>
      <c r="E46" s="320"/>
      <c r="F46" s="161" t="s">
        <v>14</v>
      </c>
      <c r="G46" s="219"/>
      <c r="H46" s="151"/>
    </row>
    <row r="47" spans="1:8" x14ac:dyDescent="0.15">
      <c r="A47" s="148"/>
      <c r="B47" s="154"/>
      <c r="C47" s="317"/>
      <c r="D47" s="321"/>
      <c r="E47" s="322"/>
      <c r="F47" s="161" t="s">
        <v>14</v>
      </c>
      <c r="G47" s="220"/>
      <c r="H47" s="151"/>
    </row>
    <row r="48" spans="1:8" x14ac:dyDescent="0.15">
      <c r="A48" s="148"/>
      <c r="B48" s="154"/>
      <c r="C48" s="318"/>
      <c r="D48" s="323"/>
      <c r="E48" s="324"/>
      <c r="F48" s="161" t="s">
        <v>14</v>
      </c>
      <c r="G48" s="221"/>
      <c r="H48" s="151"/>
    </row>
    <row r="49" spans="1:8" x14ac:dyDescent="0.15">
      <c r="A49" s="148"/>
      <c r="B49" s="149"/>
      <c r="C49" s="232"/>
      <c r="D49" s="150"/>
      <c r="E49" s="151"/>
      <c r="F49" s="152"/>
      <c r="G49" s="150"/>
      <c r="H49" s="151"/>
    </row>
    <row r="50" spans="1:8" x14ac:dyDescent="0.15">
      <c r="A50" s="148"/>
      <c r="B50" s="154"/>
      <c r="C50" s="243" t="s">
        <v>29</v>
      </c>
      <c r="D50" s="325"/>
      <c r="E50" s="326"/>
      <c r="F50" s="138" t="s">
        <v>3422</v>
      </c>
      <c r="G50" s="138" t="s">
        <v>7</v>
      </c>
      <c r="H50" s="151"/>
    </row>
    <row r="51" spans="1:8" x14ac:dyDescent="0.15">
      <c r="A51" s="148"/>
      <c r="B51" s="154"/>
      <c r="C51" s="234" t="s">
        <v>30</v>
      </c>
      <c r="D51" s="167"/>
      <c r="E51" s="170"/>
      <c r="F51" s="161"/>
      <c r="G51" s="142"/>
      <c r="H51" s="151"/>
    </row>
    <row r="52" spans="1:8" x14ac:dyDescent="0.15">
      <c r="A52" s="148"/>
      <c r="B52" s="154"/>
      <c r="C52" s="244" t="s">
        <v>3423</v>
      </c>
      <c r="D52" s="171"/>
      <c r="E52" s="172"/>
      <c r="F52" s="168"/>
      <c r="G52" s="173"/>
      <c r="H52" s="151"/>
    </row>
    <row r="53" spans="1:8" x14ac:dyDescent="0.15">
      <c r="A53" s="148"/>
      <c r="B53" s="154"/>
      <c r="C53" s="244" t="s">
        <v>31</v>
      </c>
      <c r="D53" s="171"/>
      <c r="E53" s="172"/>
      <c r="F53" s="168"/>
      <c r="G53" s="216"/>
      <c r="H53" s="151"/>
    </row>
    <row r="54" spans="1:8" x14ac:dyDescent="0.15">
      <c r="A54" s="148"/>
      <c r="B54" s="154"/>
      <c r="C54" s="244" t="s">
        <v>32</v>
      </c>
      <c r="D54" s="171"/>
      <c r="E54" s="172"/>
      <c r="F54" s="168"/>
      <c r="G54" s="173"/>
      <c r="H54" s="151"/>
    </row>
    <row r="55" spans="1:8" x14ac:dyDescent="0.15">
      <c r="A55" s="148"/>
      <c r="B55" s="154"/>
      <c r="C55" s="244" t="s">
        <v>33</v>
      </c>
      <c r="D55" s="171"/>
      <c r="E55" s="172"/>
      <c r="F55" s="168"/>
      <c r="G55" s="173"/>
      <c r="H55" s="151"/>
    </row>
    <row r="56" spans="1:8" x14ac:dyDescent="0.15">
      <c r="A56" s="148"/>
      <c r="B56" s="154"/>
      <c r="C56" s="244" t="s">
        <v>34</v>
      </c>
      <c r="D56" s="171"/>
      <c r="E56" s="172"/>
      <c r="F56" s="168"/>
      <c r="G56" s="173"/>
      <c r="H56" s="151"/>
    </row>
    <row r="57" spans="1:8" x14ac:dyDescent="0.15">
      <c r="A57" s="148"/>
      <c r="B57" s="154"/>
      <c r="C57" s="244" t="s">
        <v>35</v>
      </c>
      <c r="D57" s="171"/>
      <c r="E57" s="172"/>
      <c r="F57" s="168"/>
      <c r="G57" s="173"/>
      <c r="H57" s="151"/>
    </row>
    <row r="58" spans="1:8" x14ac:dyDescent="0.15">
      <c r="A58" s="148"/>
      <c r="B58" s="154"/>
      <c r="C58" s="245" t="s">
        <v>3424</v>
      </c>
      <c r="D58" s="171"/>
      <c r="E58" s="172"/>
      <c r="F58" s="168"/>
      <c r="G58" s="173"/>
      <c r="H58" s="151"/>
    </row>
    <row r="59" spans="1:8" x14ac:dyDescent="0.15">
      <c r="A59" s="148"/>
      <c r="B59" s="154"/>
      <c r="C59" s="234" t="s">
        <v>37</v>
      </c>
      <c r="D59" s="167"/>
      <c r="E59" s="174"/>
      <c r="F59" s="161"/>
      <c r="G59" s="142"/>
      <c r="H59" s="151"/>
    </row>
    <row r="60" spans="1:8" x14ac:dyDescent="0.15">
      <c r="A60" s="148"/>
      <c r="B60" s="154"/>
      <c r="C60" s="234" t="s">
        <v>38</v>
      </c>
      <c r="D60" s="167"/>
      <c r="E60" s="174"/>
      <c r="F60" s="161"/>
      <c r="G60" s="142"/>
      <c r="H60" s="151"/>
    </row>
    <row r="61" spans="1:8" x14ac:dyDescent="0.15">
      <c r="A61" s="148"/>
      <c r="B61" s="154"/>
      <c r="C61" s="234" t="s">
        <v>39</v>
      </c>
      <c r="D61" s="167"/>
      <c r="E61" s="174"/>
      <c r="F61" s="161"/>
      <c r="G61" s="142"/>
      <c r="H61" s="151"/>
    </row>
    <row r="62" spans="1:8" x14ac:dyDescent="0.15">
      <c r="A62" s="148"/>
      <c r="B62" s="154"/>
      <c r="C62" s="234" t="s">
        <v>40</v>
      </c>
      <c r="D62" s="167"/>
      <c r="E62" s="174"/>
      <c r="F62" s="161"/>
      <c r="G62" s="142"/>
      <c r="H62" s="151"/>
    </row>
    <row r="63" spans="1:8" x14ac:dyDescent="0.15">
      <c r="A63" s="148"/>
      <c r="B63" s="154"/>
      <c r="C63" s="246" t="s">
        <v>41</v>
      </c>
      <c r="D63" s="167"/>
      <c r="E63" s="174"/>
      <c r="F63" s="161"/>
      <c r="G63" s="142"/>
      <c r="H63" s="151"/>
    </row>
    <row r="64" spans="1:8" x14ac:dyDescent="0.15">
      <c r="A64" s="148"/>
      <c r="B64" s="154"/>
      <c r="C64" s="234" t="s">
        <v>42</v>
      </c>
      <c r="D64" s="167"/>
      <c r="E64" s="174"/>
      <c r="F64" s="161"/>
      <c r="G64" s="142"/>
      <c r="H64" s="151"/>
    </row>
    <row r="65" spans="1:8" x14ac:dyDescent="0.15">
      <c r="A65" s="148"/>
      <c r="B65" s="154"/>
      <c r="C65" s="247" t="s">
        <v>3425</v>
      </c>
      <c r="D65" s="167"/>
      <c r="E65" s="174"/>
      <c r="F65" s="161"/>
      <c r="G65" s="142"/>
      <c r="H65" s="151"/>
    </row>
    <row r="66" spans="1:8" x14ac:dyDescent="0.15">
      <c r="A66" s="148"/>
      <c r="B66" s="154"/>
      <c r="C66" s="247" t="s">
        <v>3426</v>
      </c>
      <c r="D66" s="167"/>
      <c r="E66" s="174"/>
      <c r="F66" s="161"/>
      <c r="G66" s="142"/>
      <c r="H66" s="151"/>
    </row>
    <row r="67" spans="1:8" x14ac:dyDescent="0.15">
      <c r="A67" s="148"/>
      <c r="B67" s="154"/>
      <c r="C67" s="247" t="s">
        <v>3430</v>
      </c>
      <c r="D67" s="167"/>
      <c r="E67" s="174"/>
      <c r="F67" s="161"/>
      <c r="G67" s="142"/>
      <c r="H67" s="151"/>
    </row>
    <row r="68" spans="1:8" x14ac:dyDescent="0.15">
      <c r="A68" s="148"/>
      <c r="B68" s="154"/>
      <c r="C68" s="234" t="s">
        <v>43</v>
      </c>
      <c r="D68" s="327"/>
      <c r="E68" s="328"/>
      <c r="F68" s="161"/>
      <c r="G68" s="142"/>
      <c r="H68" s="151"/>
    </row>
    <row r="69" spans="1:8" x14ac:dyDescent="0.15">
      <c r="A69" s="148"/>
      <c r="B69" s="154"/>
      <c r="C69" s="248" t="s">
        <v>44</v>
      </c>
      <c r="D69" s="175"/>
      <c r="E69" s="172"/>
      <c r="F69" s="176"/>
      <c r="G69" s="177"/>
      <c r="H69" s="151"/>
    </row>
    <row r="70" spans="1:8" x14ac:dyDescent="0.15">
      <c r="A70" s="148"/>
      <c r="B70" s="154"/>
      <c r="C70" s="249"/>
      <c r="D70" s="178"/>
      <c r="E70" s="179"/>
      <c r="F70" s="180"/>
      <c r="G70" s="181"/>
      <c r="H70" s="151"/>
    </row>
    <row r="71" spans="1:8" x14ac:dyDescent="0.15">
      <c r="A71" s="148"/>
      <c r="B71" s="154"/>
      <c r="C71" s="250"/>
      <c r="D71" s="182"/>
      <c r="E71" s="170"/>
      <c r="F71" s="183"/>
      <c r="G71" s="184"/>
      <c r="H71" s="151"/>
    </row>
    <row r="72" spans="1:8" x14ac:dyDescent="0.15">
      <c r="A72" s="148"/>
      <c r="B72" s="154"/>
      <c r="C72" s="248" t="s">
        <v>3412</v>
      </c>
      <c r="D72" s="175"/>
      <c r="E72" s="185"/>
      <c r="F72" s="176"/>
      <c r="G72" s="177"/>
      <c r="H72" s="151"/>
    </row>
    <row r="73" spans="1:8" x14ac:dyDescent="0.15">
      <c r="A73" s="148"/>
      <c r="B73" s="154"/>
      <c r="C73" s="251"/>
      <c r="D73" s="227"/>
      <c r="E73" s="228"/>
      <c r="F73" s="186"/>
      <c r="G73" s="187"/>
      <c r="H73" s="151"/>
    </row>
    <row r="74" spans="1:8" ht="13" x14ac:dyDescent="0.15">
      <c r="A74" s="148"/>
      <c r="B74" s="154"/>
      <c r="C74" s="338" t="s">
        <v>45</v>
      </c>
      <c r="D74" s="332" t="s">
        <v>46</v>
      </c>
      <c r="E74" s="333"/>
      <c r="F74" s="176"/>
      <c r="G74" s="177"/>
      <c r="H74" s="151"/>
    </row>
    <row r="75" spans="1:8" ht="13" x14ac:dyDescent="0.15">
      <c r="A75" s="148"/>
      <c r="B75" s="154"/>
      <c r="C75" s="339"/>
      <c r="D75" s="334"/>
      <c r="E75" s="335"/>
      <c r="F75" s="180"/>
      <c r="G75" s="181"/>
      <c r="H75" s="151"/>
    </row>
    <row r="76" spans="1:8" ht="13" x14ac:dyDescent="0.15">
      <c r="A76" s="148"/>
      <c r="B76" s="154"/>
      <c r="C76" s="339"/>
      <c r="D76" s="334"/>
      <c r="E76" s="335"/>
      <c r="F76" s="180"/>
      <c r="G76" s="181"/>
      <c r="H76" s="151"/>
    </row>
    <row r="77" spans="1:8" ht="13" x14ac:dyDescent="0.15">
      <c r="A77" s="148"/>
      <c r="B77" s="154"/>
      <c r="C77" s="340"/>
      <c r="D77" s="336"/>
      <c r="E77" s="337"/>
      <c r="F77" s="183"/>
      <c r="G77" s="291"/>
      <c r="H77" s="151"/>
    </row>
    <row r="78" spans="1:8" ht="13" x14ac:dyDescent="0.15">
      <c r="A78" s="148"/>
      <c r="B78" s="154"/>
      <c r="C78" s="338" t="s">
        <v>47</v>
      </c>
      <c r="D78" s="332" t="s">
        <v>48</v>
      </c>
      <c r="E78" s="333"/>
      <c r="F78" s="176"/>
      <c r="G78" s="177"/>
      <c r="H78" s="151"/>
    </row>
    <row r="79" spans="1:8" ht="13" x14ac:dyDescent="0.15">
      <c r="A79" s="148"/>
      <c r="B79" s="154"/>
      <c r="C79" s="339"/>
      <c r="D79" s="334"/>
      <c r="E79" s="335"/>
      <c r="F79" s="180"/>
      <c r="G79" s="181"/>
      <c r="H79" s="151"/>
    </row>
    <row r="80" spans="1:8" ht="13" x14ac:dyDescent="0.15">
      <c r="A80" s="148"/>
      <c r="B80" s="154"/>
      <c r="C80" s="339"/>
      <c r="D80" s="334"/>
      <c r="E80" s="335"/>
      <c r="F80" s="180"/>
      <c r="G80" s="181"/>
      <c r="H80" s="151"/>
    </row>
    <row r="81" spans="1:9" ht="13" x14ac:dyDescent="0.15">
      <c r="A81" s="148"/>
      <c r="B81" s="149"/>
      <c r="C81" s="340"/>
      <c r="D81" s="336"/>
      <c r="E81" s="337"/>
      <c r="F81" s="183"/>
      <c r="G81" s="291"/>
      <c r="H81" s="151"/>
    </row>
    <row r="82" spans="1:9" x14ac:dyDescent="0.15">
      <c r="A82" s="148"/>
      <c r="B82" s="149"/>
      <c r="C82" s="232"/>
      <c r="D82" s="150"/>
      <c r="E82" s="151"/>
      <c r="F82" s="152"/>
      <c r="G82" s="150"/>
      <c r="H82" s="151"/>
    </row>
    <row r="83" spans="1:9" x14ac:dyDescent="0.15">
      <c r="A83" s="148"/>
      <c r="B83" s="149"/>
      <c r="C83" s="252" t="s">
        <v>49</v>
      </c>
      <c r="D83" s="214"/>
      <c r="E83" s="151"/>
      <c r="F83" s="140" t="s">
        <v>11</v>
      </c>
      <c r="G83" s="138" t="s">
        <v>7</v>
      </c>
      <c r="H83" s="151"/>
    </row>
    <row r="84" spans="1:9" ht="26" x14ac:dyDescent="0.15">
      <c r="A84" s="148"/>
      <c r="B84" s="189"/>
      <c r="C84" s="329"/>
      <c r="D84" s="271" t="s">
        <v>50</v>
      </c>
      <c r="E84" s="258" t="s">
        <v>51</v>
      </c>
      <c r="F84" s="176"/>
      <c r="G84" s="218"/>
      <c r="H84" s="151"/>
    </row>
    <row r="85" spans="1:9" ht="26" x14ac:dyDescent="0.15">
      <c r="A85" s="148"/>
      <c r="B85" s="189"/>
      <c r="C85" s="330"/>
      <c r="D85" s="272" t="s">
        <v>52</v>
      </c>
      <c r="E85" s="273" t="s">
        <v>51</v>
      </c>
      <c r="F85" s="188"/>
      <c r="G85" s="190"/>
      <c r="H85" s="151"/>
    </row>
    <row r="86" spans="1:9" ht="13" x14ac:dyDescent="0.15">
      <c r="A86" s="148"/>
      <c r="B86" s="149"/>
      <c r="C86" s="331"/>
      <c r="D86" s="262" t="s">
        <v>53</v>
      </c>
      <c r="E86" s="274" t="s">
        <v>51</v>
      </c>
      <c r="F86" s="183"/>
      <c r="G86" s="192"/>
      <c r="H86" s="151"/>
    </row>
    <row r="87" spans="1:9" ht="13" x14ac:dyDescent="0.15">
      <c r="A87" s="148"/>
      <c r="B87" s="149"/>
      <c r="C87" s="313" t="s">
        <v>54</v>
      </c>
      <c r="D87" s="275" t="s">
        <v>55</v>
      </c>
      <c r="E87" s="276" t="s">
        <v>56</v>
      </c>
      <c r="F87" s="217"/>
      <c r="G87" s="181"/>
      <c r="H87" s="151"/>
      <c r="I87" s="193"/>
    </row>
    <row r="88" spans="1:9" ht="26" x14ac:dyDescent="0.15">
      <c r="A88" s="148"/>
      <c r="B88" s="149"/>
      <c r="C88" s="313"/>
      <c r="D88" s="277" t="s">
        <v>57</v>
      </c>
      <c r="E88" s="278" t="s">
        <v>56</v>
      </c>
      <c r="F88" s="194"/>
      <c r="G88" s="195"/>
      <c r="H88" s="151"/>
    </row>
    <row r="89" spans="1:9" ht="26" x14ac:dyDescent="0.15">
      <c r="A89" s="148"/>
      <c r="B89" s="149"/>
      <c r="C89" s="313"/>
      <c r="D89" s="277" t="s">
        <v>58</v>
      </c>
      <c r="E89" s="278" t="s">
        <v>56</v>
      </c>
      <c r="F89" s="196"/>
      <c r="G89" s="187"/>
      <c r="H89" s="151"/>
    </row>
    <row r="90" spans="1:9" ht="31" customHeight="1" x14ac:dyDescent="0.15">
      <c r="A90" s="148"/>
      <c r="B90" s="189"/>
      <c r="C90" s="253"/>
      <c r="D90" s="279" t="s">
        <v>59</v>
      </c>
      <c r="E90" s="280" t="s">
        <v>60</v>
      </c>
      <c r="F90" s="196"/>
      <c r="G90" s="197"/>
      <c r="H90" s="151"/>
    </row>
    <row r="91" spans="1:9" x14ac:dyDescent="0.15">
      <c r="A91" s="148"/>
      <c r="B91" s="149"/>
      <c r="C91" s="232"/>
      <c r="D91" s="150"/>
      <c r="E91" s="151"/>
      <c r="F91" s="152"/>
      <c r="G91" s="150"/>
      <c r="H91" s="151"/>
    </row>
    <row r="92" spans="1:9" s="215" customFormat="1" ht="30" x14ac:dyDescent="0.15">
      <c r="A92" s="212"/>
      <c r="B92" s="213"/>
      <c r="C92" s="233" t="s">
        <v>3461</v>
      </c>
      <c r="D92" s="304"/>
      <c r="E92" s="214"/>
      <c r="F92" s="301" t="s">
        <v>6</v>
      </c>
      <c r="G92" s="302" t="s">
        <v>7</v>
      </c>
      <c r="H92" s="214"/>
    </row>
    <row r="93" spans="1:9" s="215" customFormat="1" x14ac:dyDescent="0.15">
      <c r="A93" s="212"/>
      <c r="B93" s="213"/>
      <c r="C93" s="293" t="s">
        <v>3459</v>
      </c>
      <c r="D93" s="294" t="s">
        <v>3448</v>
      </c>
      <c r="E93" s="295" t="s">
        <v>63</v>
      </c>
      <c r="F93" s="198"/>
      <c r="G93" s="202"/>
      <c r="H93" s="214"/>
    </row>
    <row r="94" spans="1:9" s="215" customFormat="1" x14ac:dyDescent="0.15">
      <c r="A94" s="212"/>
      <c r="B94" s="213"/>
      <c r="C94" s="254"/>
      <c r="D94" s="296" t="s">
        <v>64</v>
      </c>
      <c r="E94" s="297" t="s">
        <v>63</v>
      </c>
      <c r="F94" s="199"/>
      <c r="G94" s="200"/>
      <c r="H94" s="214"/>
    </row>
    <row r="95" spans="1:9" s="215" customFormat="1" x14ac:dyDescent="0.15">
      <c r="A95" s="212"/>
      <c r="B95" s="213"/>
      <c r="C95" s="254"/>
      <c r="D95" s="298" t="s">
        <v>62</v>
      </c>
      <c r="E95" s="299" t="s">
        <v>63</v>
      </c>
      <c r="F95" s="201"/>
      <c r="G95" s="200"/>
      <c r="H95" s="214"/>
    </row>
    <row r="96" spans="1:9" s="215" customFormat="1" x14ac:dyDescent="0.15">
      <c r="A96" s="212"/>
      <c r="B96" s="213"/>
      <c r="C96" s="300" t="s">
        <v>65</v>
      </c>
      <c r="D96" s="294" t="s">
        <v>3448</v>
      </c>
      <c r="E96" s="295" t="s">
        <v>63</v>
      </c>
      <c r="F96" s="198"/>
      <c r="G96" s="202"/>
      <c r="H96" s="214"/>
    </row>
    <row r="97" spans="1:8" s="215" customFormat="1" x14ac:dyDescent="0.15">
      <c r="A97" s="212"/>
      <c r="B97" s="213"/>
      <c r="C97" s="254"/>
      <c r="D97" s="296" t="s">
        <v>64</v>
      </c>
      <c r="E97" s="297" t="s">
        <v>63</v>
      </c>
      <c r="F97" s="199"/>
      <c r="G97" s="200"/>
      <c r="H97" s="214"/>
    </row>
    <row r="98" spans="1:8" s="215" customFormat="1" x14ac:dyDescent="0.15">
      <c r="A98" s="212"/>
      <c r="B98" s="213"/>
      <c r="C98" s="254"/>
      <c r="D98" s="298" t="s">
        <v>62</v>
      </c>
      <c r="E98" s="299" t="s">
        <v>63</v>
      </c>
      <c r="F98" s="201"/>
      <c r="G98" s="200"/>
      <c r="H98" s="214"/>
    </row>
    <row r="99" spans="1:8" s="215" customFormat="1" x14ac:dyDescent="0.15">
      <c r="A99" s="212"/>
      <c r="B99" s="213"/>
      <c r="C99" s="300" t="s">
        <v>66</v>
      </c>
      <c r="D99" s="294" t="s">
        <v>3448</v>
      </c>
      <c r="E99" s="295" t="s">
        <v>63</v>
      </c>
      <c r="F99" s="198"/>
      <c r="G99" s="202"/>
      <c r="H99" s="214"/>
    </row>
    <row r="100" spans="1:8" s="215" customFormat="1" x14ac:dyDescent="0.15">
      <c r="A100" s="212"/>
      <c r="B100" s="213"/>
      <c r="C100" s="254"/>
      <c r="D100" s="296" t="s">
        <v>64</v>
      </c>
      <c r="E100" s="297" t="s">
        <v>63</v>
      </c>
      <c r="F100" s="199"/>
      <c r="G100" s="200"/>
      <c r="H100" s="214"/>
    </row>
    <row r="101" spans="1:8" s="215" customFormat="1" x14ac:dyDescent="0.15">
      <c r="A101" s="212"/>
      <c r="B101" s="213"/>
      <c r="C101" s="255"/>
      <c r="D101" s="298" t="s">
        <v>62</v>
      </c>
      <c r="E101" s="299" t="s">
        <v>63</v>
      </c>
      <c r="F101" s="201"/>
      <c r="G101" s="203"/>
      <c r="H101" s="214"/>
    </row>
    <row r="102" spans="1:8" x14ac:dyDescent="0.15">
      <c r="A102" s="148"/>
      <c r="B102" s="149"/>
      <c r="C102" s="232"/>
      <c r="D102" s="150"/>
      <c r="E102" s="151"/>
      <c r="F102" s="152"/>
      <c r="G102" s="150"/>
      <c r="H102" s="151"/>
    </row>
    <row r="103" spans="1:8" x14ac:dyDescent="0.15">
      <c r="A103" s="148"/>
      <c r="B103" s="149"/>
      <c r="C103" s="243" t="s">
        <v>67</v>
      </c>
      <c r="D103" s="150"/>
      <c r="E103" s="151"/>
      <c r="F103" s="140" t="s">
        <v>6</v>
      </c>
      <c r="G103" s="138" t="s">
        <v>7</v>
      </c>
      <c r="H103" s="151"/>
    </row>
    <row r="104" spans="1:8" x14ac:dyDescent="0.15">
      <c r="A104" s="148"/>
      <c r="B104" s="149"/>
      <c r="C104" s="292" t="s">
        <v>3447</v>
      </c>
      <c r="D104" s="281" t="s">
        <v>3445</v>
      </c>
      <c r="E104" s="282" t="s">
        <v>68</v>
      </c>
      <c r="F104" s="204"/>
      <c r="G104" s="177"/>
      <c r="H104" s="151"/>
    </row>
    <row r="105" spans="1:8" x14ac:dyDescent="0.15">
      <c r="A105" s="148"/>
      <c r="B105" s="149"/>
      <c r="C105" s="254"/>
      <c r="D105" s="283" t="s">
        <v>2938</v>
      </c>
      <c r="E105" s="284" t="s">
        <v>68</v>
      </c>
      <c r="F105" s="205"/>
      <c r="G105" s="206"/>
      <c r="H105" s="151"/>
    </row>
    <row r="106" spans="1:8" x14ac:dyDescent="0.15">
      <c r="A106" s="148"/>
      <c r="B106" s="149"/>
      <c r="C106" s="254"/>
      <c r="D106" s="283" t="s">
        <v>1095</v>
      </c>
      <c r="E106" s="284" t="s">
        <v>68</v>
      </c>
      <c r="F106" s="205"/>
      <c r="G106" s="206"/>
      <c r="H106" s="151"/>
    </row>
    <row r="107" spans="1:8" x14ac:dyDescent="0.15">
      <c r="A107" s="148"/>
      <c r="B107" s="149"/>
      <c r="C107" s="254"/>
      <c r="D107" s="283" t="s">
        <v>3446</v>
      </c>
      <c r="E107" s="284" t="s">
        <v>68</v>
      </c>
      <c r="F107" s="207"/>
      <c r="G107" s="222"/>
      <c r="H107" s="151"/>
    </row>
    <row r="108" spans="1:8" x14ac:dyDescent="0.15">
      <c r="A108" s="148"/>
      <c r="B108" s="149"/>
      <c r="C108" s="254"/>
      <c r="D108" s="283" t="s">
        <v>69</v>
      </c>
      <c r="E108" s="284" t="s">
        <v>68</v>
      </c>
      <c r="F108" s="208"/>
      <c r="G108" s="206"/>
      <c r="H108" s="151"/>
    </row>
    <row r="109" spans="1:8" x14ac:dyDescent="0.15">
      <c r="A109" s="148"/>
      <c r="B109" s="149"/>
      <c r="C109" s="255"/>
      <c r="D109" s="285" t="s">
        <v>69</v>
      </c>
      <c r="E109" s="286" t="s">
        <v>68</v>
      </c>
      <c r="F109" s="209"/>
      <c r="G109" s="187"/>
      <c r="H109" s="151"/>
    </row>
    <row r="110" spans="1:8" x14ac:dyDescent="0.15">
      <c r="A110" s="148"/>
      <c r="B110" s="149"/>
      <c r="C110" s="232"/>
      <c r="D110" s="150"/>
      <c r="E110" s="151"/>
      <c r="F110" s="152"/>
      <c r="G110" s="150"/>
      <c r="H110" s="151"/>
    </row>
  </sheetData>
  <sheetProtection formatColumns="0" formatRows="0" selectLockedCells="1"/>
  <dataConsolidate/>
  <mergeCells count="22">
    <mergeCell ref="D40:E40"/>
    <mergeCell ref="D18:E18"/>
    <mergeCell ref="C22:C23"/>
    <mergeCell ref="C24:C25"/>
    <mergeCell ref="C28:C30"/>
    <mergeCell ref="D35:E35"/>
    <mergeCell ref="D36:E36"/>
    <mergeCell ref="D37:E37"/>
    <mergeCell ref="D38:E38"/>
    <mergeCell ref="D39:E39"/>
    <mergeCell ref="C87:C89"/>
    <mergeCell ref="D41:E41"/>
    <mergeCell ref="C46:C48"/>
    <mergeCell ref="D46:E48"/>
    <mergeCell ref="D50:E50"/>
    <mergeCell ref="D68:E68"/>
    <mergeCell ref="C84:C86"/>
    <mergeCell ref="D74:E77"/>
    <mergeCell ref="C74:C77"/>
    <mergeCell ref="C78:C81"/>
    <mergeCell ref="D78:E81"/>
    <mergeCell ref="D43:E43"/>
  </mergeCells>
  <conditionalFormatting sqref="F51:F52">
    <cfRule type="expression" dxfId="20" priority="4">
      <formula>IF(O_Builders_I1=(VLOOKUP(O_Builders_I1,NameTableConsultingCompanys,1,FALSE)),TRUE,FALSE)</formula>
    </cfRule>
  </conditionalFormatting>
  <conditionalFormatting sqref="F53">
    <cfRule type="expression" dxfId="19" priority="5">
      <formula>IF(O_ArchitectARK_I1=(VLOOKUP(O_ArchitectARK_I1,NameTableArchitechtureOffices,1,FALSE)),TRUE,FALSE)</formula>
    </cfRule>
  </conditionalFormatting>
  <conditionalFormatting sqref="F59">
    <cfRule type="expression" dxfId="18" priority="12">
      <formula>IF(O_AdvisorIngBygg_I=(VLOOKUP(O_AdvisorIngBygg_I,NameTableConsultingCompanys,1,FALSE)),TRUE,FALSE)</formula>
    </cfRule>
  </conditionalFormatting>
  <conditionalFormatting sqref="F69">
    <cfRule type="expression" dxfId="17" priority="18">
      <formula>IF(O_Contractors_I1=(VLOOKUP(O_Contractors_I1,NameTableConsultingCompanys,1,FALSE)),TRUE,FALSE)</formula>
    </cfRule>
  </conditionalFormatting>
  <conditionalFormatting sqref="F70">
    <cfRule type="expression" dxfId="16" priority="19">
      <formula>IF(O_Contractors_I2=(VLOOKUP(O_Contractors_I2,NameTableConsultingCompanys,1,FALSE)),TRUE,FALSE)</formula>
    </cfRule>
  </conditionalFormatting>
  <conditionalFormatting sqref="F71">
    <cfRule type="expression" dxfId="15" priority="20">
      <formula>IF(O_Contractors_I3=(VLOOKUP(O_Contractors_I3,NameTableConsultingCompanys,1,FALSE)),TRUE,FALSE)</formula>
    </cfRule>
  </conditionalFormatting>
  <conditionalFormatting sqref="F72">
    <cfRule type="expression" dxfId="14" priority="21">
      <formula>IF(O_ConstructionManagement_I1=(VLOOKUP(O_ConstructionManagement_I1,NameTableConsultingCompanys,1,FALSE)),TRUE,FALSE)</formula>
    </cfRule>
  </conditionalFormatting>
  <conditionalFormatting sqref="F73">
    <cfRule type="expression" dxfId="13" priority="22">
      <formula>IF(O_ConstructionManagement_I2=(VLOOKUP(O_ConstructionManagement_I2,NameTableConsultingCompanys,1,FALSE)),TRUE,FALSE)</formula>
    </cfRule>
  </conditionalFormatting>
  <conditionalFormatting sqref="F54">
    <cfRule type="expression" dxfId="12" priority="6">
      <formula>IF(O_ArchitectLARK_I1=(VLOOKUP(O_ArchitectLARK_I1,NameTableArchitechtureOffices,1,FALSE)),TRUE,FALSE)</formula>
    </cfRule>
  </conditionalFormatting>
  <conditionalFormatting sqref="F55">
    <cfRule type="expression" dxfId="11" priority="7">
      <formula>IF(O_ArchitectIARK_I1=(VLOOKUP(O_ArchitectIARK_I1,NameTableArchitechtureOffices,1,FALSE)),TRUE,FALSE)</formula>
    </cfRule>
  </conditionalFormatting>
  <conditionalFormatting sqref="F56">
    <cfRule type="expression" dxfId="10" priority="8">
      <formula>IF(O_OriginalArchitect_I1=(VLOOKUP(O_OriginalArchitect_I1,NameTableArchitechtureOffices,1,FALSE)),TRUE,FALSE)</formula>
    </cfRule>
  </conditionalFormatting>
  <conditionalFormatting sqref="F60">
    <cfRule type="expression" dxfId="9" priority="13">
      <formula>IF(O_AdvisorIngVVS_I=(VLOOKUP(O_AdvisorIngVVS_I,NameTableConsultingCompanys,1,FALSE)),TRUE,FALSE)</formula>
    </cfRule>
  </conditionalFormatting>
  <conditionalFormatting sqref="F61">
    <cfRule type="expression" dxfId="8" priority="14">
      <formula>IF(O_AdvisorIngElektro_I=(VLOOKUP(O_AdvisorIngElektro_I,NameTableConsultingCompanys,1,FALSE)),TRUE,FALSE)</formula>
    </cfRule>
  </conditionalFormatting>
  <conditionalFormatting sqref="F62">
    <cfRule type="expression" dxfId="7" priority="15">
      <formula>IF(O_AdvisorIngBuildingPhysics_I=(VLOOKUP(O_AdvisorIngBuildingPhysics_I,NameTableConsultingCompanys,1,FALSE)),TRUE,FALSE)</formula>
    </cfRule>
  </conditionalFormatting>
  <conditionalFormatting sqref="F63">
    <cfRule type="expression" dxfId="6" priority="16">
      <formula>IF(O_AdvisorIngFireSafety_I=(VLOOKUP(O_AdvisorIngFireSafety_I,NameTableConsultingCompanys,1,FALSE)),TRUE,FALSE)</formula>
    </cfRule>
  </conditionalFormatting>
  <conditionalFormatting sqref="F64:F68">
    <cfRule type="expression" dxfId="5" priority="17">
      <formula>IF(O_AdvisorIngAcoustics_I=(VLOOKUP(O_AdvisorIngAcoustics_I,NameTableConsultingCompanys,1,FALSE)),TRUE,FALSE)</formula>
    </cfRule>
  </conditionalFormatting>
  <conditionalFormatting sqref="F52">
    <cfRule type="expression" dxfId="4" priority="9">
      <formula>IF(O_ProjectManagagers_I1=(VLOOKUP(O_ProjectManagagers_I1,NameTableConsultingCompanys,1,FALSE)),TRUE,FALSE)</formula>
    </cfRule>
  </conditionalFormatting>
  <conditionalFormatting sqref="F57">
    <cfRule type="expression" dxfId="3" priority="10">
      <formula>IF(O_EnvironmentConsultants_I1=(VLOOKUP(O_EnvironmentConsultants_I1,NameTableCompanys,1,FALSE)),TRUE,FALSE)</formula>
    </cfRule>
  </conditionalFormatting>
  <conditionalFormatting sqref="F58">
    <cfRule type="expression" dxfId="2" priority="11">
      <formula>IF(O_EnergyConsultants_I1=(VLOOKUP(O_EnergyConsultants_I1,NameTableCompanys,1,FALSE)),TRUE,FALSE)</formula>
    </cfRule>
  </conditionalFormatting>
  <conditionalFormatting sqref="F74:F77">
    <cfRule type="expression" dxfId="1" priority="2">
      <formula>IF(O_Contractors_I2=(VLOOKUP(O_Contractors_I2,NameTableConsultingCompanys,1,FALSE)),TRUE,FALSE)</formula>
    </cfRule>
  </conditionalFormatting>
  <conditionalFormatting sqref="F78:F81">
    <cfRule type="expression" dxfId="0" priority="1">
      <formula>IF(O_Contractors_I2=(VLOOKUP(O_Contractors_I2,NameTableConsultingCompanys,1,FALSE)),TRUE,FALSE)</formula>
    </cfRule>
  </conditionalFormatting>
  <dataValidations count="7">
    <dataValidation allowBlank="1" showInputMessage="1" showErrorMessage="1" prompt="Forklar om dette f.eks er &quot;Oppvarming/varmtvann&quot;, &quot;Spisslast&quot;, &quot;Forvarming av tappevann&quot; eller lignende." sqref="G90" xr:uid="{0BDC0E34-9800-C640-B0DA-751818452E88}"/>
    <dataValidation allowBlank="1" showInputMessage="1" showErrorMessage="1" prompt="Sett inn dagens dato" sqref="F18:F20" xr:uid="{F4D67CB5-AE42-6C46-AF12-50951FABC373}"/>
    <dataValidation allowBlank="1" showInputMessage="1" showErrorMessage="1" prompt="Angi et firmanavn per linje." sqref="F51:F81" xr:uid="{63939E56-831E-8B41-BCC2-1D5CAE71FE76}"/>
    <dataValidation type="whole" allowBlank="1" showInputMessage="1" showErrorMessage="1" prompt="Angi hele støttesum i hele kroner (NOK)" sqref="F104:F109" xr:uid="{A63A6107-DA2E-BA4B-BFA6-9B93951AFD78}">
      <formula1>0</formula1>
      <formula2>100000000000</formula2>
    </dataValidation>
    <dataValidation type="whole" allowBlank="1" showInputMessage="1" showErrorMessage="1" sqref="F84:F90 F21:F25 F42:F45 F44:F45" xr:uid="{D334ACA9-2E23-D847-A98C-43CB85B9ACD1}">
      <formula1>0</formula1>
      <formula2>100000000000</formula2>
    </dataValidation>
    <dataValidation allowBlank="1" showErrorMessage="1" sqref="F91 F110 F102" xr:uid="{7A61492A-4B6D-DE49-9999-87CE8CB224FE}"/>
    <dataValidation type="decimal" allowBlank="1" showInputMessage="1" showErrorMessage="1" prompt="Oppgi desimaltall med komma" sqref="F93:F101" xr:uid="{7A64EAB0-B2F1-E640-8FCA-5B6801FEB9A9}">
      <formula1>0</formula1>
      <formula2>5000000000000</formula2>
    </dataValidation>
  </dataValidations>
  <hyperlinks>
    <hyperlink ref="C13" r:id="rId1" display="FutureBuilt prosjektdatabase" xr:uid="{68F183D5-59C0-2248-8F56-C2BBA2DC5A3D}"/>
  </hyperlinks>
  <printOptions horizontalCentered="1" gridLines="1"/>
  <pageMargins left="0.79000000000000015" right="0.79000000000000015" top="1" bottom="1" header="0" footer="0"/>
  <pageSetup scale="38" orientation="portrait" verticalDpi="601" r:id="rId2"/>
  <headerFooter>
    <oddFooter>&amp;LNAL Ecobox, Michael Lommertz, &amp;D</oddFoot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Velg fra nedtrekksmenyen" xr:uid="{C8FCA5D0-3969-E64C-B6B6-FA76EAEA5AF4}">
          <x14:formula1>
            <xm:f>'Verdier (kun for FutureBuilt)'!$F$17:$F$22</xm:f>
          </x14:formula1>
          <xm:sqref>F46:F48</xm:sqref>
        </x14:dataValidation>
        <x14:dataValidation type="list" allowBlank="1" showInputMessage="1" showErrorMessage="1" promptTitle="Nedtrekksmeny" prompt="_x000a_" xr:uid="{FEEE356D-B410-AB48-A8DB-B5E22F7A64EE}">
          <x14:formula1>
            <xm:f>'Verdier (kun for FutureBuilt)'!$F$26:$F$27</xm:f>
          </x14:formula1>
          <xm:sqref>F35:F45</xm:sqref>
        </x14:dataValidation>
        <x14:dataValidation type="list" allowBlank="1" showInputMessage="1" showErrorMessage="1" promptTitle="Nedtrekksmeny" prompt="_x000a_" xr:uid="{D8A06669-6DD5-074F-A502-B1CA2E3752B0}">
          <x14:formula1>
            <xm:f>'Verdier (kun for FutureBuilt)'!$C$4:$C$6</xm:f>
          </x14:formula1>
          <xm:sqref>F26</xm:sqref>
        </x14:dataValidation>
        <x14:dataValidation type="list" allowBlank="1" showInputMessage="1" showErrorMessage="1" promptTitle="Nedtrekksmeny" prompt="_x000a_" xr:uid="{54D75991-5D60-6144-8130-75D1D4C2F5FF}">
          <x14:formula1>
            <xm:f>'Verdier (kun for FutureBuilt)'!$D$4:$D$8</xm:f>
          </x14:formula1>
          <xm:sqref>F27</xm:sqref>
        </x14:dataValidation>
        <x14:dataValidation type="list" allowBlank="1" showInputMessage="1" showErrorMessage="1" promptTitle="Nedtrekksmeny" prompt="_x000a_" xr:uid="{72D8F6EE-4304-C049-B0F0-4FFE0CE44BCA}">
          <x14:formula1>
            <xm:f>'Verdier (kun for FutureBuilt)'!$E$4:$E$12</xm:f>
          </x14:formula1>
          <xm:sqref>F28:F30</xm:sqref>
        </x14:dataValidation>
        <x14:dataValidation type="list" allowBlank="1" showInputMessage="1" showErrorMessage="1" promptTitle="Nedtrekksmeny" prompt="_x000a_" xr:uid="{B190FC70-BF84-794E-9B55-D1F8B67482D8}">
          <x14:formula1>
            <xm:f>'Verdier (kun for FutureBuilt)'!$F$4:$F$7</xm:f>
          </x14:formula1>
          <xm:sqref>F32</xm:sqref>
        </x14:dataValidation>
        <x14:dataValidation type="list" allowBlank="1" showInputMessage="1" showErrorMessage="1" promptTitle="Nedtrekksmeny" prompt="_x000a_" xr:uid="{6C7346CE-0A0A-094B-9650-801319681A38}">
          <x14:formula1>
            <xm:f>'Verdier (kun for FutureBuilt)'!$G$4:$G$16</xm:f>
          </x14:formula1>
          <xm:sqref>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1"/>
  <dimension ref="A1:H9"/>
  <sheetViews>
    <sheetView workbookViewId="0">
      <selection activeCell="B2" sqref="B2"/>
    </sheetView>
  </sheetViews>
  <sheetFormatPr baseColWidth="10" defaultColWidth="11" defaultRowHeight="13" x14ac:dyDescent="0.15"/>
  <sheetData>
    <row r="1" spans="1:8" ht="41.25" customHeight="1" x14ac:dyDescent="0.15">
      <c r="A1" s="13" t="s">
        <v>168</v>
      </c>
      <c r="B1" s="13" t="s">
        <v>838</v>
      </c>
      <c r="C1" s="13" t="s">
        <v>205</v>
      </c>
      <c r="D1" s="13" t="s">
        <v>1094</v>
      </c>
      <c r="E1" s="13" t="s">
        <v>1095</v>
      </c>
      <c r="F1" s="13" t="s">
        <v>1096</v>
      </c>
      <c r="G1" s="13" t="s">
        <v>1023</v>
      </c>
      <c r="H1" s="13" t="s">
        <v>1022</v>
      </c>
    </row>
    <row r="2" spans="1:8" x14ac:dyDescent="0.15">
      <c r="A2" t="e">
        <f>EcoMeasureId_E1</f>
        <v>#REF!</v>
      </c>
      <c r="B2" t="e">
        <f>EcoMeasureName_E1</f>
        <v>#REF!</v>
      </c>
      <c r="C2" t="e">
        <f>EcoMeasureProject_E1</f>
        <v>#REF!</v>
      </c>
      <c r="D2" s="102" t="e">
        <f>EcoMeasureDescription_E1</f>
        <v>#REF!</v>
      </c>
      <c r="E2" s="102" t="e">
        <f>EcoMeasureEnova_E1</f>
        <v>#REF!</v>
      </c>
      <c r="F2" s="102" t="str">
        <f>EcoMeasureMeasureType_E1</f>
        <v/>
      </c>
      <c r="G2" s="102" t="e">
        <f>EcoMeasurePublishAccess_E1</f>
        <v>#REF!</v>
      </c>
      <c r="H2" s="102" t="e">
        <f>EcoMeasureEditAccess_E1</f>
        <v>#REF!</v>
      </c>
    </row>
    <row r="3" spans="1:8" x14ac:dyDescent="0.15">
      <c r="A3" t="e">
        <f>EcoMeasureId_E2</f>
        <v>#REF!</v>
      </c>
      <c r="B3" t="e">
        <f>EcoMeasureName_E2</f>
        <v>#REF!</v>
      </c>
      <c r="C3" t="e">
        <f>EcoMeasureProject_E2</f>
        <v>#REF!</v>
      </c>
      <c r="D3" s="102" t="e">
        <f>EcoMeasureDescription_E2</f>
        <v>#REF!</v>
      </c>
      <c r="E3" s="102" t="e">
        <f>EcoMeasureEnova_E2</f>
        <v>#REF!</v>
      </c>
      <c r="F3" s="102" t="str">
        <f>EcoMeasureMeasureType_E2</f>
        <v/>
      </c>
      <c r="G3" s="102" t="e">
        <f>EcoMeasurePublishAccess_E2</f>
        <v>#REF!</v>
      </c>
      <c r="H3" s="102" t="e">
        <f>EcoMeasureEditAccess_E2</f>
        <v>#REF!</v>
      </c>
    </row>
    <row r="4" spans="1:8" x14ac:dyDescent="0.15">
      <c r="A4" t="e">
        <f>EcoMeasureId_E3</f>
        <v>#REF!</v>
      </c>
      <c r="B4" t="e">
        <f>EcoMeasureName_E3</f>
        <v>#REF!</v>
      </c>
      <c r="C4" t="e">
        <f>EcoMeasureProject_E3</f>
        <v>#REF!</v>
      </c>
      <c r="D4" s="102" t="e">
        <f>EcoMeasureDescription_E3</f>
        <v>#REF!</v>
      </c>
      <c r="E4" s="102" t="e">
        <f>EcoMeasureEnova_E3</f>
        <v>#REF!</v>
      </c>
      <c r="F4" s="102" t="str">
        <f>EcoMeasureMeasureType_E3</f>
        <v/>
      </c>
      <c r="G4" s="102" t="e">
        <f>EcoMeasurePublishAccess_E3</f>
        <v>#REF!</v>
      </c>
      <c r="H4" s="102" t="e">
        <f>EcoMeasureEditAccess_E3</f>
        <v>#REF!</v>
      </c>
    </row>
    <row r="5" spans="1:8" x14ac:dyDescent="0.15">
      <c r="A5" t="e">
        <f>EcoMeasureId_E4</f>
        <v>#REF!</v>
      </c>
      <c r="B5" t="e">
        <f>EcoMeasureName_E4</f>
        <v>#REF!</v>
      </c>
      <c r="C5" t="e">
        <f>EcoMeasureProject_E4</f>
        <v>#REF!</v>
      </c>
      <c r="D5" s="102" t="e">
        <f>EcoMeasureDescription_E4</f>
        <v>#REF!</v>
      </c>
      <c r="E5" s="102" t="e">
        <f>EcoMeasureEnova_E4</f>
        <v>#REF!</v>
      </c>
      <c r="F5" s="102" t="str">
        <f>EcoMeasureMeasureType_E4</f>
        <v/>
      </c>
      <c r="G5" s="102" t="e">
        <f>EcoMeasurePublishAccess_E4</f>
        <v>#REF!</v>
      </c>
      <c r="H5" s="102" t="e">
        <f>EcoMeasureEditAccess_E4</f>
        <v>#REF!</v>
      </c>
    </row>
    <row r="6" spans="1:8" x14ac:dyDescent="0.15">
      <c r="A6" t="e">
        <f>EcoMeasureId_E5</f>
        <v>#REF!</v>
      </c>
      <c r="B6" t="e">
        <f>EcoMeasureName_E5</f>
        <v>#REF!</v>
      </c>
      <c r="C6" t="e">
        <f>EcoMeasureProject_E5</f>
        <v>#REF!</v>
      </c>
      <c r="D6" s="102" t="e">
        <f>EcoMeasureDescription_E5</f>
        <v>#REF!</v>
      </c>
      <c r="E6" s="102" t="e">
        <f>EcoMeasureEnova_E5</f>
        <v>#REF!</v>
      </c>
      <c r="F6" s="102" t="str">
        <f>EcoMeasureMeasureType_E5</f>
        <v/>
      </c>
      <c r="G6" s="102" t="e">
        <f>EcoMeasurePublishAccess_E5</f>
        <v>#REF!</v>
      </c>
      <c r="H6" s="102" t="e">
        <f>EcoMeasureEditAccess_E5</f>
        <v>#REF!</v>
      </c>
    </row>
    <row r="7" spans="1:8" x14ac:dyDescent="0.15">
      <c r="A7" t="e">
        <f>EcoMeasureId_E6</f>
        <v>#REF!</v>
      </c>
      <c r="B7" t="e">
        <f>EcoMeasureName_E6</f>
        <v>#REF!</v>
      </c>
      <c r="C7" t="e">
        <f>EcoMeasureProject_E6</f>
        <v>#REF!</v>
      </c>
      <c r="D7" s="102" t="e">
        <f>EcoMeasureDescription_E6</f>
        <v>#REF!</v>
      </c>
      <c r="E7" s="102" t="e">
        <f>EcoMeasureEnova_E6</f>
        <v>#REF!</v>
      </c>
      <c r="F7" s="102" t="str">
        <f>EcoMeasureMeasureType_E6</f>
        <v/>
      </c>
      <c r="G7" s="102" t="e">
        <f>EcoMeasurePublishAccess_E6</f>
        <v>#REF!</v>
      </c>
      <c r="H7" s="102" t="e">
        <f>EcoMeasureEditAccess_E6</f>
        <v>#REF!</v>
      </c>
    </row>
    <row r="8" spans="1:8" x14ac:dyDescent="0.15">
      <c r="A8" t="e">
        <f>EcoMeasureId_E7</f>
        <v>#REF!</v>
      </c>
      <c r="B8" t="e">
        <f>EcoMeasureName_E7</f>
        <v>#REF!</v>
      </c>
      <c r="C8" t="e">
        <f>EcoMeasureProject_E7</f>
        <v>#REF!</v>
      </c>
      <c r="D8" s="102" t="e">
        <f>EcoMeasureDescription_E7</f>
        <v>#REF!</v>
      </c>
      <c r="E8" s="102" t="e">
        <f>EcoMeasureEnova_E7</f>
        <v>#REF!</v>
      </c>
      <c r="F8" s="102" t="str">
        <f>EcoMeasureMeasureType_E7</f>
        <v/>
      </c>
      <c r="G8" s="102" t="e">
        <f>EcoMeasurePublishAccess_E7</f>
        <v>#REF!</v>
      </c>
      <c r="H8" s="102" t="e">
        <f>EcoMeasureEditAccess_E7</f>
        <v>#REF!</v>
      </c>
    </row>
    <row r="9" spans="1:8" x14ac:dyDescent="0.15">
      <c r="A9" t="e">
        <f>EcoMeasureId_E8</f>
        <v>#REF!</v>
      </c>
      <c r="B9" t="e">
        <f>EcoMeasureName_E8</f>
        <v>#REF!</v>
      </c>
      <c r="C9" t="e">
        <f>EcoMeasureProject_E8</f>
        <v>#REF!</v>
      </c>
      <c r="D9" s="102" t="e">
        <f>EcoMeasureDescription_E8</f>
        <v>#REF!</v>
      </c>
      <c r="E9" s="102" t="e">
        <f>EcoMeasureEnova_E8</f>
        <v>#REF!</v>
      </c>
      <c r="F9" s="102" t="str">
        <f>EcoMeasureMeasureType_E8</f>
        <v/>
      </c>
      <c r="G9" s="102" t="e">
        <f>EcoMeasurePublishAccess_E8</f>
        <v>#REF!</v>
      </c>
      <c r="H9" s="102" t="e">
        <f>EcoMeasureEditAccess_E8</f>
        <v>#REF!</v>
      </c>
    </row>
  </sheetData>
  <sheetProtection password="D9F3" sheet="1" objects="1" scenarios="1"/>
  <phoneticPr fontId="4" type="noConversion"/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E548"/>
  <sheetViews>
    <sheetView workbookViewId="0">
      <selection activeCell="A43" sqref="A43"/>
    </sheetView>
  </sheetViews>
  <sheetFormatPr baseColWidth="10" defaultColWidth="11" defaultRowHeight="13" x14ac:dyDescent="0.15"/>
  <cols>
    <col min="1" max="1" width="88" bestFit="1" customWidth="1"/>
    <col min="2" max="2" width="25.5" bestFit="1" customWidth="1"/>
    <col min="3" max="3" width="6.83203125" bestFit="1" customWidth="1"/>
    <col min="4" max="4" width="88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1100</v>
      </c>
      <c r="B2" s="102" t="s">
        <v>1101</v>
      </c>
      <c r="C2" s="102">
        <v>166571</v>
      </c>
      <c r="D2" s="102" t="s">
        <v>1102</v>
      </c>
      <c r="E2" s="102"/>
    </row>
    <row r="3" spans="1:5" x14ac:dyDescent="0.15">
      <c r="A3" s="102" t="s">
        <v>1103</v>
      </c>
      <c r="B3" s="102" t="s">
        <v>1104</v>
      </c>
      <c r="C3" s="102">
        <v>172585</v>
      </c>
      <c r="D3" s="102" t="s">
        <v>1105</v>
      </c>
      <c r="E3" s="102"/>
    </row>
    <row r="4" spans="1:5" x14ac:dyDescent="0.15">
      <c r="A4" s="102" t="s">
        <v>1106</v>
      </c>
      <c r="B4" s="102" t="s">
        <v>1107</v>
      </c>
      <c r="C4" s="102">
        <v>171139</v>
      </c>
      <c r="D4" s="102" t="s">
        <v>1108</v>
      </c>
      <c r="E4" s="102"/>
    </row>
    <row r="5" spans="1:5" x14ac:dyDescent="0.15">
      <c r="A5" s="102" t="s">
        <v>1109</v>
      </c>
      <c r="B5" s="102" t="s">
        <v>1104</v>
      </c>
      <c r="C5" s="102">
        <v>171771</v>
      </c>
      <c r="D5" s="102" t="s">
        <v>1110</v>
      </c>
      <c r="E5" s="102"/>
    </row>
    <row r="6" spans="1:5" x14ac:dyDescent="0.15">
      <c r="A6" s="102" t="s">
        <v>1111</v>
      </c>
      <c r="B6" s="102" t="s">
        <v>1107</v>
      </c>
      <c r="C6" s="102">
        <v>166642</v>
      </c>
      <c r="D6" s="102" t="s">
        <v>1111</v>
      </c>
      <c r="E6" s="102"/>
    </row>
    <row r="7" spans="1:5" x14ac:dyDescent="0.15">
      <c r="A7" s="102" t="s">
        <v>1112</v>
      </c>
      <c r="B7" s="102" t="s">
        <v>1113</v>
      </c>
      <c r="C7" s="102">
        <v>166448</v>
      </c>
      <c r="D7" s="102" t="s">
        <v>1112</v>
      </c>
      <c r="E7" s="102"/>
    </row>
    <row r="8" spans="1:5" x14ac:dyDescent="0.15">
      <c r="A8" s="102" t="s">
        <v>1114</v>
      </c>
      <c r="B8" s="102" t="s">
        <v>1107</v>
      </c>
      <c r="C8" s="102">
        <v>166723</v>
      </c>
      <c r="D8" s="102" t="s">
        <v>1114</v>
      </c>
      <c r="E8" s="102"/>
    </row>
    <row r="9" spans="1:5" x14ac:dyDescent="0.15">
      <c r="A9" s="102" t="s">
        <v>1115</v>
      </c>
      <c r="B9" s="102" t="s">
        <v>1107</v>
      </c>
      <c r="C9" s="102">
        <v>166469</v>
      </c>
      <c r="D9" s="102" t="s">
        <v>1115</v>
      </c>
      <c r="E9" s="102"/>
    </row>
    <row r="10" spans="1:5" x14ac:dyDescent="0.15">
      <c r="A10" s="102" t="s">
        <v>1116</v>
      </c>
      <c r="B10" s="102" t="s">
        <v>1104</v>
      </c>
      <c r="C10" s="102">
        <v>186465</v>
      </c>
      <c r="D10" s="102" t="s">
        <v>1116</v>
      </c>
      <c r="E10" s="102"/>
    </row>
    <row r="11" spans="1:5" x14ac:dyDescent="0.15">
      <c r="A11" s="102" t="s">
        <v>1117</v>
      </c>
      <c r="B11" s="102" t="s">
        <v>1118</v>
      </c>
      <c r="C11" s="102">
        <v>245870</v>
      </c>
      <c r="D11" s="102" t="s">
        <v>1117</v>
      </c>
      <c r="E11" s="102"/>
    </row>
    <row r="12" spans="1:5" x14ac:dyDescent="0.15">
      <c r="A12" s="102" t="s">
        <v>1119</v>
      </c>
      <c r="B12" s="102" t="s">
        <v>1113</v>
      </c>
      <c r="C12" s="102">
        <v>166417</v>
      </c>
      <c r="D12" s="102" t="s">
        <v>1119</v>
      </c>
      <c r="E12" s="102"/>
    </row>
    <row r="13" spans="1:5" x14ac:dyDescent="0.15">
      <c r="A13" s="102" t="s">
        <v>1120</v>
      </c>
      <c r="B13" s="102" t="s">
        <v>1104</v>
      </c>
      <c r="C13" s="102">
        <v>181938</v>
      </c>
      <c r="D13" s="102" t="s">
        <v>1120</v>
      </c>
      <c r="E13" s="102"/>
    </row>
    <row r="14" spans="1:5" x14ac:dyDescent="0.15">
      <c r="A14" s="102" t="s">
        <v>1121</v>
      </c>
      <c r="B14" s="102" t="s">
        <v>1122</v>
      </c>
      <c r="C14" s="102">
        <v>235232</v>
      </c>
      <c r="D14" s="102" t="s">
        <v>1121</v>
      </c>
      <c r="E14" s="102"/>
    </row>
    <row r="15" spans="1:5" x14ac:dyDescent="0.15">
      <c r="A15" s="102" t="s">
        <v>1123</v>
      </c>
      <c r="B15" s="102" t="s">
        <v>1104</v>
      </c>
      <c r="C15" s="102">
        <v>172791</v>
      </c>
      <c r="D15" s="102" t="s">
        <v>1123</v>
      </c>
      <c r="E15" s="102"/>
    </row>
    <row r="16" spans="1:5" x14ac:dyDescent="0.15">
      <c r="A16" s="102" t="s">
        <v>1124</v>
      </c>
      <c r="B16" s="102" t="s">
        <v>1101</v>
      </c>
      <c r="C16" s="102">
        <v>166432</v>
      </c>
      <c r="D16" s="102" t="s">
        <v>1124</v>
      </c>
      <c r="E16" s="102"/>
    </row>
    <row r="17" spans="1:5" x14ac:dyDescent="0.15">
      <c r="A17" s="102" t="s">
        <v>1125</v>
      </c>
      <c r="B17" s="102" t="s">
        <v>1126</v>
      </c>
      <c r="C17" s="102">
        <v>247813</v>
      </c>
      <c r="D17" s="102" t="s">
        <v>1125</v>
      </c>
      <c r="E17" s="102"/>
    </row>
    <row r="18" spans="1:5" x14ac:dyDescent="0.15">
      <c r="A18" s="102" t="s">
        <v>1127</v>
      </c>
      <c r="B18" s="102" t="s">
        <v>1113</v>
      </c>
      <c r="C18" s="102">
        <v>166439</v>
      </c>
      <c r="D18" s="102" t="s">
        <v>1127</v>
      </c>
      <c r="E18" s="102"/>
    </row>
    <row r="19" spans="1:5" x14ac:dyDescent="0.15">
      <c r="A19" s="102" t="s">
        <v>1128</v>
      </c>
      <c r="B19" s="102" t="s">
        <v>1113</v>
      </c>
      <c r="C19" s="102">
        <v>166449</v>
      </c>
      <c r="D19" s="102" t="s">
        <v>1128</v>
      </c>
      <c r="E19" s="102"/>
    </row>
    <row r="20" spans="1:5" x14ac:dyDescent="0.15">
      <c r="A20" s="102" t="s">
        <v>1129</v>
      </c>
      <c r="B20" s="102" t="s">
        <v>1113</v>
      </c>
      <c r="C20" s="102">
        <v>166181</v>
      </c>
      <c r="D20" s="102" t="s">
        <v>1129</v>
      </c>
      <c r="E20" s="102"/>
    </row>
    <row r="21" spans="1:5" x14ac:dyDescent="0.15">
      <c r="A21" s="102" t="s">
        <v>1130</v>
      </c>
      <c r="B21" s="102" t="s">
        <v>1131</v>
      </c>
      <c r="C21" s="102">
        <v>166453</v>
      </c>
      <c r="D21" s="102" t="s">
        <v>1130</v>
      </c>
      <c r="E21" s="102"/>
    </row>
    <row r="22" spans="1:5" x14ac:dyDescent="0.15">
      <c r="A22" s="102" t="s">
        <v>1132</v>
      </c>
      <c r="B22" s="102" t="s">
        <v>1107</v>
      </c>
      <c r="C22" s="102">
        <v>166455</v>
      </c>
      <c r="D22" s="102" t="s">
        <v>1132</v>
      </c>
      <c r="E22" s="102"/>
    </row>
    <row r="23" spans="1:5" x14ac:dyDescent="0.15">
      <c r="A23" s="102" t="s">
        <v>1133</v>
      </c>
      <c r="B23" s="102" t="s">
        <v>1134</v>
      </c>
      <c r="C23" s="102">
        <v>166183</v>
      </c>
      <c r="D23" s="102" t="s">
        <v>1133</v>
      </c>
      <c r="E23" s="102"/>
    </row>
    <row r="24" spans="1:5" x14ac:dyDescent="0.15">
      <c r="A24" s="102" t="s">
        <v>1135</v>
      </c>
      <c r="B24" s="102" t="s">
        <v>1107</v>
      </c>
      <c r="C24" s="102">
        <v>166456</v>
      </c>
      <c r="D24" s="102" t="s">
        <v>1135</v>
      </c>
      <c r="E24" s="102"/>
    </row>
    <row r="25" spans="1:5" x14ac:dyDescent="0.15">
      <c r="A25" s="102" t="s">
        <v>1136</v>
      </c>
      <c r="B25" s="102" t="s">
        <v>1137</v>
      </c>
      <c r="C25" s="102">
        <v>243404</v>
      </c>
      <c r="D25" s="102" t="s">
        <v>1136</v>
      </c>
      <c r="E25" s="102"/>
    </row>
    <row r="26" spans="1:5" x14ac:dyDescent="0.15">
      <c r="A26" s="102" t="s">
        <v>1138</v>
      </c>
      <c r="B26" s="102" t="s">
        <v>1107</v>
      </c>
      <c r="C26" s="102">
        <v>166461</v>
      </c>
      <c r="D26" s="102" t="s">
        <v>1138</v>
      </c>
      <c r="E26" s="102"/>
    </row>
    <row r="27" spans="1:5" x14ac:dyDescent="0.15">
      <c r="A27" s="102" t="s">
        <v>1139</v>
      </c>
      <c r="B27" s="102" t="s">
        <v>1122</v>
      </c>
      <c r="C27" s="102">
        <v>233552</v>
      </c>
      <c r="D27" s="102" t="s">
        <v>1139</v>
      </c>
      <c r="E27" s="102"/>
    </row>
    <row r="28" spans="1:5" x14ac:dyDescent="0.15">
      <c r="A28" s="102" t="s">
        <v>1140</v>
      </c>
      <c r="B28" s="102" t="s">
        <v>1122</v>
      </c>
      <c r="C28" s="102">
        <v>219365</v>
      </c>
      <c r="D28" s="102" t="s">
        <v>1140</v>
      </c>
      <c r="E28" s="102"/>
    </row>
    <row r="29" spans="1:5" x14ac:dyDescent="0.15">
      <c r="A29" s="102" t="s">
        <v>1141</v>
      </c>
      <c r="B29" s="102" t="s">
        <v>1104</v>
      </c>
      <c r="C29" s="102">
        <v>172681</v>
      </c>
      <c r="D29" s="102" t="s">
        <v>1141</v>
      </c>
      <c r="E29" s="102"/>
    </row>
    <row r="30" spans="1:5" x14ac:dyDescent="0.15">
      <c r="A30" s="102" t="s">
        <v>1142</v>
      </c>
      <c r="B30" s="102" t="s">
        <v>1143</v>
      </c>
      <c r="C30" s="102">
        <v>247618</v>
      </c>
      <c r="D30" s="102" t="s">
        <v>1142</v>
      </c>
      <c r="E30" s="102"/>
    </row>
    <row r="31" spans="1:5" x14ac:dyDescent="0.15">
      <c r="A31" s="102" t="s">
        <v>1144</v>
      </c>
      <c r="B31" s="102" t="s">
        <v>1122</v>
      </c>
      <c r="C31" s="102">
        <v>230398</v>
      </c>
      <c r="D31" s="102" t="s">
        <v>1144</v>
      </c>
      <c r="E31" s="102"/>
    </row>
    <row r="32" spans="1:5" x14ac:dyDescent="0.15">
      <c r="A32" s="102" t="s">
        <v>1145</v>
      </c>
      <c r="B32" s="102" t="s">
        <v>1104</v>
      </c>
      <c r="C32" s="102">
        <v>172904</v>
      </c>
      <c r="D32" s="102" t="s">
        <v>1145</v>
      </c>
      <c r="E32" s="102"/>
    </row>
    <row r="33" spans="1:5" x14ac:dyDescent="0.15">
      <c r="A33" s="102" t="s">
        <v>1146</v>
      </c>
      <c r="B33" s="102" t="s">
        <v>1107</v>
      </c>
      <c r="C33" s="102">
        <v>166474</v>
      </c>
      <c r="D33" s="102" t="s">
        <v>1146</v>
      </c>
      <c r="E33" s="102"/>
    </row>
    <row r="34" spans="1:5" x14ac:dyDescent="0.15">
      <c r="A34" s="102" t="s">
        <v>1147</v>
      </c>
      <c r="B34" s="102" t="s">
        <v>1107</v>
      </c>
      <c r="C34" s="102">
        <v>166476</v>
      </c>
      <c r="D34" s="102" t="s">
        <v>1147</v>
      </c>
      <c r="E34" s="102"/>
    </row>
    <row r="35" spans="1:5" x14ac:dyDescent="0.15">
      <c r="A35" s="102" t="s">
        <v>1148</v>
      </c>
      <c r="B35" s="102" t="s">
        <v>1104</v>
      </c>
      <c r="C35" s="102">
        <v>172892</v>
      </c>
      <c r="D35" s="102" t="s">
        <v>1148</v>
      </c>
      <c r="E35" s="102"/>
    </row>
    <row r="36" spans="1:5" x14ac:dyDescent="0.15">
      <c r="A36" s="102" t="s">
        <v>1149</v>
      </c>
      <c r="B36" s="102" t="s">
        <v>1150</v>
      </c>
      <c r="C36" s="102">
        <v>248768</v>
      </c>
      <c r="D36" s="102" t="s">
        <v>1149</v>
      </c>
      <c r="E36" s="102"/>
    </row>
    <row r="37" spans="1:5" x14ac:dyDescent="0.15">
      <c r="A37" s="102" t="s">
        <v>1151</v>
      </c>
      <c r="B37" s="102" t="s">
        <v>1107</v>
      </c>
      <c r="C37" s="102">
        <v>166511</v>
      </c>
      <c r="D37" s="102" t="s">
        <v>1151</v>
      </c>
      <c r="E37" s="102"/>
    </row>
    <row r="38" spans="1:5" x14ac:dyDescent="0.15">
      <c r="A38" s="102" t="s">
        <v>1152</v>
      </c>
      <c r="B38" s="102" t="s">
        <v>1107</v>
      </c>
      <c r="C38" s="102">
        <v>166480</v>
      </c>
      <c r="D38" s="102" t="s">
        <v>1152</v>
      </c>
      <c r="E38" s="102"/>
    </row>
    <row r="39" spans="1:5" x14ac:dyDescent="0.15">
      <c r="A39" s="102" t="s">
        <v>1153</v>
      </c>
      <c r="B39" s="102" t="s">
        <v>1107</v>
      </c>
      <c r="C39" s="102">
        <v>166482</v>
      </c>
      <c r="D39" s="102" t="s">
        <v>1153</v>
      </c>
      <c r="E39" s="102"/>
    </row>
    <row r="40" spans="1:5" x14ac:dyDescent="0.15">
      <c r="A40" s="102" t="s">
        <v>1154</v>
      </c>
      <c r="B40" s="102" t="s">
        <v>1101</v>
      </c>
      <c r="C40" s="102">
        <v>210153</v>
      </c>
      <c r="D40" s="102" t="s">
        <v>1154</v>
      </c>
      <c r="E40" s="102"/>
    </row>
    <row r="41" spans="1:5" x14ac:dyDescent="0.15">
      <c r="A41" s="102" t="s">
        <v>1155</v>
      </c>
      <c r="B41" s="102" t="s">
        <v>1107</v>
      </c>
      <c r="C41" s="102">
        <v>166483</v>
      </c>
      <c r="D41" s="102" t="s">
        <v>1155</v>
      </c>
      <c r="E41" s="102"/>
    </row>
    <row r="42" spans="1:5" x14ac:dyDescent="0.15">
      <c r="A42" s="102" t="s">
        <v>1156</v>
      </c>
      <c r="B42" s="102" t="s">
        <v>1104</v>
      </c>
      <c r="C42" s="102">
        <v>172880</v>
      </c>
      <c r="D42" s="102" t="s">
        <v>1156</v>
      </c>
      <c r="E42" s="102"/>
    </row>
    <row r="43" spans="1:5" x14ac:dyDescent="0.15">
      <c r="A43" s="102" t="s">
        <v>1157</v>
      </c>
      <c r="B43" s="102" t="s">
        <v>1107</v>
      </c>
      <c r="C43" s="102">
        <v>166486</v>
      </c>
      <c r="D43" s="102" t="s">
        <v>1157</v>
      </c>
      <c r="E43" s="102"/>
    </row>
    <row r="44" spans="1:5" x14ac:dyDescent="0.15">
      <c r="A44" s="102" t="s">
        <v>1158</v>
      </c>
      <c r="B44" s="102" t="s">
        <v>1159</v>
      </c>
      <c r="C44" s="102">
        <v>245661</v>
      </c>
      <c r="D44" s="102" t="s">
        <v>1158</v>
      </c>
      <c r="E44" s="102"/>
    </row>
    <row r="45" spans="1:5" x14ac:dyDescent="0.15">
      <c r="A45" s="102" t="s">
        <v>1160</v>
      </c>
      <c r="B45" s="102" t="s">
        <v>1107</v>
      </c>
      <c r="C45" s="102">
        <v>166487</v>
      </c>
      <c r="D45" s="102" t="s">
        <v>1160</v>
      </c>
      <c r="E45" s="102"/>
    </row>
    <row r="46" spans="1:5" x14ac:dyDescent="0.15">
      <c r="A46" s="102" t="s">
        <v>1161</v>
      </c>
      <c r="B46" s="102" t="s">
        <v>1107</v>
      </c>
      <c r="C46" s="102">
        <v>166490</v>
      </c>
      <c r="D46" s="102" t="s">
        <v>1162</v>
      </c>
      <c r="E46" s="102"/>
    </row>
    <row r="47" spans="1:5" x14ac:dyDescent="0.15">
      <c r="A47" s="102" t="s">
        <v>1163</v>
      </c>
      <c r="B47" s="102" t="s">
        <v>1107</v>
      </c>
      <c r="C47" s="102">
        <v>166491</v>
      </c>
      <c r="D47" s="102" t="s">
        <v>1163</v>
      </c>
      <c r="E47" s="102"/>
    </row>
    <row r="48" spans="1:5" x14ac:dyDescent="0.15">
      <c r="A48" s="102" t="s">
        <v>1164</v>
      </c>
      <c r="B48" s="102" t="s">
        <v>1104</v>
      </c>
      <c r="C48" s="102">
        <v>172582</v>
      </c>
      <c r="D48" s="102" t="s">
        <v>1164</v>
      </c>
      <c r="E48" s="102"/>
    </row>
    <row r="49" spans="1:5" x14ac:dyDescent="0.15">
      <c r="A49" s="102" t="s">
        <v>1165</v>
      </c>
      <c r="B49" s="102" t="s">
        <v>1107</v>
      </c>
      <c r="C49" s="102">
        <v>166492</v>
      </c>
      <c r="D49" s="102" t="s">
        <v>1165</v>
      </c>
      <c r="E49" s="102"/>
    </row>
    <row r="50" spans="1:5" x14ac:dyDescent="0.15">
      <c r="A50" s="102" t="s">
        <v>1166</v>
      </c>
      <c r="B50" s="102" t="s">
        <v>1107</v>
      </c>
      <c r="C50" s="102">
        <v>166493</v>
      </c>
      <c r="D50" s="102" t="s">
        <v>1166</v>
      </c>
      <c r="E50" s="102"/>
    </row>
    <row r="51" spans="1:5" x14ac:dyDescent="0.15">
      <c r="A51" s="102" t="s">
        <v>1167</v>
      </c>
      <c r="B51" s="102" t="s">
        <v>1107</v>
      </c>
      <c r="C51" s="102">
        <v>166494</v>
      </c>
      <c r="D51" s="102" t="s">
        <v>1167</v>
      </c>
      <c r="E51" s="102"/>
    </row>
    <row r="52" spans="1:5" x14ac:dyDescent="0.15">
      <c r="A52" s="102" t="s">
        <v>1168</v>
      </c>
      <c r="B52" s="102" t="s">
        <v>1107</v>
      </c>
      <c r="C52" s="102">
        <v>166495</v>
      </c>
      <c r="D52" s="102" t="s">
        <v>1168</v>
      </c>
      <c r="E52" s="102"/>
    </row>
    <row r="53" spans="1:5" x14ac:dyDescent="0.15">
      <c r="A53" s="102" t="s">
        <v>1169</v>
      </c>
      <c r="B53" s="102" t="s">
        <v>1170</v>
      </c>
      <c r="C53" s="102">
        <v>244046</v>
      </c>
      <c r="D53" s="102" t="s">
        <v>1169</v>
      </c>
      <c r="E53" s="102"/>
    </row>
    <row r="54" spans="1:5" x14ac:dyDescent="0.15">
      <c r="A54" s="102" t="s">
        <v>1171</v>
      </c>
      <c r="B54" s="102" t="s">
        <v>1122</v>
      </c>
      <c r="C54" s="102">
        <v>232534</v>
      </c>
      <c r="D54" s="102" t="s">
        <v>1171</v>
      </c>
      <c r="E54" s="102"/>
    </row>
    <row r="55" spans="1:5" x14ac:dyDescent="0.15">
      <c r="A55" s="102" t="s">
        <v>1172</v>
      </c>
      <c r="B55" s="102" t="s">
        <v>1122</v>
      </c>
      <c r="C55" s="102">
        <v>228619</v>
      </c>
      <c r="D55" s="102" t="s">
        <v>1173</v>
      </c>
      <c r="E55" s="102"/>
    </row>
    <row r="56" spans="1:5" x14ac:dyDescent="0.15">
      <c r="A56" s="102" t="s">
        <v>1174</v>
      </c>
      <c r="B56" s="102" t="s">
        <v>1107</v>
      </c>
      <c r="C56" s="102">
        <v>166496</v>
      </c>
      <c r="D56" s="102" t="s">
        <v>1174</v>
      </c>
      <c r="E56" s="102"/>
    </row>
    <row r="57" spans="1:5" x14ac:dyDescent="0.15">
      <c r="A57" s="102" t="s">
        <v>1175</v>
      </c>
      <c r="B57" s="102" t="s">
        <v>1107</v>
      </c>
      <c r="C57" s="102">
        <v>166497</v>
      </c>
      <c r="D57" s="102" t="s">
        <v>1175</v>
      </c>
      <c r="E57" s="102"/>
    </row>
    <row r="58" spans="1:5" x14ac:dyDescent="0.15">
      <c r="A58" s="102" t="s">
        <v>1176</v>
      </c>
      <c r="B58" s="102" t="s">
        <v>1104</v>
      </c>
      <c r="C58" s="102">
        <v>172846</v>
      </c>
      <c r="D58" s="102" t="s">
        <v>1176</v>
      </c>
      <c r="E58" s="102"/>
    </row>
    <row r="59" spans="1:5" x14ac:dyDescent="0.15">
      <c r="A59" s="102" t="s">
        <v>1177</v>
      </c>
      <c r="B59" s="102" t="s">
        <v>1122</v>
      </c>
      <c r="C59" s="102">
        <v>217913</v>
      </c>
      <c r="D59" s="102" t="s">
        <v>1177</v>
      </c>
      <c r="E59" s="102"/>
    </row>
    <row r="60" spans="1:5" x14ac:dyDescent="0.15">
      <c r="A60" s="102" t="s">
        <v>1178</v>
      </c>
      <c r="B60" s="102" t="s">
        <v>1104</v>
      </c>
      <c r="C60" s="102">
        <v>181447</v>
      </c>
      <c r="D60" s="102" t="s">
        <v>1178</v>
      </c>
      <c r="E60" s="102"/>
    </row>
    <row r="61" spans="1:5" x14ac:dyDescent="0.15">
      <c r="A61" s="102" t="s">
        <v>1179</v>
      </c>
      <c r="B61" s="102" t="s">
        <v>1107</v>
      </c>
      <c r="C61" s="102">
        <v>166499</v>
      </c>
      <c r="D61" s="102" t="s">
        <v>1180</v>
      </c>
      <c r="E61" s="102"/>
    </row>
    <row r="62" spans="1:5" x14ac:dyDescent="0.15">
      <c r="A62" s="102" t="s">
        <v>1181</v>
      </c>
      <c r="B62" s="102" t="s">
        <v>1107</v>
      </c>
      <c r="C62" s="102">
        <v>166463</v>
      </c>
      <c r="D62" s="102" t="s">
        <v>1181</v>
      </c>
      <c r="E62" s="102"/>
    </row>
    <row r="63" spans="1:5" x14ac:dyDescent="0.15">
      <c r="A63" s="102" t="s">
        <v>1182</v>
      </c>
      <c r="B63" s="102" t="s">
        <v>1107</v>
      </c>
      <c r="C63" s="102">
        <v>166501</v>
      </c>
      <c r="D63" s="102" t="s">
        <v>1183</v>
      </c>
      <c r="E63" s="102"/>
    </row>
    <row r="64" spans="1:5" x14ac:dyDescent="0.15">
      <c r="A64" s="102" t="s">
        <v>1184</v>
      </c>
      <c r="B64" s="102" t="s">
        <v>1122</v>
      </c>
      <c r="C64" s="102">
        <v>232980</v>
      </c>
      <c r="D64" s="102" t="s">
        <v>1184</v>
      </c>
      <c r="E64" s="102"/>
    </row>
    <row r="65" spans="1:5" x14ac:dyDescent="0.15">
      <c r="A65" s="102" t="s">
        <v>1185</v>
      </c>
      <c r="B65" s="102" t="s">
        <v>1186</v>
      </c>
      <c r="C65" s="102">
        <v>241583</v>
      </c>
      <c r="D65" s="102" t="s">
        <v>1185</v>
      </c>
      <c r="E65" s="102"/>
    </row>
    <row r="66" spans="1:5" x14ac:dyDescent="0.15">
      <c r="A66" s="102" t="s">
        <v>1185</v>
      </c>
      <c r="B66" s="102" t="s">
        <v>1187</v>
      </c>
      <c r="C66" s="102">
        <v>247814</v>
      </c>
      <c r="D66" s="102" t="s">
        <v>1185</v>
      </c>
      <c r="E66" s="102"/>
    </row>
    <row r="67" spans="1:5" x14ac:dyDescent="0.15">
      <c r="A67" s="102" t="s">
        <v>1185</v>
      </c>
      <c r="B67" s="102" t="s">
        <v>1188</v>
      </c>
      <c r="C67" s="102">
        <v>247888</v>
      </c>
      <c r="D67" s="102" t="s">
        <v>1185</v>
      </c>
      <c r="E67" s="102"/>
    </row>
    <row r="68" spans="1:5" x14ac:dyDescent="0.15">
      <c r="A68" s="102" t="s">
        <v>1185</v>
      </c>
      <c r="B68" s="102" t="s">
        <v>1189</v>
      </c>
      <c r="C68" s="102">
        <v>249384</v>
      </c>
      <c r="D68" s="102" t="s">
        <v>1185</v>
      </c>
      <c r="E68" s="102"/>
    </row>
    <row r="69" spans="1:5" x14ac:dyDescent="0.15">
      <c r="A69" s="102" t="s">
        <v>1185</v>
      </c>
      <c r="B69" s="102" t="s">
        <v>1190</v>
      </c>
      <c r="C69" s="102">
        <v>249654</v>
      </c>
      <c r="D69" s="102" t="s">
        <v>1185</v>
      </c>
      <c r="E69" s="102"/>
    </row>
    <row r="70" spans="1:5" x14ac:dyDescent="0.15">
      <c r="A70" s="102" t="s">
        <v>1191</v>
      </c>
      <c r="B70" s="102" t="s">
        <v>1192</v>
      </c>
      <c r="C70" s="102">
        <v>245838</v>
      </c>
      <c r="D70" s="102" t="s">
        <v>1191</v>
      </c>
      <c r="E70" s="102"/>
    </row>
    <row r="71" spans="1:5" x14ac:dyDescent="0.15">
      <c r="A71" s="102" t="s">
        <v>1193</v>
      </c>
      <c r="B71" s="102" t="s">
        <v>1194</v>
      </c>
      <c r="C71" s="102">
        <v>247815</v>
      </c>
      <c r="D71" s="102" t="s">
        <v>1193</v>
      </c>
      <c r="E71" s="102"/>
    </row>
    <row r="72" spans="1:5" x14ac:dyDescent="0.15">
      <c r="A72" s="102" t="s">
        <v>1193</v>
      </c>
      <c r="B72" s="102" t="s">
        <v>1195</v>
      </c>
      <c r="C72" s="102">
        <v>248173</v>
      </c>
      <c r="D72" s="102" t="s">
        <v>1193</v>
      </c>
      <c r="E72" s="102"/>
    </row>
    <row r="73" spans="1:5" x14ac:dyDescent="0.15">
      <c r="A73" s="102" t="s">
        <v>1196</v>
      </c>
      <c r="B73" s="102" t="s">
        <v>1122</v>
      </c>
      <c r="C73" s="102">
        <v>231316</v>
      </c>
      <c r="D73" s="102" t="s">
        <v>1196</v>
      </c>
      <c r="E73" s="102"/>
    </row>
    <row r="74" spans="1:5" x14ac:dyDescent="0.15">
      <c r="A74" s="102" t="s">
        <v>1196</v>
      </c>
      <c r="B74" s="102" t="s">
        <v>1122</v>
      </c>
      <c r="C74" s="102">
        <v>232821</v>
      </c>
      <c r="D74" s="102" t="s">
        <v>1196</v>
      </c>
      <c r="E74" s="102"/>
    </row>
    <row r="75" spans="1:5" x14ac:dyDescent="0.15">
      <c r="A75" s="102" t="s">
        <v>1196</v>
      </c>
      <c r="B75" s="102" t="s">
        <v>1197</v>
      </c>
      <c r="C75" s="102">
        <v>235528</v>
      </c>
      <c r="D75" s="102" t="s">
        <v>1196</v>
      </c>
      <c r="E75" s="102"/>
    </row>
    <row r="76" spans="1:5" x14ac:dyDescent="0.15">
      <c r="A76" s="102" t="s">
        <v>1198</v>
      </c>
      <c r="B76" s="102" t="s">
        <v>1107</v>
      </c>
      <c r="C76" s="102">
        <v>166514</v>
      </c>
      <c r="D76" s="102" t="s">
        <v>1198</v>
      </c>
      <c r="E76" s="102"/>
    </row>
    <row r="77" spans="1:5" x14ac:dyDescent="0.15">
      <c r="A77" s="102" t="s">
        <v>1199</v>
      </c>
      <c r="B77" s="102" t="s">
        <v>1107</v>
      </c>
      <c r="C77" s="102">
        <v>166522</v>
      </c>
      <c r="D77" s="102" t="s">
        <v>1199</v>
      </c>
      <c r="E77" s="102"/>
    </row>
    <row r="78" spans="1:5" x14ac:dyDescent="0.15">
      <c r="A78" s="102" t="s">
        <v>1200</v>
      </c>
      <c r="B78" s="102" t="s">
        <v>1107</v>
      </c>
      <c r="C78" s="102">
        <v>166519</v>
      </c>
      <c r="D78" s="102" t="s">
        <v>1200</v>
      </c>
      <c r="E78" s="102"/>
    </row>
    <row r="79" spans="1:5" x14ac:dyDescent="0.15">
      <c r="A79" s="102" t="s">
        <v>1201</v>
      </c>
      <c r="B79" s="102" t="s">
        <v>1104</v>
      </c>
      <c r="C79" s="102">
        <v>172649</v>
      </c>
      <c r="D79" s="102" t="s">
        <v>1201</v>
      </c>
      <c r="E79" s="102"/>
    </row>
    <row r="80" spans="1:5" x14ac:dyDescent="0.15">
      <c r="A80" s="102" t="s">
        <v>1202</v>
      </c>
      <c r="B80" s="102" t="s">
        <v>1101</v>
      </c>
      <c r="C80" s="102">
        <v>217475</v>
      </c>
      <c r="D80" s="102" t="s">
        <v>1202</v>
      </c>
      <c r="E80" s="102"/>
    </row>
    <row r="81" spans="1:5" x14ac:dyDescent="0.15">
      <c r="A81" s="102" t="s">
        <v>1203</v>
      </c>
      <c r="B81" s="102" t="s">
        <v>1204</v>
      </c>
      <c r="C81" s="102">
        <v>249377</v>
      </c>
      <c r="D81" s="102" t="s">
        <v>1203</v>
      </c>
      <c r="E81" s="102"/>
    </row>
    <row r="82" spans="1:5" x14ac:dyDescent="0.15">
      <c r="A82" s="102" t="s">
        <v>1205</v>
      </c>
      <c r="B82" s="102" t="s">
        <v>1101</v>
      </c>
      <c r="C82" s="102">
        <v>220271</v>
      </c>
      <c r="D82" s="102" t="s">
        <v>1205</v>
      </c>
      <c r="E82" s="102"/>
    </row>
    <row r="83" spans="1:5" x14ac:dyDescent="0.15">
      <c r="A83" s="102" t="s">
        <v>1206</v>
      </c>
      <c r="B83" s="102" t="s">
        <v>1207</v>
      </c>
      <c r="C83" s="102">
        <v>236749</v>
      </c>
      <c r="D83" s="102" t="s">
        <v>1206</v>
      </c>
      <c r="E83" s="102"/>
    </row>
    <row r="84" spans="1:5" x14ac:dyDescent="0.15">
      <c r="A84" s="102" t="s">
        <v>1208</v>
      </c>
      <c r="B84" s="102" t="s">
        <v>1104</v>
      </c>
      <c r="C84" s="102">
        <v>172781</v>
      </c>
      <c r="D84" s="102" t="s">
        <v>1208</v>
      </c>
      <c r="E84" s="102"/>
    </row>
    <row r="85" spans="1:5" x14ac:dyDescent="0.15">
      <c r="A85" s="102" t="s">
        <v>1209</v>
      </c>
      <c r="B85" s="102" t="s">
        <v>1104</v>
      </c>
      <c r="C85" s="102">
        <v>201319</v>
      </c>
      <c r="D85" s="102" t="s">
        <v>1209</v>
      </c>
      <c r="E85" s="102"/>
    </row>
    <row r="86" spans="1:5" x14ac:dyDescent="0.15">
      <c r="A86" s="102" t="s">
        <v>1210</v>
      </c>
      <c r="B86" s="102" t="s">
        <v>1104</v>
      </c>
      <c r="C86" s="102">
        <v>178009</v>
      </c>
      <c r="D86" s="102" t="s">
        <v>1210</v>
      </c>
      <c r="E86" s="102"/>
    </row>
    <row r="87" spans="1:5" x14ac:dyDescent="0.15">
      <c r="A87" s="102" t="s">
        <v>1211</v>
      </c>
      <c r="B87" s="102" t="s">
        <v>1212</v>
      </c>
      <c r="C87" s="102">
        <v>241584</v>
      </c>
      <c r="D87" s="102" t="s">
        <v>1211</v>
      </c>
      <c r="E87" s="102"/>
    </row>
    <row r="88" spans="1:5" x14ac:dyDescent="0.15">
      <c r="A88" s="102" t="s">
        <v>1213</v>
      </c>
      <c r="B88" s="102" t="s">
        <v>1104</v>
      </c>
      <c r="C88" s="102">
        <v>191891</v>
      </c>
      <c r="D88" s="102" t="s">
        <v>1213</v>
      </c>
      <c r="E88" s="102"/>
    </row>
    <row r="89" spans="1:5" x14ac:dyDescent="0.15">
      <c r="A89" s="102" t="s">
        <v>1214</v>
      </c>
      <c r="B89" s="102" t="s">
        <v>1104</v>
      </c>
      <c r="C89" s="102">
        <v>172659</v>
      </c>
      <c r="D89" s="102" t="s">
        <v>1214</v>
      </c>
      <c r="E89" s="102"/>
    </row>
    <row r="90" spans="1:5" x14ac:dyDescent="0.15">
      <c r="A90" s="102" t="s">
        <v>1215</v>
      </c>
      <c r="B90" s="102" t="s">
        <v>1104</v>
      </c>
      <c r="C90" s="102">
        <v>172914</v>
      </c>
      <c r="D90" s="102" t="s">
        <v>1215</v>
      </c>
      <c r="E90" s="102"/>
    </row>
    <row r="91" spans="1:5" x14ac:dyDescent="0.15">
      <c r="A91" s="102" t="s">
        <v>1216</v>
      </c>
      <c r="B91" s="102" t="s">
        <v>1104</v>
      </c>
      <c r="C91" s="102">
        <v>192806</v>
      </c>
      <c r="D91" s="102" t="s">
        <v>1216</v>
      </c>
      <c r="E91" s="102"/>
    </row>
    <row r="92" spans="1:5" x14ac:dyDescent="0.15">
      <c r="A92" s="102" t="s">
        <v>1217</v>
      </c>
      <c r="B92" s="102" t="s">
        <v>1104</v>
      </c>
      <c r="C92" s="102">
        <v>172236</v>
      </c>
      <c r="D92" s="102" t="s">
        <v>1217</v>
      </c>
      <c r="E92" s="102"/>
    </row>
    <row r="93" spans="1:5" x14ac:dyDescent="0.15">
      <c r="A93" s="102" t="s">
        <v>1218</v>
      </c>
      <c r="B93" s="102" t="s">
        <v>1219</v>
      </c>
      <c r="C93" s="102">
        <v>172717</v>
      </c>
      <c r="D93" s="102" t="s">
        <v>1218</v>
      </c>
      <c r="E93" s="102"/>
    </row>
    <row r="94" spans="1:5" x14ac:dyDescent="0.15">
      <c r="A94" s="102" t="s">
        <v>1220</v>
      </c>
      <c r="B94" s="102" t="s">
        <v>1122</v>
      </c>
      <c r="C94" s="102">
        <v>235781</v>
      </c>
      <c r="D94" s="102" t="s">
        <v>1220</v>
      </c>
      <c r="E94" s="102"/>
    </row>
    <row r="95" spans="1:5" x14ac:dyDescent="0.15">
      <c r="A95" s="102" t="s">
        <v>1221</v>
      </c>
      <c r="B95" s="102" t="s">
        <v>1104</v>
      </c>
      <c r="C95" s="102">
        <v>185123</v>
      </c>
      <c r="D95" s="102" t="s">
        <v>1222</v>
      </c>
      <c r="E95" s="102"/>
    </row>
    <row r="96" spans="1:5" x14ac:dyDescent="0.15">
      <c r="A96" s="102" t="s">
        <v>1223</v>
      </c>
      <c r="B96" s="102" t="s">
        <v>1104</v>
      </c>
      <c r="C96" s="102">
        <v>172601</v>
      </c>
      <c r="D96" s="102" t="s">
        <v>1223</v>
      </c>
      <c r="E96" s="102"/>
    </row>
    <row r="97" spans="1:5" x14ac:dyDescent="0.15">
      <c r="A97" s="102" t="s">
        <v>1224</v>
      </c>
      <c r="B97" s="102" t="s">
        <v>1225</v>
      </c>
      <c r="C97" s="102">
        <v>245867</v>
      </c>
      <c r="D97" s="102" t="s">
        <v>1224</v>
      </c>
      <c r="E97" s="102"/>
    </row>
    <row r="98" spans="1:5" x14ac:dyDescent="0.15">
      <c r="A98" s="102" t="s">
        <v>1226</v>
      </c>
      <c r="B98" s="102" t="s">
        <v>1107</v>
      </c>
      <c r="C98" s="102">
        <v>166536</v>
      </c>
      <c r="D98" s="102" t="s">
        <v>1226</v>
      </c>
      <c r="E98" s="102"/>
    </row>
    <row r="99" spans="1:5" x14ac:dyDescent="0.15">
      <c r="A99" s="102" t="s">
        <v>1227</v>
      </c>
      <c r="B99" s="102" t="s">
        <v>1104</v>
      </c>
      <c r="C99" s="102">
        <v>172234</v>
      </c>
      <c r="D99" s="102" t="s">
        <v>1228</v>
      </c>
      <c r="E99" s="102"/>
    </row>
    <row r="100" spans="1:5" x14ac:dyDescent="0.15">
      <c r="A100" s="102" t="s">
        <v>1229</v>
      </c>
      <c r="B100" s="102" t="s">
        <v>1104</v>
      </c>
      <c r="C100" s="102">
        <v>181847</v>
      </c>
      <c r="D100" s="102" t="s">
        <v>1229</v>
      </c>
      <c r="E100" s="102"/>
    </row>
    <row r="101" spans="1:5" x14ac:dyDescent="0.15">
      <c r="A101" s="102" t="s">
        <v>1230</v>
      </c>
      <c r="B101" s="102" t="s">
        <v>1107</v>
      </c>
      <c r="C101" s="102">
        <v>166527</v>
      </c>
      <c r="D101" s="102" t="s">
        <v>1230</v>
      </c>
      <c r="E101" s="102"/>
    </row>
    <row r="102" spans="1:5" x14ac:dyDescent="0.15">
      <c r="A102" s="102" t="s">
        <v>1231</v>
      </c>
      <c r="B102" s="102" t="s">
        <v>1107</v>
      </c>
      <c r="C102" s="102">
        <v>166528</v>
      </c>
      <c r="D102" s="102" t="s">
        <v>1231</v>
      </c>
      <c r="E102" s="102"/>
    </row>
    <row r="103" spans="1:5" x14ac:dyDescent="0.15">
      <c r="A103" s="102" t="s">
        <v>1232</v>
      </c>
      <c r="B103" s="102" t="s">
        <v>1233</v>
      </c>
      <c r="C103" s="102">
        <v>246156</v>
      </c>
      <c r="D103" s="102" t="s">
        <v>1232</v>
      </c>
      <c r="E103" s="102"/>
    </row>
    <row r="104" spans="1:5" x14ac:dyDescent="0.15">
      <c r="A104" s="102" t="s">
        <v>1234</v>
      </c>
      <c r="B104" s="102" t="s">
        <v>1107</v>
      </c>
      <c r="C104" s="102">
        <v>166531</v>
      </c>
      <c r="D104" s="102" t="s">
        <v>1234</v>
      </c>
      <c r="E104" s="102"/>
    </row>
    <row r="105" spans="1:5" x14ac:dyDescent="0.15">
      <c r="A105" s="102" t="s">
        <v>1235</v>
      </c>
      <c r="B105" s="102" t="s">
        <v>1107</v>
      </c>
      <c r="C105" s="102">
        <v>166526</v>
      </c>
      <c r="D105" s="102" t="s">
        <v>1236</v>
      </c>
      <c r="E105" s="102"/>
    </row>
    <row r="106" spans="1:5" x14ac:dyDescent="0.15">
      <c r="A106" s="102" t="s">
        <v>1237</v>
      </c>
      <c r="B106" s="102" t="s">
        <v>1122</v>
      </c>
      <c r="C106" s="102">
        <v>228641</v>
      </c>
      <c r="D106" s="102" t="s">
        <v>1237</v>
      </c>
      <c r="E106" s="102"/>
    </row>
    <row r="107" spans="1:5" x14ac:dyDescent="0.15">
      <c r="A107" s="102" t="s">
        <v>1238</v>
      </c>
      <c r="B107" s="102" t="s">
        <v>1122</v>
      </c>
      <c r="C107" s="102">
        <v>234990</v>
      </c>
      <c r="D107" s="102" t="s">
        <v>1238</v>
      </c>
      <c r="E107" s="102"/>
    </row>
    <row r="108" spans="1:5" x14ac:dyDescent="0.15">
      <c r="A108" s="102" t="s">
        <v>1239</v>
      </c>
      <c r="B108" s="102" t="s">
        <v>1107</v>
      </c>
      <c r="C108" s="102">
        <v>166498</v>
      </c>
      <c r="D108" s="102" t="s">
        <v>1239</v>
      </c>
      <c r="E108" s="102"/>
    </row>
    <row r="109" spans="1:5" x14ac:dyDescent="0.15">
      <c r="A109" s="102" t="s">
        <v>1240</v>
      </c>
      <c r="B109" s="102" t="s">
        <v>1241</v>
      </c>
      <c r="C109" s="102">
        <v>249501</v>
      </c>
      <c r="D109" s="102" t="s">
        <v>1240</v>
      </c>
      <c r="E109" s="102"/>
    </row>
    <row r="110" spans="1:5" x14ac:dyDescent="0.15">
      <c r="A110" s="102" t="s">
        <v>1242</v>
      </c>
      <c r="B110" s="102" t="s">
        <v>1107</v>
      </c>
      <c r="C110" s="102">
        <v>166532</v>
      </c>
      <c r="D110" s="102" t="s">
        <v>1242</v>
      </c>
      <c r="E110" s="102"/>
    </row>
    <row r="111" spans="1:5" x14ac:dyDescent="0.15">
      <c r="A111" s="102" t="s">
        <v>1243</v>
      </c>
      <c r="B111" s="102" t="s">
        <v>1107</v>
      </c>
      <c r="C111" s="102">
        <v>166533</v>
      </c>
      <c r="D111" s="102" t="s">
        <v>1244</v>
      </c>
      <c r="E111" s="102"/>
    </row>
    <row r="112" spans="1:5" x14ac:dyDescent="0.15">
      <c r="A112" s="102" t="s">
        <v>1245</v>
      </c>
      <c r="B112" s="102" t="s">
        <v>1104</v>
      </c>
      <c r="C112" s="102">
        <v>172725</v>
      </c>
      <c r="D112" s="102" t="s">
        <v>1246</v>
      </c>
      <c r="E112" s="102"/>
    </row>
    <row r="113" spans="1:5" x14ac:dyDescent="0.15">
      <c r="A113" s="102" t="s">
        <v>1247</v>
      </c>
      <c r="B113" s="102" t="s">
        <v>1104</v>
      </c>
      <c r="C113" s="102">
        <v>194016</v>
      </c>
      <c r="D113" s="102" t="s">
        <v>1247</v>
      </c>
      <c r="E113" s="102"/>
    </row>
    <row r="114" spans="1:5" x14ac:dyDescent="0.15">
      <c r="A114" s="102" t="s">
        <v>1248</v>
      </c>
      <c r="B114" s="102" t="s">
        <v>1104</v>
      </c>
      <c r="C114" s="102">
        <v>172658</v>
      </c>
      <c r="D114" s="102" t="s">
        <v>1248</v>
      </c>
      <c r="E114" s="102"/>
    </row>
    <row r="115" spans="1:5" x14ac:dyDescent="0.15">
      <c r="A115" s="102" t="s">
        <v>1249</v>
      </c>
      <c r="B115" s="102" t="s">
        <v>1122</v>
      </c>
      <c r="C115" s="102">
        <v>203536</v>
      </c>
      <c r="D115" s="102" t="s">
        <v>1249</v>
      </c>
      <c r="E115" s="102"/>
    </row>
    <row r="116" spans="1:5" x14ac:dyDescent="0.15">
      <c r="A116" s="102" t="s">
        <v>1250</v>
      </c>
      <c r="B116" s="102" t="s">
        <v>1107</v>
      </c>
      <c r="C116" s="102">
        <v>166537</v>
      </c>
      <c r="D116" s="102" t="s">
        <v>1250</v>
      </c>
      <c r="E116" s="102"/>
    </row>
    <row r="117" spans="1:5" x14ac:dyDescent="0.15">
      <c r="A117" s="102" t="s">
        <v>1251</v>
      </c>
      <c r="B117" s="102" t="s">
        <v>1252</v>
      </c>
      <c r="C117" s="102">
        <v>236408</v>
      </c>
      <c r="D117" s="102" t="s">
        <v>1251</v>
      </c>
      <c r="E117" s="102"/>
    </row>
    <row r="118" spans="1:5" x14ac:dyDescent="0.15">
      <c r="A118" s="102" t="s">
        <v>1253</v>
      </c>
      <c r="B118" s="102" t="s">
        <v>1122</v>
      </c>
      <c r="C118" s="102">
        <v>227536</v>
      </c>
      <c r="D118" s="102" t="s">
        <v>1253</v>
      </c>
      <c r="E118" s="102"/>
    </row>
    <row r="119" spans="1:5" x14ac:dyDescent="0.15">
      <c r="A119" s="102" t="s">
        <v>1254</v>
      </c>
      <c r="B119" s="102" t="s">
        <v>1107</v>
      </c>
      <c r="C119" s="102">
        <v>166538</v>
      </c>
      <c r="D119" s="102" t="s">
        <v>1255</v>
      </c>
      <c r="E119" s="102"/>
    </row>
    <row r="120" spans="1:5" x14ac:dyDescent="0.15">
      <c r="A120" s="102" t="s">
        <v>1256</v>
      </c>
      <c r="B120" s="102" t="s">
        <v>1107</v>
      </c>
      <c r="C120" s="102">
        <v>166539</v>
      </c>
      <c r="D120" s="102" t="s">
        <v>1256</v>
      </c>
      <c r="E120" s="102"/>
    </row>
    <row r="121" spans="1:5" x14ac:dyDescent="0.15">
      <c r="A121" s="102" t="s">
        <v>1257</v>
      </c>
      <c r="B121" s="102" t="s">
        <v>1122</v>
      </c>
      <c r="C121" s="102">
        <v>226513</v>
      </c>
      <c r="D121" s="102" t="s">
        <v>1257</v>
      </c>
      <c r="E121" s="102"/>
    </row>
    <row r="122" spans="1:5" x14ac:dyDescent="0.15">
      <c r="A122" s="102" t="s">
        <v>1258</v>
      </c>
      <c r="B122" s="102" t="s">
        <v>1107</v>
      </c>
      <c r="C122" s="102">
        <v>166543</v>
      </c>
      <c r="D122" s="102" t="s">
        <v>1258</v>
      </c>
      <c r="E122" s="102"/>
    </row>
    <row r="123" spans="1:5" x14ac:dyDescent="0.15">
      <c r="A123" s="102" t="s">
        <v>1259</v>
      </c>
      <c r="B123" s="102" t="s">
        <v>1107</v>
      </c>
      <c r="C123" s="102">
        <v>166544</v>
      </c>
      <c r="D123" s="102" t="s">
        <v>1260</v>
      </c>
      <c r="E123" s="102"/>
    </row>
    <row r="124" spans="1:5" x14ac:dyDescent="0.15">
      <c r="A124" s="102" t="s">
        <v>1261</v>
      </c>
      <c r="B124" s="102" t="s">
        <v>1101</v>
      </c>
      <c r="C124" s="102">
        <v>166545</v>
      </c>
      <c r="D124" s="102" t="s">
        <v>1261</v>
      </c>
      <c r="E124" s="102"/>
    </row>
    <row r="125" spans="1:5" x14ac:dyDescent="0.15">
      <c r="A125" s="102" t="s">
        <v>1262</v>
      </c>
      <c r="B125" s="102" t="s">
        <v>1107</v>
      </c>
      <c r="C125" s="102">
        <v>166547</v>
      </c>
      <c r="D125" s="102" t="s">
        <v>1263</v>
      </c>
      <c r="E125" s="102"/>
    </row>
    <row r="126" spans="1:5" x14ac:dyDescent="0.15">
      <c r="A126" s="102" t="s">
        <v>1264</v>
      </c>
      <c r="B126" s="102" t="s">
        <v>1122</v>
      </c>
      <c r="C126" s="102">
        <v>226954</v>
      </c>
      <c r="D126" s="102" t="s">
        <v>1264</v>
      </c>
      <c r="E126" s="102"/>
    </row>
    <row r="127" spans="1:5" x14ac:dyDescent="0.15">
      <c r="A127" s="102" t="s">
        <v>1265</v>
      </c>
      <c r="B127" s="102" t="s">
        <v>1107</v>
      </c>
      <c r="C127" s="102">
        <v>166548</v>
      </c>
      <c r="D127" s="102" t="s">
        <v>1265</v>
      </c>
      <c r="E127" s="102"/>
    </row>
    <row r="128" spans="1:5" x14ac:dyDescent="0.15">
      <c r="A128" s="102" t="s">
        <v>1266</v>
      </c>
      <c r="B128" s="102" t="s">
        <v>1107</v>
      </c>
      <c r="C128" s="102">
        <v>166549</v>
      </c>
      <c r="D128" s="102" t="s">
        <v>1266</v>
      </c>
      <c r="E128" s="102"/>
    </row>
    <row r="129" spans="1:5" x14ac:dyDescent="0.15">
      <c r="A129" s="102" t="s">
        <v>1267</v>
      </c>
      <c r="B129" s="102" t="s">
        <v>1268</v>
      </c>
      <c r="C129" s="102">
        <v>247054</v>
      </c>
      <c r="D129" s="102" t="s">
        <v>1267</v>
      </c>
      <c r="E129" s="102"/>
    </row>
    <row r="130" spans="1:5" x14ac:dyDescent="0.15">
      <c r="A130" s="102" t="s">
        <v>1269</v>
      </c>
      <c r="B130" s="102" t="s">
        <v>1270</v>
      </c>
      <c r="C130" s="102">
        <v>248135</v>
      </c>
      <c r="D130" s="102" t="s">
        <v>1269</v>
      </c>
      <c r="E130" s="102"/>
    </row>
    <row r="131" spans="1:5" x14ac:dyDescent="0.15">
      <c r="A131" s="102" t="s">
        <v>1269</v>
      </c>
      <c r="B131" s="102" t="s">
        <v>1271</v>
      </c>
      <c r="C131" s="102">
        <v>248137</v>
      </c>
      <c r="D131" s="102" t="s">
        <v>1269</v>
      </c>
      <c r="E131" s="102"/>
    </row>
    <row r="132" spans="1:5" x14ac:dyDescent="0.15">
      <c r="A132" s="102" t="s">
        <v>1272</v>
      </c>
      <c r="B132" s="102" t="s">
        <v>1104</v>
      </c>
      <c r="C132" s="102">
        <v>171799</v>
      </c>
      <c r="D132" s="102" t="s">
        <v>1273</v>
      </c>
      <c r="E132" s="102"/>
    </row>
    <row r="133" spans="1:5" x14ac:dyDescent="0.15">
      <c r="A133" s="102" t="s">
        <v>1274</v>
      </c>
      <c r="B133" s="102" t="s">
        <v>1275</v>
      </c>
      <c r="C133" s="102">
        <v>246132</v>
      </c>
      <c r="D133" s="102" t="s">
        <v>1274</v>
      </c>
      <c r="E133" s="102"/>
    </row>
    <row r="134" spans="1:5" x14ac:dyDescent="0.15">
      <c r="A134" s="102" t="s">
        <v>1276</v>
      </c>
      <c r="B134" s="102" t="s">
        <v>1107</v>
      </c>
      <c r="C134" s="102">
        <v>166550</v>
      </c>
      <c r="D134" s="102" t="s">
        <v>1277</v>
      </c>
      <c r="E134" s="102"/>
    </row>
    <row r="135" spans="1:5" x14ac:dyDescent="0.15">
      <c r="A135" s="102" t="s">
        <v>1278</v>
      </c>
      <c r="B135" s="102" t="s">
        <v>1107</v>
      </c>
      <c r="C135" s="102">
        <v>166551</v>
      </c>
      <c r="D135" s="102" t="s">
        <v>1278</v>
      </c>
      <c r="E135" s="102"/>
    </row>
    <row r="136" spans="1:5" x14ac:dyDescent="0.15">
      <c r="A136" s="102" t="s">
        <v>1279</v>
      </c>
      <c r="B136" s="102" t="s">
        <v>1107</v>
      </c>
      <c r="C136" s="102">
        <v>166553</v>
      </c>
      <c r="D136" s="102" t="s">
        <v>1280</v>
      </c>
      <c r="E136" s="102"/>
    </row>
    <row r="137" spans="1:5" x14ac:dyDescent="0.15">
      <c r="A137" s="102" t="s">
        <v>1281</v>
      </c>
      <c r="B137" s="102" t="s">
        <v>1107</v>
      </c>
      <c r="C137" s="102">
        <v>166554</v>
      </c>
      <c r="D137" s="102" t="s">
        <v>1282</v>
      </c>
      <c r="E137" s="102"/>
    </row>
    <row r="138" spans="1:5" x14ac:dyDescent="0.15">
      <c r="A138" s="102" t="s">
        <v>1283</v>
      </c>
      <c r="B138" s="102" t="s">
        <v>1107</v>
      </c>
      <c r="C138" s="102">
        <v>166555</v>
      </c>
      <c r="D138" s="102" t="s">
        <v>1283</v>
      </c>
      <c r="E138" s="102"/>
    </row>
    <row r="139" spans="1:5" x14ac:dyDescent="0.15">
      <c r="A139" s="102" t="s">
        <v>1284</v>
      </c>
      <c r="B139" s="102" t="s">
        <v>1107</v>
      </c>
      <c r="C139" s="102">
        <v>166557</v>
      </c>
      <c r="D139" s="102" t="s">
        <v>1284</v>
      </c>
      <c r="E139" s="102"/>
    </row>
    <row r="140" spans="1:5" x14ac:dyDescent="0.15">
      <c r="A140" s="102" t="s">
        <v>1285</v>
      </c>
      <c r="B140" s="102" t="s">
        <v>1107</v>
      </c>
      <c r="C140" s="102">
        <v>166559</v>
      </c>
      <c r="D140" s="102" t="s">
        <v>1285</v>
      </c>
      <c r="E140" s="102"/>
    </row>
    <row r="141" spans="1:5" x14ac:dyDescent="0.15">
      <c r="A141" s="102" t="s">
        <v>1286</v>
      </c>
      <c r="B141" s="102" t="s">
        <v>1107</v>
      </c>
      <c r="C141" s="102">
        <v>166560</v>
      </c>
      <c r="D141" s="102" t="s">
        <v>1286</v>
      </c>
      <c r="E141" s="102"/>
    </row>
    <row r="142" spans="1:5" x14ac:dyDescent="0.15">
      <c r="A142" s="102" t="s">
        <v>1287</v>
      </c>
      <c r="B142" s="102" t="s">
        <v>1107</v>
      </c>
      <c r="C142" s="102">
        <v>166561</v>
      </c>
      <c r="D142" s="102" t="s">
        <v>1287</v>
      </c>
      <c r="E142" s="102"/>
    </row>
    <row r="143" spans="1:5" x14ac:dyDescent="0.15">
      <c r="A143" s="102" t="s">
        <v>1288</v>
      </c>
      <c r="B143" s="102" t="s">
        <v>1104</v>
      </c>
      <c r="C143" s="102">
        <v>172660</v>
      </c>
      <c r="D143" s="102" t="s">
        <v>1288</v>
      </c>
      <c r="E143" s="102"/>
    </row>
    <row r="144" spans="1:5" x14ac:dyDescent="0.15">
      <c r="A144" s="102" t="s">
        <v>1289</v>
      </c>
      <c r="B144" s="102" t="s">
        <v>1290</v>
      </c>
      <c r="C144" s="102">
        <v>246947</v>
      </c>
      <c r="D144" s="102" t="s">
        <v>1289</v>
      </c>
      <c r="E144" s="102"/>
    </row>
    <row r="145" spans="1:5" x14ac:dyDescent="0.15">
      <c r="A145" s="102" t="s">
        <v>1291</v>
      </c>
      <c r="B145" s="102" t="s">
        <v>1122</v>
      </c>
      <c r="C145" s="102">
        <v>207276</v>
      </c>
      <c r="D145" s="102" t="s">
        <v>1291</v>
      </c>
      <c r="E145" s="102"/>
    </row>
    <row r="146" spans="1:5" x14ac:dyDescent="0.15">
      <c r="A146" s="102" t="s">
        <v>1292</v>
      </c>
      <c r="B146" s="102" t="s">
        <v>1122</v>
      </c>
      <c r="C146" s="102">
        <v>221021</v>
      </c>
      <c r="D146" s="102" t="s">
        <v>1292</v>
      </c>
      <c r="E146" s="102"/>
    </row>
    <row r="147" spans="1:5" x14ac:dyDescent="0.15">
      <c r="A147" s="102" t="s">
        <v>1293</v>
      </c>
      <c r="B147" s="102" t="s">
        <v>1122</v>
      </c>
      <c r="C147" s="102">
        <v>217474</v>
      </c>
      <c r="D147" s="102" t="s">
        <v>1293</v>
      </c>
      <c r="E147" s="102"/>
    </row>
    <row r="148" spans="1:5" x14ac:dyDescent="0.15">
      <c r="A148" s="102" t="s">
        <v>1294</v>
      </c>
      <c r="B148" s="102" t="s">
        <v>1107</v>
      </c>
      <c r="C148" s="102">
        <v>166562</v>
      </c>
      <c r="D148" s="102" t="s">
        <v>1295</v>
      </c>
      <c r="E148" s="102"/>
    </row>
    <row r="149" spans="1:5" x14ac:dyDescent="0.15">
      <c r="A149" s="102" t="s">
        <v>1296</v>
      </c>
      <c r="B149" s="102" t="s">
        <v>1107</v>
      </c>
      <c r="C149" s="102">
        <v>166564</v>
      </c>
      <c r="D149" s="102" t="s">
        <v>1296</v>
      </c>
      <c r="E149" s="102"/>
    </row>
    <row r="150" spans="1:5" x14ac:dyDescent="0.15">
      <c r="A150" s="102" t="s">
        <v>1297</v>
      </c>
      <c r="B150" s="102" t="s">
        <v>1107</v>
      </c>
      <c r="C150" s="102">
        <v>166565</v>
      </c>
      <c r="D150" s="102" t="s">
        <v>1297</v>
      </c>
      <c r="E150" s="102"/>
    </row>
    <row r="151" spans="1:5" x14ac:dyDescent="0.15">
      <c r="A151" s="102" t="s">
        <v>1298</v>
      </c>
      <c r="B151" s="102" t="s">
        <v>1107</v>
      </c>
      <c r="C151" s="102">
        <v>166566</v>
      </c>
      <c r="D151" s="102" t="s">
        <v>1298</v>
      </c>
      <c r="E151" s="102"/>
    </row>
    <row r="152" spans="1:5" x14ac:dyDescent="0.15">
      <c r="A152" s="102" t="s">
        <v>1299</v>
      </c>
      <c r="B152" s="102" t="s">
        <v>1122</v>
      </c>
      <c r="C152" s="102">
        <v>206993</v>
      </c>
      <c r="D152" s="102" t="s">
        <v>1299</v>
      </c>
      <c r="E152" s="102"/>
    </row>
    <row r="153" spans="1:5" x14ac:dyDescent="0.15">
      <c r="A153" s="102" t="s">
        <v>1300</v>
      </c>
      <c r="B153" s="102" t="s">
        <v>1107</v>
      </c>
      <c r="C153" s="102">
        <v>166567</v>
      </c>
      <c r="D153" s="102" t="s">
        <v>1300</v>
      </c>
      <c r="E153" s="102"/>
    </row>
    <row r="154" spans="1:5" x14ac:dyDescent="0.15">
      <c r="A154" s="102" t="s">
        <v>1301</v>
      </c>
      <c r="B154" s="102" t="s">
        <v>1107</v>
      </c>
      <c r="C154" s="102">
        <v>166568</v>
      </c>
      <c r="D154" s="102" t="s">
        <v>1301</v>
      </c>
      <c r="E154" s="102"/>
    </row>
    <row r="155" spans="1:5" x14ac:dyDescent="0.15">
      <c r="A155" s="102" t="s">
        <v>1302</v>
      </c>
      <c r="B155" s="102" t="s">
        <v>1101</v>
      </c>
      <c r="C155" s="102">
        <v>166569</v>
      </c>
      <c r="D155" s="102" t="s">
        <v>1302</v>
      </c>
      <c r="E155" s="102"/>
    </row>
    <row r="156" spans="1:5" x14ac:dyDescent="0.15">
      <c r="A156" s="102" t="s">
        <v>1303</v>
      </c>
      <c r="B156" s="102" t="s">
        <v>1107</v>
      </c>
      <c r="C156" s="102">
        <v>166570</v>
      </c>
      <c r="D156" s="102" t="s">
        <v>1303</v>
      </c>
      <c r="E156" s="102"/>
    </row>
    <row r="157" spans="1:5" x14ac:dyDescent="0.15">
      <c r="A157" s="102" t="s">
        <v>1304</v>
      </c>
      <c r="B157" s="102" t="s">
        <v>1305</v>
      </c>
      <c r="C157" s="102">
        <v>247887</v>
      </c>
      <c r="D157" s="102" t="s">
        <v>1304</v>
      </c>
      <c r="E157" s="102"/>
    </row>
    <row r="158" spans="1:5" x14ac:dyDescent="0.15">
      <c r="A158" s="102" t="s">
        <v>1306</v>
      </c>
      <c r="B158" s="102" t="s">
        <v>1307</v>
      </c>
      <c r="C158" s="102">
        <v>246134</v>
      </c>
      <c r="D158" s="102" t="s">
        <v>1306</v>
      </c>
      <c r="E158" s="102"/>
    </row>
    <row r="159" spans="1:5" x14ac:dyDescent="0.15">
      <c r="A159" s="102" t="s">
        <v>1308</v>
      </c>
      <c r="B159" s="102" t="s">
        <v>1107</v>
      </c>
      <c r="C159" s="102">
        <v>166578</v>
      </c>
      <c r="D159" s="102" t="s">
        <v>1308</v>
      </c>
      <c r="E159" s="102"/>
    </row>
    <row r="160" spans="1:5" x14ac:dyDescent="0.15">
      <c r="A160" s="102" t="s">
        <v>1309</v>
      </c>
      <c r="B160" s="102" t="s">
        <v>1107</v>
      </c>
      <c r="C160" s="102">
        <v>166575</v>
      </c>
      <c r="D160" s="102" t="s">
        <v>1310</v>
      </c>
      <c r="E160" s="102"/>
    </row>
    <row r="161" spans="1:5" x14ac:dyDescent="0.15">
      <c r="A161" s="102" t="s">
        <v>1311</v>
      </c>
      <c r="B161" s="102" t="s">
        <v>1104</v>
      </c>
      <c r="C161" s="102">
        <v>172605</v>
      </c>
      <c r="D161" s="102" t="s">
        <v>1312</v>
      </c>
      <c r="E161" s="102"/>
    </row>
    <row r="162" spans="1:5" x14ac:dyDescent="0.15">
      <c r="A162" s="102" t="s">
        <v>1313</v>
      </c>
      <c r="B162" s="102" t="s">
        <v>1107</v>
      </c>
      <c r="C162" s="102">
        <v>166630</v>
      </c>
      <c r="D162" s="102" t="s">
        <v>1314</v>
      </c>
      <c r="E162" s="102"/>
    </row>
    <row r="163" spans="1:5" x14ac:dyDescent="0.15">
      <c r="A163" s="102" t="s">
        <v>1315</v>
      </c>
      <c r="B163" s="102" t="s">
        <v>1107</v>
      </c>
      <c r="C163" s="102">
        <v>166632</v>
      </c>
      <c r="D163" s="102" t="s">
        <v>1315</v>
      </c>
      <c r="E163" s="102"/>
    </row>
    <row r="164" spans="1:5" x14ac:dyDescent="0.15">
      <c r="A164" s="102" t="s">
        <v>1316</v>
      </c>
      <c r="B164" s="102" t="s">
        <v>1107</v>
      </c>
      <c r="C164" s="102">
        <v>166635</v>
      </c>
      <c r="D164" s="102" t="s">
        <v>1316</v>
      </c>
      <c r="E164" s="102"/>
    </row>
    <row r="165" spans="1:5" x14ac:dyDescent="0.15">
      <c r="A165" s="102" t="s">
        <v>1317</v>
      </c>
      <c r="B165" s="102" t="s">
        <v>1101</v>
      </c>
      <c r="C165" s="102">
        <v>166530</v>
      </c>
      <c r="D165" s="102" t="s">
        <v>1317</v>
      </c>
      <c r="E165" s="102"/>
    </row>
    <row r="166" spans="1:5" x14ac:dyDescent="0.15">
      <c r="A166" s="102" t="s">
        <v>1318</v>
      </c>
      <c r="B166" s="102" t="s">
        <v>1107</v>
      </c>
      <c r="C166" s="102">
        <v>166636</v>
      </c>
      <c r="D166" s="102" t="s">
        <v>1318</v>
      </c>
      <c r="E166" s="102"/>
    </row>
    <row r="167" spans="1:5" x14ac:dyDescent="0.15">
      <c r="A167" s="102" t="s">
        <v>1319</v>
      </c>
      <c r="B167" s="102" t="s">
        <v>1107</v>
      </c>
      <c r="C167" s="102">
        <v>166633</v>
      </c>
      <c r="D167" s="102" t="s">
        <v>1319</v>
      </c>
      <c r="E167" s="102"/>
    </row>
    <row r="168" spans="1:5" x14ac:dyDescent="0.15">
      <c r="A168" s="102" t="s">
        <v>1320</v>
      </c>
      <c r="B168" s="102" t="s">
        <v>1107</v>
      </c>
      <c r="C168" s="102">
        <v>166573</v>
      </c>
      <c r="D168" s="102" t="s">
        <v>1320</v>
      </c>
      <c r="E168" s="102"/>
    </row>
    <row r="169" spans="1:5" x14ac:dyDescent="0.15">
      <c r="A169" s="102" t="s">
        <v>1321</v>
      </c>
      <c r="B169" s="102" t="s">
        <v>1107</v>
      </c>
      <c r="C169" s="102">
        <v>166640</v>
      </c>
      <c r="D169" s="102" t="s">
        <v>1322</v>
      </c>
      <c r="E169" s="102"/>
    </row>
    <row r="170" spans="1:5" x14ac:dyDescent="0.15">
      <c r="A170" s="102" t="s">
        <v>1323</v>
      </c>
      <c r="B170" s="102" t="s">
        <v>1107</v>
      </c>
      <c r="C170" s="102">
        <v>166641</v>
      </c>
      <c r="D170" s="102" t="s">
        <v>1323</v>
      </c>
      <c r="E170" s="102"/>
    </row>
    <row r="171" spans="1:5" x14ac:dyDescent="0.15">
      <c r="A171" s="102" t="s">
        <v>1324</v>
      </c>
      <c r="B171" s="102" t="s">
        <v>1104</v>
      </c>
      <c r="C171" s="102">
        <v>172790</v>
      </c>
      <c r="D171" s="102" t="s">
        <v>1325</v>
      </c>
      <c r="E171" s="102"/>
    </row>
    <row r="172" spans="1:5" x14ac:dyDescent="0.15">
      <c r="A172" s="102" t="s">
        <v>1326</v>
      </c>
      <c r="B172" s="102" t="s">
        <v>1122</v>
      </c>
      <c r="C172" s="102">
        <v>228640</v>
      </c>
      <c r="D172" s="102" t="s">
        <v>1326</v>
      </c>
      <c r="E172" s="102"/>
    </row>
    <row r="173" spans="1:5" x14ac:dyDescent="0.15">
      <c r="A173" s="102" t="s">
        <v>1327</v>
      </c>
      <c r="B173" s="102" t="s">
        <v>1122</v>
      </c>
      <c r="C173" s="102">
        <v>207043</v>
      </c>
      <c r="D173" s="102" t="s">
        <v>1327</v>
      </c>
      <c r="E173" s="102"/>
    </row>
    <row r="174" spans="1:5" x14ac:dyDescent="0.15">
      <c r="A174" s="102" t="s">
        <v>1328</v>
      </c>
      <c r="B174" s="102" t="s">
        <v>1122</v>
      </c>
      <c r="C174" s="102">
        <v>209987</v>
      </c>
      <c r="D174" s="102" t="s">
        <v>1328</v>
      </c>
      <c r="E174" s="102"/>
    </row>
    <row r="175" spans="1:5" x14ac:dyDescent="0.15">
      <c r="A175" s="102" t="s">
        <v>1329</v>
      </c>
      <c r="B175" s="102" t="s">
        <v>1330</v>
      </c>
      <c r="C175" s="102">
        <v>249559</v>
      </c>
      <c r="D175" s="102" t="s">
        <v>1329</v>
      </c>
      <c r="E175" s="102"/>
    </row>
    <row r="176" spans="1:5" x14ac:dyDescent="0.15">
      <c r="A176" s="102" t="s">
        <v>1331</v>
      </c>
      <c r="B176" s="102" t="s">
        <v>1122</v>
      </c>
      <c r="C176" s="102">
        <v>235806</v>
      </c>
      <c r="D176" s="102" t="s">
        <v>1331</v>
      </c>
      <c r="E176" s="102"/>
    </row>
    <row r="177" spans="1:5" x14ac:dyDescent="0.15">
      <c r="A177" s="102" t="s">
        <v>1332</v>
      </c>
      <c r="B177" s="102" t="s">
        <v>1107</v>
      </c>
      <c r="C177" s="102">
        <v>166717</v>
      </c>
      <c r="D177" s="102" t="s">
        <v>1333</v>
      </c>
      <c r="E177" s="102"/>
    </row>
    <row r="178" spans="1:5" x14ac:dyDescent="0.15">
      <c r="A178" s="102" t="s">
        <v>1334</v>
      </c>
      <c r="B178" s="102" t="s">
        <v>1107</v>
      </c>
      <c r="C178" s="102">
        <v>166718</v>
      </c>
      <c r="D178" s="102" t="s">
        <v>1334</v>
      </c>
      <c r="E178" s="102"/>
    </row>
    <row r="179" spans="1:5" x14ac:dyDescent="0.15">
      <c r="A179" s="102" t="s">
        <v>1335</v>
      </c>
      <c r="B179" s="102" t="s">
        <v>1107</v>
      </c>
      <c r="C179" s="102">
        <v>166720</v>
      </c>
      <c r="D179" s="102" t="s">
        <v>1335</v>
      </c>
      <c r="E179" s="102"/>
    </row>
    <row r="180" spans="1:5" x14ac:dyDescent="0.15">
      <c r="A180" s="102" t="s">
        <v>1336</v>
      </c>
      <c r="B180" s="102" t="s">
        <v>1122</v>
      </c>
      <c r="C180" s="102">
        <v>231899</v>
      </c>
      <c r="D180" s="102" t="s">
        <v>1336</v>
      </c>
      <c r="E180" s="102"/>
    </row>
    <row r="181" spans="1:5" x14ac:dyDescent="0.15">
      <c r="A181" s="102" t="s">
        <v>1337</v>
      </c>
      <c r="B181" s="102" t="s">
        <v>1338</v>
      </c>
      <c r="C181" s="102">
        <v>242831</v>
      </c>
      <c r="D181" s="102" t="s">
        <v>1337</v>
      </c>
      <c r="E181" s="102"/>
    </row>
    <row r="182" spans="1:5" x14ac:dyDescent="0.15">
      <c r="A182" s="102" t="s">
        <v>1339</v>
      </c>
      <c r="B182" s="102" t="s">
        <v>1107</v>
      </c>
      <c r="C182" s="102">
        <v>166721</v>
      </c>
      <c r="D182" s="102" t="s">
        <v>1339</v>
      </c>
      <c r="E182" s="102"/>
    </row>
    <row r="183" spans="1:5" x14ac:dyDescent="0.15">
      <c r="A183" s="102" t="s">
        <v>1340</v>
      </c>
      <c r="B183" s="102" t="s">
        <v>1122</v>
      </c>
      <c r="C183" s="102">
        <v>218791</v>
      </c>
      <c r="D183" s="102" t="s">
        <v>1340</v>
      </c>
      <c r="E183" s="102"/>
    </row>
    <row r="184" spans="1:5" x14ac:dyDescent="0.15">
      <c r="A184" s="102" t="s">
        <v>1341</v>
      </c>
      <c r="B184" s="102" t="s">
        <v>1122</v>
      </c>
      <c r="C184" s="102">
        <v>219703</v>
      </c>
      <c r="D184" s="102" t="s">
        <v>1341</v>
      </c>
      <c r="E184" s="102"/>
    </row>
    <row r="185" spans="1:5" x14ac:dyDescent="0.15">
      <c r="A185" s="102" t="s">
        <v>1342</v>
      </c>
      <c r="B185" s="102" t="s">
        <v>1107</v>
      </c>
      <c r="C185" s="102">
        <v>166724</v>
      </c>
      <c r="D185" s="102" t="s">
        <v>1342</v>
      </c>
      <c r="E185" s="102"/>
    </row>
    <row r="186" spans="1:5" x14ac:dyDescent="0.15">
      <c r="A186" s="102" t="s">
        <v>1343</v>
      </c>
      <c r="B186" s="102" t="s">
        <v>1344</v>
      </c>
      <c r="C186" s="102">
        <v>199549</v>
      </c>
      <c r="D186" s="102" t="s">
        <v>1343</v>
      </c>
      <c r="E186" s="102"/>
    </row>
    <row r="187" spans="1:5" x14ac:dyDescent="0.15">
      <c r="A187" s="102" t="s">
        <v>1345</v>
      </c>
      <c r="B187" s="102" t="s">
        <v>1107</v>
      </c>
      <c r="C187" s="102">
        <v>166725</v>
      </c>
      <c r="D187" s="102" t="s">
        <v>1345</v>
      </c>
      <c r="E187" s="102"/>
    </row>
    <row r="188" spans="1:5" x14ac:dyDescent="0.15">
      <c r="A188" s="102" t="s">
        <v>1346</v>
      </c>
      <c r="B188" s="102" t="s">
        <v>1107</v>
      </c>
      <c r="C188" s="102">
        <v>166726</v>
      </c>
      <c r="D188" s="102" t="s">
        <v>1346</v>
      </c>
      <c r="E188" s="102"/>
    </row>
    <row r="189" spans="1:5" x14ac:dyDescent="0.15">
      <c r="A189" s="102" t="s">
        <v>1347</v>
      </c>
      <c r="B189" s="102" t="s">
        <v>1101</v>
      </c>
      <c r="C189" s="102">
        <v>166727</v>
      </c>
      <c r="D189" s="102" t="s">
        <v>1347</v>
      </c>
      <c r="E189" s="102"/>
    </row>
    <row r="190" spans="1:5" x14ac:dyDescent="0.15">
      <c r="A190" s="102" t="s">
        <v>1348</v>
      </c>
      <c r="B190" s="102" t="s">
        <v>1107</v>
      </c>
      <c r="C190" s="102">
        <v>166728</v>
      </c>
      <c r="D190" s="102" t="s">
        <v>1348</v>
      </c>
      <c r="E190" s="102"/>
    </row>
    <row r="191" spans="1:5" x14ac:dyDescent="0.15">
      <c r="A191" s="102" t="s">
        <v>1349</v>
      </c>
      <c r="B191" s="102" t="s">
        <v>1104</v>
      </c>
      <c r="C191" s="102">
        <v>172996</v>
      </c>
      <c r="D191" s="102" t="s">
        <v>1349</v>
      </c>
      <c r="E191" s="102"/>
    </row>
    <row r="192" spans="1:5" x14ac:dyDescent="0.15">
      <c r="A192" s="102" t="s">
        <v>1350</v>
      </c>
      <c r="B192" s="102" t="s">
        <v>1107</v>
      </c>
      <c r="C192" s="102">
        <v>166729</v>
      </c>
      <c r="D192" s="102" t="s">
        <v>1351</v>
      </c>
      <c r="E192" s="102"/>
    </row>
    <row r="193" spans="1:5" x14ac:dyDescent="0.15">
      <c r="A193" s="102" t="s">
        <v>1352</v>
      </c>
      <c r="B193" s="102" t="s">
        <v>1104</v>
      </c>
      <c r="C193" s="102">
        <v>178010</v>
      </c>
      <c r="D193" s="102" t="s">
        <v>1352</v>
      </c>
      <c r="E193" s="102"/>
    </row>
    <row r="194" spans="1:5" x14ac:dyDescent="0.15">
      <c r="A194" s="102" t="s">
        <v>1353</v>
      </c>
      <c r="B194" s="102" t="s">
        <v>1107</v>
      </c>
      <c r="C194" s="102">
        <v>166730</v>
      </c>
      <c r="D194" s="102" t="s">
        <v>1353</v>
      </c>
      <c r="E194" s="102"/>
    </row>
    <row r="195" spans="1:5" x14ac:dyDescent="0.15">
      <c r="A195" s="102" t="s">
        <v>1354</v>
      </c>
      <c r="B195" s="102" t="s">
        <v>1104</v>
      </c>
      <c r="C195" s="102">
        <v>172711</v>
      </c>
      <c r="D195" s="102" t="s">
        <v>1354</v>
      </c>
      <c r="E195" s="102"/>
    </row>
    <row r="196" spans="1:5" x14ac:dyDescent="0.15">
      <c r="A196" s="102" t="s">
        <v>1355</v>
      </c>
      <c r="B196" s="102" t="s">
        <v>1107</v>
      </c>
      <c r="C196" s="102">
        <v>166731</v>
      </c>
      <c r="D196" s="102" t="s">
        <v>1356</v>
      </c>
      <c r="E196" s="102"/>
    </row>
    <row r="197" spans="1:5" x14ac:dyDescent="0.15">
      <c r="A197" s="102" t="s">
        <v>1357</v>
      </c>
      <c r="B197" s="102" t="s">
        <v>1107</v>
      </c>
      <c r="C197" s="102">
        <v>166732</v>
      </c>
      <c r="D197" s="102" t="s">
        <v>1357</v>
      </c>
      <c r="E197" s="102"/>
    </row>
    <row r="198" spans="1:5" x14ac:dyDescent="0.15">
      <c r="A198" s="102" t="s">
        <v>1358</v>
      </c>
      <c r="B198" s="102" t="s">
        <v>1107</v>
      </c>
      <c r="C198" s="102">
        <v>166733</v>
      </c>
      <c r="D198" s="102" t="s">
        <v>1359</v>
      </c>
      <c r="E198" s="102"/>
    </row>
    <row r="199" spans="1:5" x14ac:dyDescent="0.15">
      <c r="A199" s="102" t="s">
        <v>1360</v>
      </c>
      <c r="B199" s="102" t="s">
        <v>1107</v>
      </c>
      <c r="C199" s="102">
        <v>166734</v>
      </c>
      <c r="D199" s="102" t="s">
        <v>1361</v>
      </c>
      <c r="E199" s="102"/>
    </row>
    <row r="200" spans="1:5" x14ac:dyDescent="0.15">
      <c r="A200" s="102" t="s">
        <v>1362</v>
      </c>
      <c r="B200" s="102" t="s">
        <v>1107</v>
      </c>
      <c r="C200" s="102">
        <v>166735</v>
      </c>
      <c r="D200" s="102" t="s">
        <v>1362</v>
      </c>
      <c r="E200" s="102"/>
    </row>
    <row r="201" spans="1:5" x14ac:dyDescent="0.15">
      <c r="A201" s="102" t="s">
        <v>1363</v>
      </c>
      <c r="B201" s="102" t="s">
        <v>1107</v>
      </c>
      <c r="C201" s="102">
        <v>166736</v>
      </c>
      <c r="D201" s="102" t="s">
        <v>1364</v>
      </c>
      <c r="E201" s="102"/>
    </row>
    <row r="202" spans="1:5" x14ac:dyDescent="0.15">
      <c r="A202" s="102" t="s">
        <v>1365</v>
      </c>
      <c r="B202" s="102" t="s">
        <v>1107</v>
      </c>
      <c r="C202" s="102">
        <v>166737</v>
      </c>
      <c r="D202" s="102" t="s">
        <v>1365</v>
      </c>
      <c r="E202" s="102"/>
    </row>
    <row r="203" spans="1:5" x14ac:dyDescent="0.15">
      <c r="A203" s="102" t="s">
        <v>1366</v>
      </c>
      <c r="B203" s="102" t="s">
        <v>1122</v>
      </c>
      <c r="C203" s="102">
        <v>229124</v>
      </c>
      <c r="D203" s="102" t="s">
        <v>1366</v>
      </c>
      <c r="E203" s="102"/>
    </row>
    <row r="204" spans="1:5" x14ac:dyDescent="0.15">
      <c r="A204" s="102" t="s">
        <v>1367</v>
      </c>
      <c r="B204" s="102" t="s">
        <v>1368</v>
      </c>
      <c r="C204" s="102">
        <v>242868</v>
      </c>
      <c r="D204" s="102" t="s">
        <v>1367</v>
      </c>
      <c r="E204" s="102"/>
    </row>
    <row r="205" spans="1:5" x14ac:dyDescent="0.15">
      <c r="A205" s="102" t="s">
        <v>1369</v>
      </c>
      <c r="B205" s="102" t="s">
        <v>1107</v>
      </c>
      <c r="C205" s="102">
        <v>166738</v>
      </c>
      <c r="D205" s="102" t="s">
        <v>1370</v>
      </c>
      <c r="E205" s="102"/>
    </row>
    <row r="206" spans="1:5" x14ac:dyDescent="0.15">
      <c r="A206" s="102" t="s">
        <v>1371</v>
      </c>
      <c r="B206" s="102" t="s">
        <v>1104</v>
      </c>
      <c r="C206" s="102">
        <v>171509</v>
      </c>
      <c r="D206" s="102" t="s">
        <v>1371</v>
      </c>
      <c r="E206" s="102"/>
    </row>
    <row r="207" spans="1:5" x14ac:dyDescent="0.15">
      <c r="A207" s="102" t="s">
        <v>1372</v>
      </c>
      <c r="B207" s="102" t="s">
        <v>1104</v>
      </c>
      <c r="C207" s="102">
        <v>172847</v>
      </c>
      <c r="D207" s="102" t="s">
        <v>1373</v>
      </c>
      <c r="E207" s="102"/>
    </row>
    <row r="208" spans="1:5" x14ac:dyDescent="0.15">
      <c r="A208" s="102" t="s">
        <v>1374</v>
      </c>
      <c r="B208" s="102" t="s">
        <v>1107</v>
      </c>
      <c r="C208" s="102">
        <v>171141</v>
      </c>
      <c r="D208" s="102" t="s">
        <v>1374</v>
      </c>
      <c r="E208" s="102"/>
    </row>
    <row r="209" spans="1:5" x14ac:dyDescent="0.15">
      <c r="A209" s="102" t="s">
        <v>1375</v>
      </c>
      <c r="B209" s="102" t="s">
        <v>1107</v>
      </c>
      <c r="C209" s="102">
        <v>171073</v>
      </c>
      <c r="D209" s="102" t="s">
        <v>1375</v>
      </c>
      <c r="E209" s="102"/>
    </row>
    <row r="210" spans="1:5" x14ac:dyDescent="0.15">
      <c r="A210" s="102" t="s">
        <v>1376</v>
      </c>
      <c r="B210" s="102" t="s">
        <v>1377</v>
      </c>
      <c r="C210" s="102">
        <v>171135</v>
      </c>
      <c r="D210" s="102" t="s">
        <v>1376</v>
      </c>
      <c r="E210" s="102"/>
    </row>
    <row r="211" spans="1:5" x14ac:dyDescent="0.15">
      <c r="A211" s="102" t="s">
        <v>1378</v>
      </c>
      <c r="B211" s="102" t="s">
        <v>1379</v>
      </c>
      <c r="C211" s="102">
        <v>242813</v>
      </c>
      <c r="D211" s="102" t="s">
        <v>1378</v>
      </c>
      <c r="E211" s="102"/>
    </row>
    <row r="212" spans="1:5" x14ac:dyDescent="0.15">
      <c r="A212" s="102" t="s">
        <v>1380</v>
      </c>
      <c r="B212" s="102" t="s">
        <v>1104</v>
      </c>
      <c r="C212" s="102">
        <v>172598</v>
      </c>
      <c r="D212" s="102" t="s">
        <v>1380</v>
      </c>
      <c r="E212" s="102"/>
    </row>
    <row r="213" spans="1:5" x14ac:dyDescent="0.15">
      <c r="A213" s="102" t="s">
        <v>1381</v>
      </c>
      <c r="B213" s="102" t="s">
        <v>1107</v>
      </c>
      <c r="C213" s="102">
        <v>171075</v>
      </c>
      <c r="D213" s="102" t="s">
        <v>1381</v>
      </c>
      <c r="E213" s="102"/>
    </row>
    <row r="214" spans="1:5" x14ac:dyDescent="0.15">
      <c r="A214" s="102" t="s">
        <v>1382</v>
      </c>
      <c r="B214" s="102" t="s">
        <v>1107</v>
      </c>
      <c r="C214" s="102">
        <v>171076</v>
      </c>
      <c r="D214" s="102" t="s">
        <v>1382</v>
      </c>
      <c r="E214" s="102"/>
    </row>
    <row r="215" spans="1:5" x14ac:dyDescent="0.15">
      <c r="A215" s="102" t="s">
        <v>1383</v>
      </c>
      <c r="B215" s="102" t="s">
        <v>1107</v>
      </c>
      <c r="C215" s="102">
        <v>171074</v>
      </c>
      <c r="D215" s="102" t="s">
        <v>1384</v>
      </c>
      <c r="E215" s="102"/>
    </row>
    <row r="216" spans="1:5" x14ac:dyDescent="0.15">
      <c r="A216" s="102" t="s">
        <v>1385</v>
      </c>
      <c r="B216" s="102" t="s">
        <v>1107</v>
      </c>
      <c r="C216" s="102">
        <v>171077</v>
      </c>
      <c r="D216" s="102" t="s">
        <v>1386</v>
      </c>
      <c r="E216" s="102"/>
    </row>
    <row r="217" spans="1:5" x14ac:dyDescent="0.15">
      <c r="A217" s="102" t="s">
        <v>1387</v>
      </c>
      <c r="B217" s="102" t="s">
        <v>1107</v>
      </c>
      <c r="C217" s="102">
        <v>171071</v>
      </c>
      <c r="D217" s="102" t="s">
        <v>1387</v>
      </c>
      <c r="E217" s="102"/>
    </row>
    <row r="218" spans="1:5" x14ac:dyDescent="0.15">
      <c r="A218" s="102" t="s">
        <v>1388</v>
      </c>
      <c r="B218" s="102" t="s">
        <v>1104</v>
      </c>
      <c r="C218" s="102">
        <v>202235</v>
      </c>
      <c r="D218" s="102" t="s">
        <v>1388</v>
      </c>
      <c r="E218" s="102"/>
    </row>
    <row r="219" spans="1:5" x14ac:dyDescent="0.15">
      <c r="A219" s="102" t="s">
        <v>1389</v>
      </c>
      <c r="B219" s="102" t="s">
        <v>1107</v>
      </c>
      <c r="C219" s="102">
        <v>171079</v>
      </c>
      <c r="D219" s="102" t="s">
        <v>1390</v>
      </c>
      <c r="E219" s="102"/>
    </row>
    <row r="220" spans="1:5" x14ac:dyDescent="0.15">
      <c r="A220" s="102" t="s">
        <v>1391</v>
      </c>
      <c r="B220" s="102" t="s">
        <v>1392</v>
      </c>
      <c r="C220" s="102">
        <v>171080</v>
      </c>
      <c r="D220" s="102" t="s">
        <v>1393</v>
      </c>
      <c r="E220" s="102"/>
    </row>
    <row r="221" spans="1:5" x14ac:dyDescent="0.15">
      <c r="A221" s="102" t="s">
        <v>1394</v>
      </c>
      <c r="B221" s="102" t="s">
        <v>1104</v>
      </c>
      <c r="C221" s="102">
        <v>172684</v>
      </c>
      <c r="D221" s="102" t="s">
        <v>1394</v>
      </c>
      <c r="E221" s="102"/>
    </row>
    <row r="222" spans="1:5" x14ac:dyDescent="0.15">
      <c r="A222" s="102" t="s">
        <v>1395</v>
      </c>
      <c r="B222" s="102" t="s">
        <v>1107</v>
      </c>
      <c r="C222" s="102">
        <v>171081</v>
      </c>
      <c r="D222" s="102" t="s">
        <v>1396</v>
      </c>
      <c r="E222" s="102"/>
    </row>
    <row r="223" spans="1:5" x14ac:dyDescent="0.15">
      <c r="A223" s="102" t="s">
        <v>1397</v>
      </c>
      <c r="B223" s="102" t="s">
        <v>1107</v>
      </c>
      <c r="C223" s="102">
        <v>171082</v>
      </c>
      <c r="D223" s="102" t="s">
        <v>1397</v>
      </c>
      <c r="E223" s="102"/>
    </row>
    <row r="224" spans="1:5" x14ac:dyDescent="0.15">
      <c r="A224" s="102" t="s">
        <v>1398</v>
      </c>
      <c r="B224" s="102" t="s">
        <v>1107</v>
      </c>
      <c r="C224" s="102">
        <v>171083</v>
      </c>
      <c r="D224" s="102" t="s">
        <v>1398</v>
      </c>
      <c r="E224" s="102"/>
    </row>
    <row r="225" spans="1:5" x14ac:dyDescent="0.15">
      <c r="A225" s="102" t="s">
        <v>1399</v>
      </c>
      <c r="B225" s="102" t="s">
        <v>1122</v>
      </c>
      <c r="C225" s="102">
        <v>229017</v>
      </c>
      <c r="D225" s="102" t="s">
        <v>1399</v>
      </c>
      <c r="E225" s="102"/>
    </row>
    <row r="226" spans="1:5" x14ac:dyDescent="0.15">
      <c r="A226" s="102" t="s">
        <v>1400</v>
      </c>
      <c r="B226" s="102" t="s">
        <v>1107</v>
      </c>
      <c r="C226" s="102">
        <v>171084</v>
      </c>
      <c r="D226" s="102" t="s">
        <v>1401</v>
      </c>
      <c r="E226" s="102"/>
    </row>
    <row r="227" spans="1:5" x14ac:dyDescent="0.15">
      <c r="A227" s="102" t="s">
        <v>1402</v>
      </c>
      <c r="B227" s="102" t="s">
        <v>1107</v>
      </c>
      <c r="C227" s="102">
        <v>171086</v>
      </c>
      <c r="D227" s="102" t="s">
        <v>1403</v>
      </c>
      <c r="E227" s="102"/>
    </row>
    <row r="228" spans="1:5" x14ac:dyDescent="0.15">
      <c r="A228" s="102" t="s">
        <v>1404</v>
      </c>
      <c r="B228" s="102" t="s">
        <v>1104</v>
      </c>
      <c r="C228" s="102">
        <v>172665</v>
      </c>
      <c r="D228" s="102" t="s">
        <v>1405</v>
      </c>
      <c r="E228" s="102"/>
    </row>
    <row r="229" spans="1:5" x14ac:dyDescent="0.15">
      <c r="A229" s="102" t="s">
        <v>1406</v>
      </c>
      <c r="B229" s="102" t="s">
        <v>1107</v>
      </c>
      <c r="C229" s="102">
        <v>171087</v>
      </c>
      <c r="D229" s="102" t="s">
        <v>1406</v>
      </c>
      <c r="E229" s="102"/>
    </row>
    <row r="230" spans="1:5" x14ac:dyDescent="0.15">
      <c r="A230" s="102" t="s">
        <v>1407</v>
      </c>
      <c r="B230" s="102" t="s">
        <v>1107</v>
      </c>
      <c r="C230" s="102">
        <v>171088</v>
      </c>
      <c r="D230" s="102" t="s">
        <v>1407</v>
      </c>
      <c r="E230" s="102"/>
    </row>
    <row r="231" spans="1:5" x14ac:dyDescent="0.15">
      <c r="A231" s="102" t="s">
        <v>1408</v>
      </c>
      <c r="B231" s="102" t="s">
        <v>1409</v>
      </c>
      <c r="C231" s="102">
        <v>244003</v>
      </c>
      <c r="D231" s="102" t="s">
        <v>1408</v>
      </c>
      <c r="E231" s="102"/>
    </row>
    <row r="232" spans="1:5" x14ac:dyDescent="0.15">
      <c r="A232" s="102" t="s">
        <v>1410</v>
      </c>
      <c r="B232" s="102" t="s">
        <v>1107</v>
      </c>
      <c r="C232" s="102">
        <v>171089</v>
      </c>
      <c r="D232" s="102" t="s">
        <v>1411</v>
      </c>
      <c r="E232" s="102"/>
    </row>
    <row r="233" spans="1:5" x14ac:dyDescent="0.15">
      <c r="A233" s="102" t="s">
        <v>1412</v>
      </c>
      <c r="B233" s="102" t="s">
        <v>1107</v>
      </c>
      <c r="C233" s="102">
        <v>171090</v>
      </c>
      <c r="D233" s="102" t="s">
        <v>1413</v>
      </c>
      <c r="E233" s="102"/>
    </row>
    <row r="234" spans="1:5" x14ac:dyDescent="0.15">
      <c r="A234" s="102" t="s">
        <v>1414</v>
      </c>
      <c r="B234" s="102" t="s">
        <v>1415</v>
      </c>
      <c r="C234" s="102">
        <v>249016</v>
      </c>
      <c r="D234" s="102" t="s">
        <v>1414</v>
      </c>
      <c r="E234" s="102"/>
    </row>
    <row r="235" spans="1:5" x14ac:dyDescent="0.15">
      <c r="A235" s="102" t="s">
        <v>1416</v>
      </c>
      <c r="B235" s="102" t="s">
        <v>1107</v>
      </c>
      <c r="C235" s="102">
        <v>171092</v>
      </c>
      <c r="D235" s="102" t="s">
        <v>1416</v>
      </c>
      <c r="E235" s="102"/>
    </row>
    <row r="236" spans="1:5" x14ac:dyDescent="0.15">
      <c r="A236" s="102" t="s">
        <v>1417</v>
      </c>
      <c r="B236" s="102" t="s">
        <v>1107</v>
      </c>
      <c r="C236" s="102">
        <v>171094</v>
      </c>
      <c r="D236" s="102" t="s">
        <v>1418</v>
      </c>
      <c r="E236" s="102"/>
    </row>
    <row r="237" spans="1:5" x14ac:dyDescent="0.15">
      <c r="A237" s="102" t="s">
        <v>1419</v>
      </c>
      <c r="B237" s="102" t="s">
        <v>1104</v>
      </c>
      <c r="C237" s="102">
        <v>200496</v>
      </c>
      <c r="D237" s="102" t="s">
        <v>1419</v>
      </c>
      <c r="E237" s="102"/>
    </row>
    <row r="238" spans="1:5" x14ac:dyDescent="0.15">
      <c r="A238" s="102" t="s">
        <v>1420</v>
      </c>
      <c r="B238" s="102" t="s">
        <v>1107</v>
      </c>
      <c r="C238" s="102">
        <v>171136</v>
      </c>
      <c r="D238" s="102" t="s">
        <v>1420</v>
      </c>
      <c r="E238" s="102"/>
    </row>
    <row r="239" spans="1:5" x14ac:dyDescent="0.15">
      <c r="A239" s="102" t="s">
        <v>1421</v>
      </c>
      <c r="B239" s="102" t="s">
        <v>1107</v>
      </c>
      <c r="C239" s="102">
        <v>171072</v>
      </c>
      <c r="D239" s="102" t="s">
        <v>1421</v>
      </c>
      <c r="E239" s="102"/>
    </row>
    <row r="240" spans="1:5" x14ac:dyDescent="0.15">
      <c r="A240" s="102" t="s">
        <v>1422</v>
      </c>
      <c r="B240" s="102" t="s">
        <v>1423</v>
      </c>
      <c r="C240" s="102">
        <v>171138</v>
      </c>
      <c r="D240" s="102" t="s">
        <v>1422</v>
      </c>
      <c r="E240" s="102"/>
    </row>
    <row r="241" spans="1:5" x14ac:dyDescent="0.15">
      <c r="A241" s="102" t="s">
        <v>1424</v>
      </c>
      <c r="B241" s="102" t="s">
        <v>1104</v>
      </c>
      <c r="C241" s="102">
        <v>172584</v>
      </c>
      <c r="D241" s="102" t="s">
        <v>1425</v>
      </c>
      <c r="E241" s="102"/>
    </row>
    <row r="242" spans="1:5" x14ac:dyDescent="0.15">
      <c r="A242" s="102" t="s">
        <v>1426</v>
      </c>
      <c r="B242" s="102" t="s">
        <v>1101</v>
      </c>
      <c r="C242" s="102">
        <v>172898</v>
      </c>
      <c r="D242" s="102" t="s">
        <v>1426</v>
      </c>
      <c r="E242" s="102"/>
    </row>
    <row r="243" spans="1:5" x14ac:dyDescent="0.15">
      <c r="A243" s="102" t="s">
        <v>1427</v>
      </c>
      <c r="B243" s="102" t="s">
        <v>1107</v>
      </c>
      <c r="C243" s="102">
        <v>171140</v>
      </c>
      <c r="D243" s="102" t="s">
        <v>1428</v>
      </c>
      <c r="E243" s="102"/>
    </row>
    <row r="244" spans="1:5" x14ac:dyDescent="0.15">
      <c r="A244" s="102" t="s">
        <v>1429</v>
      </c>
      <c r="B244" s="102" t="s">
        <v>1107</v>
      </c>
      <c r="C244" s="102">
        <v>171142</v>
      </c>
      <c r="D244" s="102" t="s">
        <v>1429</v>
      </c>
      <c r="E244" s="102"/>
    </row>
    <row r="245" spans="1:5" x14ac:dyDescent="0.15">
      <c r="A245" s="102" t="s">
        <v>1430</v>
      </c>
      <c r="B245" s="102" t="s">
        <v>1122</v>
      </c>
      <c r="C245" s="102">
        <v>210154</v>
      </c>
      <c r="D245" s="102" t="s">
        <v>1430</v>
      </c>
      <c r="E245" s="102"/>
    </row>
    <row r="246" spans="1:5" x14ac:dyDescent="0.15">
      <c r="A246" s="102" t="s">
        <v>1431</v>
      </c>
      <c r="B246" s="102" t="s">
        <v>1107</v>
      </c>
      <c r="C246" s="102">
        <v>171148</v>
      </c>
      <c r="D246" s="102" t="s">
        <v>1431</v>
      </c>
      <c r="E246" s="102"/>
    </row>
    <row r="247" spans="1:5" x14ac:dyDescent="0.15">
      <c r="A247" s="102" t="s">
        <v>1432</v>
      </c>
      <c r="B247" s="102" t="s">
        <v>1122</v>
      </c>
      <c r="C247" s="102">
        <v>232354</v>
      </c>
      <c r="D247" s="102" t="s">
        <v>1432</v>
      </c>
      <c r="E247" s="102"/>
    </row>
    <row r="248" spans="1:5" x14ac:dyDescent="0.15">
      <c r="A248" s="102" t="s">
        <v>1433</v>
      </c>
      <c r="B248" s="102" t="s">
        <v>1107</v>
      </c>
      <c r="C248" s="102">
        <v>171144</v>
      </c>
      <c r="D248" s="102" t="s">
        <v>1433</v>
      </c>
      <c r="E248" s="102"/>
    </row>
    <row r="249" spans="1:5" x14ac:dyDescent="0.15">
      <c r="A249" s="102" t="s">
        <v>1434</v>
      </c>
      <c r="B249" s="102" t="s">
        <v>1435</v>
      </c>
      <c r="C249" s="102">
        <v>247502</v>
      </c>
      <c r="D249" s="102" t="s">
        <v>1434</v>
      </c>
      <c r="E249" s="102"/>
    </row>
    <row r="250" spans="1:5" x14ac:dyDescent="0.15">
      <c r="A250" s="102" t="s">
        <v>1436</v>
      </c>
      <c r="B250" s="102" t="s">
        <v>1107</v>
      </c>
      <c r="C250" s="102">
        <v>171146</v>
      </c>
      <c r="D250" s="102" t="s">
        <v>1436</v>
      </c>
      <c r="E250" s="102"/>
    </row>
    <row r="251" spans="1:5" x14ac:dyDescent="0.15">
      <c r="A251" s="102" t="s">
        <v>1437</v>
      </c>
      <c r="B251" s="102" t="s">
        <v>1107</v>
      </c>
      <c r="C251" s="102">
        <v>171147</v>
      </c>
      <c r="D251" s="102" t="s">
        <v>1438</v>
      </c>
      <c r="E251" s="102"/>
    </row>
    <row r="252" spans="1:5" x14ac:dyDescent="0.15">
      <c r="A252" s="102" t="s">
        <v>1439</v>
      </c>
      <c r="B252" s="102" t="s">
        <v>1122</v>
      </c>
      <c r="C252" s="102">
        <v>228971</v>
      </c>
      <c r="D252" s="102" t="s">
        <v>1440</v>
      </c>
      <c r="E252" s="102"/>
    </row>
    <row r="253" spans="1:5" x14ac:dyDescent="0.15">
      <c r="A253" s="102" t="s">
        <v>1441</v>
      </c>
      <c r="B253" s="102" t="s">
        <v>1442</v>
      </c>
      <c r="C253" s="102">
        <v>171487</v>
      </c>
      <c r="D253" s="102" t="s">
        <v>1441</v>
      </c>
      <c r="E253" s="102"/>
    </row>
    <row r="254" spans="1:5" x14ac:dyDescent="0.15">
      <c r="A254" s="102" t="s">
        <v>1443</v>
      </c>
      <c r="B254" s="102" t="s">
        <v>1107</v>
      </c>
      <c r="C254" s="102">
        <v>171149</v>
      </c>
      <c r="D254" s="102" t="s">
        <v>1443</v>
      </c>
      <c r="E254" s="102"/>
    </row>
    <row r="255" spans="1:5" x14ac:dyDescent="0.15">
      <c r="A255" s="102" t="s">
        <v>1444</v>
      </c>
      <c r="B255" s="102" t="s">
        <v>1107</v>
      </c>
      <c r="C255" s="102">
        <v>171150</v>
      </c>
      <c r="D255" s="102" t="s">
        <v>1444</v>
      </c>
      <c r="E255" s="102"/>
    </row>
    <row r="256" spans="1:5" x14ac:dyDescent="0.15">
      <c r="A256" s="102" t="s">
        <v>1445</v>
      </c>
      <c r="B256" s="102" t="s">
        <v>1107</v>
      </c>
      <c r="C256" s="102">
        <v>171152</v>
      </c>
      <c r="D256" s="102" t="s">
        <v>1446</v>
      </c>
      <c r="E256" s="102"/>
    </row>
    <row r="257" spans="1:5" x14ac:dyDescent="0.15">
      <c r="A257" s="102" t="s">
        <v>1447</v>
      </c>
      <c r="B257" s="102" t="s">
        <v>1107</v>
      </c>
      <c r="C257" s="102">
        <v>171151</v>
      </c>
      <c r="D257" s="102" t="s">
        <v>1447</v>
      </c>
      <c r="E257" s="102"/>
    </row>
    <row r="258" spans="1:5" x14ac:dyDescent="0.15">
      <c r="A258" s="102" t="s">
        <v>1448</v>
      </c>
      <c r="B258" s="102" t="s">
        <v>1107</v>
      </c>
      <c r="C258" s="102">
        <v>171154</v>
      </c>
      <c r="D258" s="102" t="s">
        <v>1448</v>
      </c>
      <c r="E258" s="102"/>
    </row>
    <row r="259" spans="1:5" x14ac:dyDescent="0.15">
      <c r="A259" s="102" t="s">
        <v>1449</v>
      </c>
      <c r="B259" s="102" t="s">
        <v>1107</v>
      </c>
      <c r="C259" s="102">
        <v>171153</v>
      </c>
      <c r="D259" s="102" t="s">
        <v>1450</v>
      </c>
      <c r="E259" s="102"/>
    </row>
    <row r="260" spans="1:5" x14ac:dyDescent="0.15">
      <c r="A260" s="102" t="s">
        <v>1451</v>
      </c>
      <c r="B260" s="102" t="s">
        <v>1107</v>
      </c>
      <c r="C260" s="102">
        <v>171155</v>
      </c>
      <c r="D260" s="102" t="s">
        <v>1451</v>
      </c>
      <c r="E260" s="102"/>
    </row>
    <row r="261" spans="1:5" x14ac:dyDescent="0.15">
      <c r="A261" s="102" t="s">
        <v>1452</v>
      </c>
      <c r="B261" s="102" t="s">
        <v>1104</v>
      </c>
      <c r="C261" s="102">
        <v>200495</v>
      </c>
      <c r="D261" s="102" t="s">
        <v>1452</v>
      </c>
      <c r="E261" s="102"/>
    </row>
    <row r="262" spans="1:5" x14ac:dyDescent="0.15">
      <c r="A262" s="102" t="s">
        <v>1453</v>
      </c>
      <c r="B262" s="102" t="s">
        <v>1104</v>
      </c>
      <c r="C262" s="102">
        <v>173253</v>
      </c>
      <c r="D262" s="102" t="s">
        <v>1454</v>
      </c>
      <c r="E262" s="102"/>
    </row>
    <row r="263" spans="1:5" x14ac:dyDescent="0.15">
      <c r="A263" s="102" t="s">
        <v>1455</v>
      </c>
      <c r="B263" s="102" t="s">
        <v>1122</v>
      </c>
      <c r="C263" s="102">
        <v>214510</v>
      </c>
      <c r="D263" s="102" t="s">
        <v>1455</v>
      </c>
      <c r="E263" s="102"/>
    </row>
    <row r="264" spans="1:5" x14ac:dyDescent="0.15">
      <c r="A264" s="102" t="s">
        <v>1456</v>
      </c>
      <c r="B264" s="102" t="s">
        <v>1104</v>
      </c>
      <c r="C264" s="102">
        <v>171824</v>
      </c>
      <c r="D264" s="102" t="s">
        <v>1457</v>
      </c>
      <c r="E264" s="102"/>
    </row>
    <row r="265" spans="1:5" x14ac:dyDescent="0.15">
      <c r="A265" s="102" t="s">
        <v>1458</v>
      </c>
      <c r="B265" s="102" t="s">
        <v>1104</v>
      </c>
      <c r="C265" s="102">
        <v>171823</v>
      </c>
      <c r="D265" s="102" t="s">
        <v>1458</v>
      </c>
      <c r="E265" s="102"/>
    </row>
    <row r="266" spans="1:5" x14ac:dyDescent="0.15">
      <c r="A266" s="102" t="s">
        <v>1459</v>
      </c>
      <c r="B266" s="102" t="s">
        <v>1104</v>
      </c>
      <c r="C266" s="102">
        <v>171822</v>
      </c>
      <c r="D266" s="102" t="s">
        <v>1459</v>
      </c>
      <c r="E266" s="102"/>
    </row>
    <row r="267" spans="1:5" x14ac:dyDescent="0.15">
      <c r="A267" s="102" t="s">
        <v>1460</v>
      </c>
      <c r="B267" s="102" t="s">
        <v>1461</v>
      </c>
      <c r="C267" s="102">
        <v>247308</v>
      </c>
      <c r="D267" s="102" t="s">
        <v>1460</v>
      </c>
      <c r="E267" s="102"/>
    </row>
    <row r="268" spans="1:5" x14ac:dyDescent="0.15">
      <c r="A268" s="102" t="s">
        <v>1462</v>
      </c>
      <c r="B268" s="102" t="s">
        <v>1122</v>
      </c>
      <c r="C268" s="102">
        <v>233829</v>
      </c>
      <c r="D268" s="102" t="s">
        <v>1462</v>
      </c>
      <c r="E268" s="102"/>
    </row>
    <row r="269" spans="1:5" x14ac:dyDescent="0.15">
      <c r="A269" s="102" t="s">
        <v>1463</v>
      </c>
      <c r="B269" s="102" t="s">
        <v>1104</v>
      </c>
      <c r="C269" s="102">
        <v>172671</v>
      </c>
      <c r="D269" s="102" t="s">
        <v>1463</v>
      </c>
      <c r="E269" s="102"/>
    </row>
    <row r="270" spans="1:5" x14ac:dyDescent="0.15">
      <c r="A270" s="102" t="s">
        <v>1464</v>
      </c>
      <c r="B270" s="102" t="s">
        <v>1101</v>
      </c>
      <c r="C270" s="102">
        <v>171826</v>
      </c>
      <c r="D270" s="102" t="s">
        <v>1464</v>
      </c>
      <c r="E270" s="102"/>
    </row>
    <row r="271" spans="1:5" x14ac:dyDescent="0.15">
      <c r="A271" s="102" t="s">
        <v>1465</v>
      </c>
      <c r="B271" s="102" t="s">
        <v>1122</v>
      </c>
      <c r="C271" s="102">
        <v>227234</v>
      </c>
      <c r="D271" s="102" t="s">
        <v>1465</v>
      </c>
      <c r="E271" s="102"/>
    </row>
    <row r="272" spans="1:5" x14ac:dyDescent="0.15">
      <c r="A272" s="102" t="s">
        <v>1466</v>
      </c>
      <c r="B272" s="102" t="s">
        <v>1122</v>
      </c>
      <c r="C272" s="102">
        <v>215756</v>
      </c>
      <c r="D272" s="102" t="s">
        <v>1466</v>
      </c>
      <c r="E272" s="102"/>
    </row>
    <row r="273" spans="1:5" x14ac:dyDescent="0.15">
      <c r="A273" s="102" t="s">
        <v>1467</v>
      </c>
      <c r="B273" s="102" t="s">
        <v>1122</v>
      </c>
      <c r="C273" s="102">
        <v>229864</v>
      </c>
      <c r="D273" s="102" t="s">
        <v>1467</v>
      </c>
      <c r="E273" s="102"/>
    </row>
    <row r="274" spans="1:5" x14ac:dyDescent="0.15">
      <c r="A274" s="102" t="s">
        <v>1468</v>
      </c>
      <c r="B274" s="102" t="s">
        <v>1104</v>
      </c>
      <c r="C274" s="102">
        <v>171820</v>
      </c>
      <c r="D274" s="102" t="s">
        <v>1468</v>
      </c>
      <c r="E274" s="102"/>
    </row>
    <row r="275" spans="1:5" x14ac:dyDescent="0.15">
      <c r="A275" s="102" t="s">
        <v>1469</v>
      </c>
      <c r="B275" s="102" t="s">
        <v>1470</v>
      </c>
      <c r="C275" s="102">
        <v>171603</v>
      </c>
      <c r="D275" s="102" t="s">
        <v>1469</v>
      </c>
      <c r="E275" s="102"/>
    </row>
    <row r="276" spans="1:5" x14ac:dyDescent="0.15">
      <c r="A276" s="102" t="s">
        <v>1471</v>
      </c>
      <c r="B276" s="102" t="s">
        <v>1104</v>
      </c>
      <c r="C276" s="102">
        <v>171819</v>
      </c>
      <c r="D276" s="102" t="s">
        <v>1471</v>
      </c>
      <c r="E276" s="102"/>
    </row>
    <row r="277" spans="1:5" x14ac:dyDescent="0.15">
      <c r="A277" s="102" t="s">
        <v>1472</v>
      </c>
      <c r="B277" s="102" t="s">
        <v>1473</v>
      </c>
      <c r="C277" s="102">
        <v>245623</v>
      </c>
      <c r="D277" s="102" t="s">
        <v>1472</v>
      </c>
      <c r="E277" s="102"/>
    </row>
    <row r="278" spans="1:5" x14ac:dyDescent="0.15">
      <c r="A278" s="102" t="s">
        <v>1474</v>
      </c>
      <c r="B278" s="102" t="s">
        <v>1104</v>
      </c>
      <c r="C278" s="102">
        <v>171818</v>
      </c>
      <c r="D278" s="102" t="s">
        <v>1475</v>
      </c>
      <c r="E278" s="102"/>
    </row>
    <row r="279" spans="1:5" x14ac:dyDescent="0.15">
      <c r="A279" s="102" t="s">
        <v>1476</v>
      </c>
      <c r="B279" s="102" t="s">
        <v>1104</v>
      </c>
      <c r="C279" s="102">
        <v>171816</v>
      </c>
      <c r="D279" s="102" t="s">
        <v>1477</v>
      </c>
      <c r="E279" s="102"/>
    </row>
    <row r="280" spans="1:5" x14ac:dyDescent="0.15">
      <c r="A280" s="102" t="s">
        <v>1478</v>
      </c>
      <c r="B280" s="102" t="s">
        <v>1104</v>
      </c>
      <c r="C280" s="102">
        <v>171813</v>
      </c>
      <c r="D280" s="102" t="s">
        <v>1478</v>
      </c>
      <c r="E280" s="102"/>
    </row>
    <row r="281" spans="1:5" x14ac:dyDescent="0.15">
      <c r="A281" s="102" t="s">
        <v>1479</v>
      </c>
      <c r="B281" s="102" t="s">
        <v>1104</v>
      </c>
      <c r="C281" s="102">
        <v>171785</v>
      </c>
      <c r="D281" s="102" t="s">
        <v>1479</v>
      </c>
      <c r="E281" s="102"/>
    </row>
    <row r="282" spans="1:5" x14ac:dyDescent="0.15">
      <c r="A282" s="102" t="s">
        <v>1480</v>
      </c>
      <c r="B282" s="102" t="s">
        <v>1104</v>
      </c>
      <c r="C282" s="102">
        <v>171783</v>
      </c>
      <c r="D282" s="102" t="s">
        <v>1480</v>
      </c>
      <c r="E282" s="102"/>
    </row>
    <row r="283" spans="1:5" x14ac:dyDescent="0.15">
      <c r="A283" s="102" t="s">
        <v>1481</v>
      </c>
      <c r="B283" s="102" t="s">
        <v>1104</v>
      </c>
      <c r="C283" s="102">
        <v>171782</v>
      </c>
      <c r="D283" s="102" t="s">
        <v>1481</v>
      </c>
      <c r="E283" s="102"/>
    </row>
    <row r="284" spans="1:5" x14ac:dyDescent="0.15">
      <c r="A284" s="102" t="s">
        <v>1482</v>
      </c>
      <c r="B284" s="102" t="s">
        <v>1104</v>
      </c>
      <c r="C284" s="102">
        <v>171825</v>
      </c>
      <c r="D284" s="102" t="s">
        <v>1483</v>
      </c>
      <c r="E284" s="102"/>
    </row>
    <row r="285" spans="1:5" x14ac:dyDescent="0.15">
      <c r="A285" s="102" t="s">
        <v>1484</v>
      </c>
      <c r="B285" s="102" t="s">
        <v>1104</v>
      </c>
      <c r="C285" s="102">
        <v>173040</v>
      </c>
      <c r="D285" s="102" t="s">
        <v>1484</v>
      </c>
      <c r="E285" s="102"/>
    </row>
    <row r="286" spans="1:5" x14ac:dyDescent="0.15">
      <c r="A286" s="102" t="s">
        <v>1485</v>
      </c>
      <c r="B286" s="102" t="s">
        <v>1104</v>
      </c>
      <c r="C286" s="102">
        <v>171781</v>
      </c>
      <c r="D286" s="102" t="s">
        <v>1485</v>
      </c>
      <c r="E286" s="102"/>
    </row>
    <row r="287" spans="1:5" x14ac:dyDescent="0.15">
      <c r="A287" s="102" t="s">
        <v>1486</v>
      </c>
      <c r="B287" s="102" t="s">
        <v>1104</v>
      </c>
      <c r="C287" s="102">
        <v>171780</v>
      </c>
      <c r="D287" s="102" t="s">
        <v>1487</v>
      </c>
      <c r="E287" s="102"/>
    </row>
    <row r="288" spans="1:5" x14ac:dyDescent="0.15">
      <c r="A288" s="102" t="s">
        <v>1488</v>
      </c>
      <c r="B288" s="102" t="s">
        <v>1104</v>
      </c>
      <c r="C288" s="102">
        <v>172648</v>
      </c>
      <c r="D288" s="102" t="s">
        <v>1489</v>
      </c>
      <c r="E288" s="102"/>
    </row>
    <row r="289" spans="1:5" x14ac:dyDescent="0.15">
      <c r="A289" s="102" t="s">
        <v>1490</v>
      </c>
      <c r="B289" s="102" t="s">
        <v>1104</v>
      </c>
      <c r="C289" s="102">
        <v>171779</v>
      </c>
      <c r="D289" s="102" t="s">
        <v>1490</v>
      </c>
      <c r="E289" s="102"/>
    </row>
    <row r="290" spans="1:5" x14ac:dyDescent="0.15">
      <c r="A290" s="102" t="s">
        <v>1491</v>
      </c>
      <c r="B290" s="102" t="s">
        <v>1492</v>
      </c>
      <c r="C290" s="102">
        <v>243552</v>
      </c>
      <c r="D290" s="102" t="s">
        <v>1491</v>
      </c>
      <c r="E290" s="102"/>
    </row>
    <row r="291" spans="1:5" x14ac:dyDescent="0.15">
      <c r="A291" s="102" t="s">
        <v>1493</v>
      </c>
      <c r="B291" s="102" t="s">
        <v>1104</v>
      </c>
      <c r="C291" s="102">
        <v>171778</v>
      </c>
      <c r="D291" s="102" t="s">
        <v>1494</v>
      </c>
      <c r="E291" s="102"/>
    </row>
    <row r="292" spans="1:5" x14ac:dyDescent="0.15">
      <c r="A292" s="102" t="s">
        <v>1495</v>
      </c>
      <c r="B292" s="102" t="s">
        <v>1122</v>
      </c>
      <c r="C292" s="102">
        <v>216490</v>
      </c>
      <c r="D292" s="102" t="s">
        <v>1495</v>
      </c>
      <c r="E292" s="102"/>
    </row>
    <row r="293" spans="1:5" x14ac:dyDescent="0.15">
      <c r="A293" s="102" t="s">
        <v>1496</v>
      </c>
      <c r="B293" s="102" t="s">
        <v>1104</v>
      </c>
      <c r="C293" s="102">
        <v>171777</v>
      </c>
      <c r="D293" s="102" t="s">
        <v>1496</v>
      </c>
      <c r="E293" s="102"/>
    </row>
    <row r="294" spans="1:5" x14ac:dyDescent="0.15">
      <c r="A294" s="102" t="s">
        <v>1497</v>
      </c>
      <c r="B294" s="102" t="s">
        <v>1122</v>
      </c>
      <c r="C294" s="102">
        <v>215574</v>
      </c>
      <c r="D294" s="102" t="s">
        <v>1497</v>
      </c>
      <c r="E294" s="102"/>
    </row>
    <row r="295" spans="1:5" x14ac:dyDescent="0.15">
      <c r="A295" s="102" t="s">
        <v>1498</v>
      </c>
      <c r="B295" s="102" t="s">
        <v>1499</v>
      </c>
      <c r="C295" s="102">
        <v>249528</v>
      </c>
      <c r="D295" s="102" t="s">
        <v>1498</v>
      </c>
      <c r="E295" s="102"/>
    </row>
    <row r="296" spans="1:5" x14ac:dyDescent="0.15">
      <c r="A296" s="102" t="s">
        <v>1500</v>
      </c>
      <c r="B296" s="102" t="s">
        <v>1104</v>
      </c>
      <c r="C296" s="102">
        <v>171773</v>
      </c>
      <c r="D296" s="102" t="s">
        <v>1500</v>
      </c>
      <c r="E296" s="102"/>
    </row>
    <row r="297" spans="1:5" x14ac:dyDescent="0.15">
      <c r="A297" s="102" t="s">
        <v>1501</v>
      </c>
      <c r="B297" s="102" t="s">
        <v>1104</v>
      </c>
      <c r="C297" s="102">
        <v>171724</v>
      </c>
      <c r="D297" s="102" t="s">
        <v>1501</v>
      </c>
      <c r="E297" s="102"/>
    </row>
    <row r="298" spans="1:5" x14ac:dyDescent="0.15">
      <c r="A298" s="102" t="s">
        <v>1502</v>
      </c>
      <c r="B298" s="102" t="s">
        <v>1104</v>
      </c>
      <c r="C298" s="102">
        <v>171719</v>
      </c>
      <c r="D298" s="102" t="s">
        <v>1502</v>
      </c>
      <c r="E298" s="102"/>
    </row>
    <row r="299" spans="1:5" x14ac:dyDescent="0.15">
      <c r="A299" s="102" t="s">
        <v>1503</v>
      </c>
      <c r="B299" s="102" t="s">
        <v>1104</v>
      </c>
      <c r="C299" s="102">
        <v>171734</v>
      </c>
      <c r="D299" s="102" t="s">
        <v>1503</v>
      </c>
      <c r="E299" s="102"/>
    </row>
    <row r="300" spans="1:5" x14ac:dyDescent="0.15">
      <c r="A300" s="102" t="s">
        <v>1504</v>
      </c>
      <c r="B300" s="102" t="s">
        <v>1505</v>
      </c>
      <c r="C300" s="102">
        <v>243880</v>
      </c>
      <c r="D300" s="102" t="s">
        <v>1504</v>
      </c>
      <c r="E300" s="102"/>
    </row>
    <row r="301" spans="1:5" x14ac:dyDescent="0.15">
      <c r="A301" s="102" t="s">
        <v>1506</v>
      </c>
      <c r="B301" s="102" t="s">
        <v>1104</v>
      </c>
      <c r="C301" s="102">
        <v>171733</v>
      </c>
      <c r="D301" s="102" t="s">
        <v>1507</v>
      </c>
      <c r="E301" s="102"/>
    </row>
    <row r="302" spans="1:5" x14ac:dyDescent="0.15">
      <c r="A302" s="102" t="s">
        <v>1508</v>
      </c>
      <c r="B302" s="102" t="s">
        <v>1104</v>
      </c>
      <c r="C302" s="102">
        <v>172586</v>
      </c>
      <c r="D302" s="102" t="s">
        <v>1508</v>
      </c>
      <c r="E302" s="102"/>
    </row>
    <row r="303" spans="1:5" x14ac:dyDescent="0.15">
      <c r="A303" s="102" t="s">
        <v>1509</v>
      </c>
      <c r="B303" s="102" t="s">
        <v>1104</v>
      </c>
      <c r="C303" s="102">
        <v>171732</v>
      </c>
      <c r="D303" s="102" t="s">
        <v>1509</v>
      </c>
      <c r="E303" s="102"/>
    </row>
    <row r="304" spans="1:5" x14ac:dyDescent="0.15">
      <c r="A304" s="102" t="s">
        <v>1510</v>
      </c>
      <c r="B304" s="102" t="s">
        <v>1104</v>
      </c>
      <c r="C304" s="102">
        <v>171731</v>
      </c>
      <c r="D304" s="102" t="s">
        <v>1510</v>
      </c>
      <c r="E304" s="102"/>
    </row>
    <row r="305" spans="1:5" x14ac:dyDescent="0.15">
      <c r="A305" s="102" t="s">
        <v>1511</v>
      </c>
      <c r="B305" s="102" t="s">
        <v>1104</v>
      </c>
      <c r="C305" s="102">
        <v>171730</v>
      </c>
      <c r="D305" s="102" t="s">
        <v>1511</v>
      </c>
      <c r="E305" s="102"/>
    </row>
    <row r="306" spans="1:5" x14ac:dyDescent="0.15">
      <c r="A306" s="102" t="s">
        <v>1512</v>
      </c>
      <c r="B306" s="102" t="s">
        <v>1107</v>
      </c>
      <c r="C306" s="102">
        <v>166500</v>
      </c>
      <c r="D306" s="102" t="s">
        <v>1512</v>
      </c>
      <c r="E306" s="102"/>
    </row>
    <row r="307" spans="1:5" x14ac:dyDescent="0.15">
      <c r="A307" s="102" t="s">
        <v>1513</v>
      </c>
      <c r="B307" s="102" t="s">
        <v>1104</v>
      </c>
      <c r="C307" s="102">
        <v>172661</v>
      </c>
      <c r="D307" s="102" t="s">
        <v>1513</v>
      </c>
      <c r="E307" s="102"/>
    </row>
    <row r="308" spans="1:5" x14ac:dyDescent="0.15">
      <c r="A308" s="102" t="s">
        <v>1514</v>
      </c>
      <c r="B308" s="102" t="s">
        <v>1104</v>
      </c>
      <c r="C308" s="102">
        <v>171729</v>
      </c>
      <c r="D308" s="102" t="s">
        <v>1514</v>
      </c>
      <c r="E308" s="102"/>
    </row>
    <row r="309" spans="1:5" x14ac:dyDescent="0.15">
      <c r="A309" s="102" t="s">
        <v>1515</v>
      </c>
      <c r="B309" s="102" t="s">
        <v>1104</v>
      </c>
      <c r="C309" s="102">
        <v>171728</v>
      </c>
      <c r="D309" s="102" t="s">
        <v>1516</v>
      </c>
      <c r="E309" s="102"/>
    </row>
    <row r="310" spans="1:5" x14ac:dyDescent="0.15">
      <c r="A310" s="102" t="s">
        <v>1517</v>
      </c>
      <c r="B310" s="102" t="s">
        <v>1101</v>
      </c>
      <c r="C310" s="102">
        <v>171727</v>
      </c>
      <c r="D310" s="102" t="s">
        <v>1517</v>
      </c>
      <c r="E310" s="102"/>
    </row>
    <row r="311" spans="1:5" x14ac:dyDescent="0.15">
      <c r="A311" s="102" t="s">
        <v>1518</v>
      </c>
      <c r="B311" s="102" t="s">
        <v>1104</v>
      </c>
      <c r="C311" s="102">
        <v>171726</v>
      </c>
      <c r="D311" s="102" t="s">
        <v>1518</v>
      </c>
      <c r="E311" s="102"/>
    </row>
    <row r="312" spans="1:5" x14ac:dyDescent="0.15">
      <c r="A312" s="102" t="s">
        <v>1519</v>
      </c>
      <c r="B312" s="102" t="s">
        <v>1122</v>
      </c>
      <c r="C312" s="102">
        <v>230069</v>
      </c>
      <c r="D312" s="102" t="s">
        <v>1519</v>
      </c>
      <c r="E312" s="102"/>
    </row>
    <row r="313" spans="1:5" x14ac:dyDescent="0.15">
      <c r="A313" s="102" t="s">
        <v>1520</v>
      </c>
      <c r="B313" s="102" t="s">
        <v>1521</v>
      </c>
      <c r="C313" s="102">
        <v>241582</v>
      </c>
      <c r="D313" s="102" t="s">
        <v>1520</v>
      </c>
      <c r="E313" s="102"/>
    </row>
    <row r="314" spans="1:5" x14ac:dyDescent="0.15">
      <c r="A314" s="102" t="s">
        <v>1522</v>
      </c>
      <c r="B314" s="102" t="s">
        <v>1104</v>
      </c>
      <c r="C314" s="102">
        <v>171725</v>
      </c>
      <c r="D314" s="102" t="s">
        <v>1522</v>
      </c>
      <c r="E314" s="102"/>
    </row>
    <row r="315" spans="1:5" x14ac:dyDescent="0.15">
      <c r="A315" s="102" t="s">
        <v>1523</v>
      </c>
      <c r="B315" s="102" t="s">
        <v>1104</v>
      </c>
      <c r="C315" s="102">
        <v>171723</v>
      </c>
      <c r="D315" s="102" t="s">
        <v>1523</v>
      </c>
      <c r="E315" s="102"/>
    </row>
    <row r="316" spans="1:5" x14ac:dyDescent="0.15">
      <c r="A316" s="102" t="s">
        <v>1524</v>
      </c>
      <c r="B316" s="102" t="s">
        <v>1104</v>
      </c>
      <c r="C316" s="102">
        <v>171722</v>
      </c>
      <c r="D316" s="102" t="s">
        <v>1524</v>
      </c>
      <c r="E316" s="102"/>
    </row>
    <row r="317" spans="1:5" x14ac:dyDescent="0.15">
      <c r="A317" s="102" t="s">
        <v>1525</v>
      </c>
      <c r="B317" s="102" t="s">
        <v>1122</v>
      </c>
      <c r="C317" s="102">
        <v>202237</v>
      </c>
      <c r="D317" s="102" t="s">
        <v>1525</v>
      </c>
      <c r="E317" s="102"/>
    </row>
    <row r="318" spans="1:5" x14ac:dyDescent="0.15">
      <c r="A318" s="102" t="s">
        <v>1526</v>
      </c>
      <c r="B318" s="102" t="s">
        <v>1104</v>
      </c>
      <c r="C318" s="102">
        <v>171721</v>
      </c>
      <c r="D318" s="102" t="s">
        <v>1526</v>
      </c>
      <c r="E318" s="102"/>
    </row>
    <row r="319" spans="1:5" x14ac:dyDescent="0.15">
      <c r="A319" s="102" t="s">
        <v>1527</v>
      </c>
      <c r="B319" s="102" t="s">
        <v>1104</v>
      </c>
      <c r="C319" s="102">
        <v>171720</v>
      </c>
      <c r="D319" s="102" t="s">
        <v>1527</v>
      </c>
      <c r="E319" s="102"/>
    </row>
    <row r="320" spans="1:5" x14ac:dyDescent="0.15">
      <c r="A320" s="102" t="s">
        <v>1528</v>
      </c>
      <c r="B320" s="102" t="s">
        <v>1104</v>
      </c>
      <c r="C320" s="102">
        <v>171718</v>
      </c>
      <c r="D320" s="102" t="s">
        <v>1528</v>
      </c>
      <c r="E320" s="102"/>
    </row>
    <row r="321" spans="1:5" x14ac:dyDescent="0.15">
      <c r="A321" s="102" t="s">
        <v>1529</v>
      </c>
      <c r="B321" s="102" t="s">
        <v>1104</v>
      </c>
      <c r="C321" s="102">
        <v>171713</v>
      </c>
      <c r="D321" s="102" t="s">
        <v>1529</v>
      </c>
      <c r="E321" s="102"/>
    </row>
    <row r="322" spans="1:5" x14ac:dyDescent="0.15">
      <c r="A322" s="102" t="s">
        <v>1530</v>
      </c>
      <c r="B322" s="102" t="s">
        <v>1104</v>
      </c>
      <c r="C322" s="102">
        <v>171717</v>
      </c>
      <c r="D322" s="102" t="s">
        <v>1531</v>
      </c>
      <c r="E322" s="102"/>
    </row>
    <row r="323" spans="1:5" x14ac:dyDescent="0.15">
      <c r="A323" s="102" t="s">
        <v>1532</v>
      </c>
      <c r="B323" s="102" t="s">
        <v>1104</v>
      </c>
      <c r="C323" s="102">
        <v>171715</v>
      </c>
      <c r="D323" s="102" t="s">
        <v>1532</v>
      </c>
      <c r="E323" s="102"/>
    </row>
    <row r="324" spans="1:5" x14ac:dyDescent="0.15">
      <c r="A324" s="102" t="s">
        <v>1533</v>
      </c>
      <c r="B324" s="102" t="s">
        <v>1104</v>
      </c>
      <c r="C324" s="102">
        <v>171716</v>
      </c>
      <c r="D324" s="102" t="s">
        <v>1534</v>
      </c>
      <c r="E324" s="102"/>
    </row>
    <row r="325" spans="1:5" x14ac:dyDescent="0.15">
      <c r="A325" s="102" t="s">
        <v>1535</v>
      </c>
      <c r="B325" s="102" t="s">
        <v>1104</v>
      </c>
      <c r="C325" s="102">
        <v>171714</v>
      </c>
      <c r="D325" s="102" t="s">
        <v>1536</v>
      </c>
      <c r="E325" s="102"/>
    </row>
    <row r="326" spans="1:5" x14ac:dyDescent="0.15">
      <c r="A326" s="102" t="s">
        <v>1537</v>
      </c>
      <c r="B326" s="102" t="s">
        <v>1104</v>
      </c>
      <c r="C326" s="102">
        <v>171712</v>
      </c>
      <c r="D326" s="102" t="s">
        <v>1537</v>
      </c>
      <c r="E326" s="102"/>
    </row>
    <row r="327" spans="1:5" x14ac:dyDescent="0.15">
      <c r="A327" s="102" t="s">
        <v>1538</v>
      </c>
      <c r="B327" s="102" t="s">
        <v>1104</v>
      </c>
      <c r="C327" s="102">
        <v>171711</v>
      </c>
      <c r="D327" s="102" t="s">
        <v>1538</v>
      </c>
      <c r="E327" s="102"/>
    </row>
    <row r="328" spans="1:5" x14ac:dyDescent="0.15">
      <c r="A328" s="102" t="s">
        <v>1539</v>
      </c>
      <c r="B328" s="102" t="s">
        <v>1104</v>
      </c>
      <c r="C328" s="102">
        <v>171710</v>
      </c>
      <c r="D328" s="102" t="s">
        <v>1539</v>
      </c>
      <c r="E328" s="102"/>
    </row>
    <row r="329" spans="1:5" x14ac:dyDescent="0.15">
      <c r="A329" s="102" t="s">
        <v>1540</v>
      </c>
      <c r="B329" s="102" t="s">
        <v>1122</v>
      </c>
      <c r="C329" s="102">
        <v>231819</v>
      </c>
      <c r="D329" s="102" t="s">
        <v>1540</v>
      </c>
      <c r="E329" s="102"/>
    </row>
    <row r="330" spans="1:5" x14ac:dyDescent="0.15">
      <c r="A330" s="102" t="s">
        <v>1541</v>
      </c>
      <c r="B330" s="102" t="s">
        <v>1122</v>
      </c>
      <c r="C330" s="102">
        <v>219318</v>
      </c>
      <c r="D330" s="102" t="s">
        <v>1541</v>
      </c>
      <c r="E330" s="102"/>
    </row>
    <row r="331" spans="1:5" x14ac:dyDescent="0.15">
      <c r="A331" s="102" t="s">
        <v>1542</v>
      </c>
      <c r="B331" s="102" t="s">
        <v>1104</v>
      </c>
      <c r="C331" s="102">
        <v>171709</v>
      </c>
      <c r="D331" s="102" t="s">
        <v>1543</v>
      </c>
      <c r="E331" s="102"/>
    </row>
    <row r="332" spans="1:5" x14ac:dyDescent="0.15">
      <c r="A332" s="102" t="s">
        <v>1544</v>
      </c>
      <c r="B332" s="102" t="s">
        <v>1104</v>
      </c>
      <c r="C332" s="102">
        <v>171704</v>
      </c>
      <c r="D332" s="102" t="s">
        <v>1544</v>
      </c>
      <c r="E332" s="102"/>
    </row>
    <row r="333" spans="1:5" x14ac:dyDescent="0.15">
      <c r="A333" s="102" t="s">
        <v>1545</v>
      </c>
      <c r="B333" s="102" t="s">
        <v>1104</v>
      </c>
      <c r="C333" s="102">
        <v>172655</v>
      </c>
      <c r="D333" s="102" t="s">
        <v>1545</v>
      </c>
      <c r="E333" s="102"/>
    </row>
    <row r="334" spans="1:5" x14ac:dyDescent="0.15">
      <c r="A334" s="102" t="s">
        <v>1546</v>
      </c>
      <c r="B334" s="102" t="s">
        <v>1104</v>
      </c>
      <c r="C334" s="102">
        <v>171703</v>
      </c>
      <c r="D334" s="102" t="s">
        <v>1547</v>
      </c>
      <c r="E334" s="102"/>
    </row>
    <row r="335" spans="1:5" x14ac:dyDescent="0.15">
      <c r="A335" s="102" t="s">
        <v>1548</v>
      </c>
      <c r="B335" s="102" t="s">
        <v>1104</v>
      </c>
      <c r="C335" s="102">
        <v>171702</v>
      </c>
      <c r="D335" s="102" t="s">
        <v>1548</v>
      </c>
      <c r="E335" s="102"/>
    </row>
    <row r="336" spans="1:5" x14ac:dyDescent="0.15">
      <c r="A336" s="102" t="s">
        <v>1549</v>
      </c>
      <c r="B336" s="102" t="s">
        <v>1104</v>
      </c>
      <c r="C336" s="102">
        <v>185841</v>
      </c>
      <c r="D336" s="102" t="s">
        <v>1550</v>
      </c>
      <c r="E336" s="102"/>
    </row>
    <row r="337" spans="1:5" x14ac:dyDescent="0.15">
      <c r="A337" s="102" t="s">
        <v>1551</v>
      </c>
      <c r="B337" s="102" t="s">
        <v>1104</v>
      </c>
      <c r="C337" s="102">
        <v>171701</v>
      </c>
      <c r="D337" s="102" t="s">
        <v>1552</v>
      </c>
      <c r="E337" s="102"/>
    </row>
    <row r="338" spans="1:5" x14ac:dyDescent="0.15">
      <c r="A338" s="102" t="s">
        <v>1553</v>
      </c>
      <c r="B338" s="102" t="s">
        <v>1104</v>
      </c>
      <c r="C338" s="102">
        <v>171700</v>
      </c>
      <c r="D338" s="102" t="s">
        <v>1553</v>
      </c>
      <c r="E338" s="102"/>
    </row>
    <row r="339" spans="1:5" x14ac:dyDescent="0.15">
      <c r="A339" s="102" t="s">
        <v>1554</v>
      </c>
      <c r="B339" s="102" t="s">
        <v>1104</v>
      </c>
      <c r="C339" s="102">
        <v>171699</v>
      </c>
      <c r="D339" s="102" t="s">
        <v>1554</v>
      </c>
      <c r="E339" s="102"/>
    </row>
    <row r="340" spans="1:5" x14ac:dyDescent="0.15">
      <c r="A340" s="102" t="s">
        <v>1555</v>
      </c>
      <c r="B340" s="102" t="s">
        <v>1556</v>
      </c>
      <c r="C340" s="102">
        <v>245540</v>
      </c>
      <c r="D340" s="102" t="s">
        <v>1555</v>
      </c>
      <c r="E340" s="102"/>
    </row>
    <row r="341" spans="1:5" x14ac:dyDescent="0.15">
      <c r="A341" s="102" t="s">
        <v>1557</v>
      </c>
      <c r="B341" s="102" t="s">
        <v>1104</v>
      </c>
      <c r="C341" s="102">
        <v>181036</v>
      </c>
      <c r="D341" s="102" t="s">
        <v>1557</v>
      </c>
      <c r="E341" s="102"/>
    </row>
    <row r="342" spans="1:5" x14ac:dyDescent="0.15">
      <c r="A342" s="102" t="s">
        <v>1558</v>
      </c>
      <c r="B342" s="102" t="s">
        <v>1104</v>
      </c>
      <c r="C342" s="102">
        <v>172881</v>
      </c>
      <c r="D342" s="102" t="s">
        <v>1558</v>
      </c>
      <c r="E342" s="102"/>
    </row>
    <row r="343" spans="1:5" x14ac:dyDescent="0.15">
      <c r="A343" s="102" t="s">
        <v>1559</v>
      </c>
      <c r="B343" s="102" t="s">
        <v>1104</v>
      </c>
      <c r="C343" s="102">
        <v>171697</v>
      </c>
      <c r="D343" s="102" t="s">
        <v>1559</v>
      </c>
      <c r="E343" s="102"/>
    </row>
    <row r="344" spans="1:5" x14ac:dyDescent="0.15">
      <c r="A344" s="102" t="s">
        <v>1560</v>
      </c>
      <c r="B344" s="102" t="s">
        <v>1104</v>
      </c>
      <c r="C344" s="102">
        <v>178890</v>
      </c>
      <c r="D344" s="102" t="s">
        <v>1560</v>
      </c>
      <c r="E344" s="102"/>
    </row>
    <row r="345" spans="1:5" x14ac:dyDescent="0.15">
      <c r="A345" s="102" t="s">
        <v>1561</v>
      </c>
      <c r="B345" s="102" t="s">
        <v>1562</v>
      </c>
      <c r="C345" s="102">
        <v>243120</v>
      </c>
      <c r="D345" s="102" t="s">
        <v>1561</v>
      </c>
      <c r="E345" s="102"/>
    </row>
    <row r="346" spans="1:5" x14ac:dyDescent="0.15">
      <c r="A346" s="102" t="s">
        <v>1563</v>
      </c>
      <c r="B346" s="102" t="s">
        <v>1104</v>
      </c>
      <c r="C346" s="102">
        <v>171695</v>
      </c>
      <c r="D346" s="102" t="s">
        <v>1563</v>
      </c>
      <c r="E346" s="102"/>
    </row>
    <row r="347" spans="1:5" x14ac:dyDescent="0.15">
      <c r="A347" s="102" t="s">
        <v>1564</v>
      </c>
      <c r="B347" s="102" t="s">
        <v>1122</v>
      </c>
      <c r="C347" s="102">
        <v>205444</v>
      </c>
      <c r="D347" s="102" t="s">
        <v>1564</v>
      </c>
      <c r="E347" s="102"/>
    </row>
    <row r="348" spans="1:5" x14ac:dyDescent="0.15">
      <c r="A348" s="102" t="s">
        <v>1565</v>
      </c>
      <c r="B348" s="102" t="s">
        <v>1104</v>
      </c>
      <c r="C348" s="102">
        <v>171694</v>
      </c>
      <c r="D348" s="102" t="s">
        <v>1565</v>
      </c>
      <c r="E348" s="102"/>
    </row>
    <row r="349" spans="1:5" x14ac:dyDescent="0.15">
      <c r="A349" s="102" t="s">
        <v>1566</v>
      </c>
      <c r="B349" s="102" t="s">
        <v>1104</v>
      </c>
      <c r="C349" s="102">
        <v>171692</v>
      </c>
      <c r="D349" s="102" t="s">
        <v>1566</v>
      </c>
      <c r="E349" s="102"/>
    </row>
    <row r="350" spans="1:5" x14ac:dyDescent="0.15">
      <c r="A350" s="102" t="s">
        <v>1567</v>
      </c>
      <c r="B350" s="102" t="s">
        <v>1104</v>
      </c>
      <c r="C350" s="102">
        <v>171691</v>
      </c>
      <c r="D350" s="102" t="s">
        <v>1567</v>
      </c>
      <c r="E350" s="102"/>
    </row>
    <row r="351" spans="1:5" x14ac:dyDescent="0.15">
      <c r="A351" s="102" t="s">
        <v>1568</v>
      </c>
      <c r="B351" s="102" t="s">
        <v>1104</v>
      </c>
      <c r="C351" s="102">
        <v>171690</v>
      </c>
      <c r="D351" s="102" t="s">
        <v>1568</v>
      </c>
      <c r="E351" s="102"/>
    </row>
    <row r="352" spans="1:5" x14ac:dyDescent="0.15">
      <c r="A352" s="102" t="s">
        <v>1569</v>
      </c>
      <c r="B352" s="102" t="s">
        <v>1104</v>
      </c>
      <c r="C352" s="102">
        <v>171602</v>
      </c>
      <c r="D352" s="102" t="s">
        <v>1569</v>
      </c>
      <c r="E352" s="102"/>
    </row>
    <row r="353" spans="1:5" x14ac:dyDescent="0.15">
      <c r="A353" s="102" t="s">
        <v>1570</v>
      </c>
      <c r="B353" s="102" t="s">
        <v>1104</v>
      </c>
      <c r="C353" s="102">
        <v>173043</v>
      </c>
      <c r="D353" s="102" t="s">
        <v>1571</v>
      </c>
      <c r="E353" s="102"/>
    </row>
    <row r="354" spans="1:5" x14ac:dyDescent="0.15">
      <c r="A354" s="102" t="s">
        <v>1572</v>
      </c>
      <c r="B354" s="102" t="s">
        <v>1104</v>
      </c>
      <c r="C354" s="102">
        <v>171689</v>
      </c>
      <c r="D354" s="102" t="s">
        <v>1573</v>
      </c>
      <c r="E354" s="102"/>
    </row>
    <row r="355" spans="1:5" x14ac:dyDescent="0.15">
      <c r="A355" s="102" t="s">
        <v>1574</v>
      </c>
      <c r="B355" s="102" t="s">
        <v>1104</v>
      </c>
      <c r="C355" s="102">
        <v>171688</v>
      </c>
      <c r="D355" s="102" t="s">
        <v>1574</v>
      </c>
      <c r="E355" s="102"/>
    </row>
    <row r="356" spans="1:5" x14ac:dyDescent="0.15">
      <c r="A356" s="102" t="s">
        <v>1575</v>
      </c>
      <c r="B356" s="102" t="s">
        <v>1104</v>
      </c>
      <c r="C356" s="102">
        <v>186182</v>
      </c>
      <c r="D356" s="102" t="s">
        <v>1575</v>
      </c>
      <c r="E356" s="102"/>
    </row>
    <row r="357" spans="1:5" x14ac:dyDescent="0.15">
      <c r="A357" s="102" t="s">
        <v>1576</v>
      </c>
      <c r="B357" s="102" t="s">
        <v>1104</v>
      </c>
      <c r="C357" s="102">
        <v>172296</v>
      </c>
      <c r="D357" s="102" t="s">
        <v>1576</v>
      </c>
      <c r="E357" s="102"/>
    </row>
    <row r="358" spans="1:5" x14ac:dyDescent="0.15">
      <c r="A358" s="102" t="s">
        <v>1577</v>
      </c>
      <c r="B358" s="102" t="s">
        <v>1104</v>
      </c>
      <c r="C358" s="102">
        <v>192072</v>
      </c>
      <c r="D358" s="102" t="s">
        <v>1577</v>
      </c>
      <c r="E358" s="102"/>
    </row>
    <row r="359" spans="1:5" x14ac:dyDescent="0.15">
      <c r="A359" s="102" t="s">
        <v>1578</v>
      </c>
      <c r="B359" s="102" t="s">
        <v>1104</v>
      </c>
      <c r="C359" s="102">
        <v>171686</v>
      </c>
      <c r="D359" s="102" t="s">
        <v>1578</v>
      </c>
      <c r="E359" s="102"/>
    </row>
    <row r="360" spans="1:5" x14ac:dyDescent="0.15">
      <c r="A360" s="102" t="s">
        <v>1579</v>
      </c>
      <c r="B360" s="102" t="s">
        <v>1104</v>
      </c>
      <c r="C360" s="102">
        <v>171685</v>
      </c>
      <c r="D360" s="102" t="s">
        <v>1579</v>
      </c>
      <c r="E360" s="102"/>
    </row>
    <row r="361" spans="1:5" x14ac:dyDescent="0.15">
      <c r="A361" s="102" t="s">
        <v>1580</v>
      </c>
      <c r="B361" s="102" t="s">
        <v>1104</v>
      </c>
      <c r="C361" s="102">
        <v>178657</v>
      </c>
      <c r="D361" s="102" t="s">
        <v>1581</v>
      </c>
      <c r="E361" s="102"/>
    </row>
    <row r="362" spans="1:5" x14ac:dyDescent="0.15">
      <c r="A362" s="102" t="s">
        <v>1582</v>
      </c>
      <c r="B362" s="102" t="s">
        <v>1104</v>
      </c>
      <c r="C362" s="102">
        <v>171683</v>
      </c>
      <c r="D362" s="102" t="s">
        <v>1583</v>
      </c>
      <c r="E362" s="102"/>
    </row>
    <row r="363" spans="1:5" x14ac:dyDescent="0.15">
      <c r="A363" s="102" t="s">
        <v>1584</v>
      </c>
      <c r="B363" s="102" t="s">
        <v>1104</v>
      </c>
      <c r="C363" s="102">
        <v>171681</v>
      </c>
      <c r="D363" s="102" t="s">
        <v>1585</v>
      </c>
      <c r="E363" s="102"/>
    </row>
    <row r="364" spans="1:5" x14ac:dyDescent="0.15">
      <c r="A364" s="102" t="s">
        <v>1586</v>
      </c>
      <c r="B364" s="102" t="s">
        <v>1104</v>
      </c>
      <c r="C364" s="102">
        <v>171680</v>
      </c>
      <c r="D364" s="102" t="s">
        <v>1586</v>
      </c>
      <c r="E364" s="102"/>
    </row>
    <row r="365" spans="1:5" x14ac:dyDescent="0.15">
      <c r="A365" s="102" t="s">
        <v>1587</v>
      </c>
      <c r="B365" s="102" t="s">
        <v>1104</v>
      </c>
      <c r="C365" s="102">
        <v>171508</v>
      </c>
      <c r="D365" s="102" t="s">
        <v>1587</v>
      </c>
      <c r="E365" s="102"/>
    </row>
    <row r="366" spans="1:5" x14ac:dyDescent="0.15">
      <c r="A366" s="102" t="s">
        <v>1588</v>
      </c>
      <c r="B366" s="102" t="s">
        <v>1104</v>
      </c>
      <c r="C366" s="102">
        <v>171507</v>
      </c>
      <c r="D366" s="102" t="s">
        <v>1589</v>
      </c>
      <c r="E366" s="102"/>
    </row>
    <row r="367" spans="1:5" x14ac:dyDescent="0.15">
      <c r="A367" s="102" t="s">
        <v>1590</v>
      </c>
      <c r="B367" s="102" t="s">
        <v>1104</v>
      </c>
      <c r="C367" s="102">
        <v>171506</v>
      </c>
      <c r="D367" s="102" t="s">
        <v>1590</v>
      </c>
      <c r="E367" s="102"/>
    </row>
    <row r="368" spans="1:5" x14ac:dyDescent="0.15">
      <c r="A368" s="102" t="s">
        <v>1591</v>
      </c>
      <c r="B368" s="102" t="s">
        <v>1104</v>
      </c>
      <c r="C368" s="102">
        <v>172651</v>
      </c>
      <c r="D368" s="102" t="s">
        <v>1592</v>
      </c>
      <c r="E368" s="102"/>
    </row>
    <row r="369" spans="1:5" x14ac:dyDescent="0.15">
      <c r="A369" s="102" t="s">
        <v>1593</v>
      </c>
      <c r="B369" s="102" t="s">
        <v>1104</v>
      </c>
      <c r="C369" s="102">
        <v>172656</v>
      </c>
      <c r="D369" s="102" t="s">
        <v>1593</v>
      </c>
      <c r="E369" s="102"/>
    </row>
    <row r="370" spans="1:5" x14ac:dyDescent="0.15">
      <c r="A370" s="102" t="s">
        <v>1594</v>
      </c>
      <c r="B370" s="102" t="s">
        <v>1595</v>
      </c>
      <c r="C370" s="102">
        <v>245866</v>
      </c>
      <c r="D370" s="102" t="s">
        <v>1594</v>
      </c>
      <c r="E370" s="102"/>
    </row>
    <row r="371" spans="1:5" x14ac:dyDescent="0.15">
      <c r="A371" s="102" t="s">
        <v>1596</v>
      </c>
      <c r="B371" s="102" t="s">
        <v>1597</v>
      </c>
      <c r="C371" s="102">
        <v>247295</v>
      </c>
      <c r="D371" s="102" t="s">
        <v>1596</v>
      </c>
      <c r="E371" s="102"/>
    </row>
    <row r="372" spans="1:5" x14ac:dyDescent="0.15">
      <c r="A372" s="102" t="s">
        <v>1598</v>
      </c>
      <c r="B372" s="102" t="s">
        <v>1104</v>
      </c>
      <c r="C372" s="102">
        <v>171505</v>
      </c>
      <c r="D372" s="102" t="s">
        <v>1599</v>
      </c>
      <c r="E372" s="102"/>
    </row>
    <row r="373" spans="1:5" x14ac:dyDescent="0.15">
      <c r="A373" s="102" t="s">
        <v>1600</v>
      </c>
      <c r="B373" s="102" t="s">
        <v>1104</v>
      </c>
      <c r="C373" s="102">
        <v>172680</v>
      </c>
      <c r="D373" s="102" t="s">
        <v>1601</v>
      </c>
      <c r="E373" s="102"/>
    </row>
    <row r="374" spans="1:5" x14ac:dyDescent="0.15">
      <c r="A374" s="102" t="s">
        <v>1602</v>
      </c>
      <c r="B374" s="102" t="s">
        <v>1603</v>
      </c>
      <c r="C374" s="102">
        <v>172792</v>
      </c>
      <c r="D374" s="102" t="s">
        <v>1602</v>
      </c>
      <c r="E374" s="102"/>
    </row>
    <row r="375" spans="1:5" x14ac:dyDescent="0.15">
      <c r="A375" s="102" t="s">
        <v>1604</v>
      </c>
      <c r="B375" s="102" t="s">
        <v>1104</v>
      </c>
      <c r="C375" s="102">
        <v>171504</v>
      </c>
      <c r="D375" s="102" t="s">
        <v>1604</v>
      </c>
      <c r="E375" s="102"/>
    </row>
    <row r="376" spans="1:5" x14ac:dyDescent="0.15">
      <c r="A376" s="102" t="s">
        <v>1605</v>
      </c>
      <c r="B376" s="102" t="s">
        <v>1104</v>
      </c>
      <c r="C376" s="102">
        <v>171501</v>
      </c>
      <c r="D376" s="102" t="s">
        <v>1605</v>
      </c>
      <c r="E376" s="102"/>
    </row>
    <row r="377" spans="1:5" x14ac:dyDescent="0.15">
      <c r="A377" s="102" t="s">
        <v>1606</v>
      </c>
      <c r="B377" s="102" t="s">
        <v>1607</v>
      </c>
      <c r="C377" s="102">
        <v>246279</v>
      </c>
      <c r="D377" s="102" t="s">
        <v>1606</v>
      </c>
      <c r="E377" s="102"/>
    </row>
    <row r="378" spans="1:5" x14ac:dyDescent="0.15">
      <c r="A378" s="102" t="s">
        <v>1608</v>
      </c>
      <c r="B378" s="102" t="s">
        <v>1107</v>
      </c>
      <c r="C378" s="102">
        <v>166535</v>
      </c>
      <c r="D378" s="102" t="s">
        <v>1608</v>
      </c>
      <c r="E378" s="102"/>
    </row>
    <row r="379" spans="1:5" x14ac:dyDescent="0.15">
      <c r="A379" s="102" t="s">
        <v>1609</v>
      </c>
      <c r="B379" s="102" t="s">
        <v>1122</v>
      </c>
      <c r="C379" s="102">
        <v>207042</v>
      </c>
      <c r="D379" s="102" t="s">
        <v>1609</v>
      </c>
      <c r="E379" s="102"/>
    </row>
    <row r="380" spans="1:5" x14ac:dyDescent="0.15">
      <c r="A380" s="102" t="s">
        <v>1610</v>
      </c>
      <c r="B380" s="102" t="s">
        <v>1107</v>
      </c>
      <c r="C380" s="102">
        <v>166671</v>
      </c>
      <c r="D380" s="102" t="s">
        <v>1610</v>
      </c>
      <c r="E380" s="102"/>
    </row>
    <row r="381" spans="1:5" x14ac:dyDescent="0.15">
      <c r="A381" s="102" t="s">
        <v>1611</v>
      </c>
      <c r="B381" s="102" t="s">
        <v>1104</v>
      </c>
      <c r="C381" s="102">
        <v>172686</v>
      </c>
      <c r="D381" s="102" t="s">
        <v>1611</v>
      </c>
      <c r="E381" s="102"/>
    </row>
    <row r="382" spans="1:5" x14ac:dyDescent="0.15">
      <c r="A382" s="102" t="s">
        <v>1612</v>
      </c>
      <c r="B382" s="102" t="s">
        <v>1104</v>
      </c>
      <c r="C382" s="102">
        <v>171500</v>
      </c>
      <c r="D382" s="102" t="s">
        <v>1612</v>
      </c>
      <c r="E382" s="102"/>
    </row>
    <row r="383" spans="1:5" x14ac:dyDescent="0.15">
      <c r="A383" s="102" t="s">
        <v>1613</v>
      </c>
      <c r="B383" s="102" t="s">
        <v>1614</v>
      </c>
      <c r="C383" s="102">
        <v>245863</v>
      </c>
      <c r="D383" s="102" t="s">
        <v>1613</v>
      </c>
      <c r="E383" s="102"/>
    </row>
    <row r="384" spans="1:5" x14ac:dyDescent="0.15">
      <c r="A384" s="102" t="s">
        <v>1615</v>
      </c>
      <c r="B384" s="102" t="s">
        <v>1104</v>
      </c>
      <c r="C384" s="102">
        <v>171499</v>
      </c>
      <c r="D384" s="102" t="s">
        <v>1615</v>
      </c>
      <c r="E384" s="102"/>
    </row>
    <row r="385" spans="1:5" x14ac:dyDescent="0.15">
      <c r="A385" s="102" t="s">
        <v>1616</v>
      </c>
      <c r="B385" s="102" t="s">
        <v>1104</v>
      </c>
      <c r="C385" s="102">
        <v>171498</v>
      </c>
      <c r="D385" s="102" t="s">
        <v>1616</v>
      </c>
      <c r="E385" s="102"/>
    </row>
    <row r="386" spans="1:5" x14ac:dyDescent="0.15">
      <c r="A386" s="102" t="s">
        <v>1617</v>
      </c>
      <c r="B386" s="102" t="s">
        <v>1104</v>
      </c>
      <c r="C386" s="102">
        <v>171497</v>
      </c>
      <c r="D386" s="102" t="s">
        <v>1617</v>
      </c>
      <c r="E386" s="102"/>
    </row>
    <row r="387" spans="1:5" x14ac:dyDescent="0.15">
      <c r="A387" s="102" t="s">
        <v>1618</v>
      </c>
      <c r="B387" s="102" t="s">
        <v>1122</v>
      </c>
      <c r="C387" s="102">
        <v>210155</v>
      </c>
      <c r="D387" s="102" t="s">
        <v>1618</v>
      </c>
      <c r="E387" s="102"/>
    </row>
    <row r="388" spans="1:5" x14ac:dyDescent="0.15">
      <c r="A388" s="102" t="s">
        <v>1619</v>
      </c>
      <c r="B388" s="102" t="s">
        <v>1104</v>
      </c>
      <c r="C388" s="102">
        <v>171490</v>
      </c>
      <c r="D388" s="102" t="s">
        <v>1619</v>
      </c>
      <c r="E388" s="102"/>
    </row>
    <row r="389" spans="1:5" x14ac:dyDescent="0.15">
      <c r="A389" s="102" t="s">
        <v>1620</v>
      </c>
      <c r="B389" s="102" t="s">
        <v>1104</v>
      </c>
      <c r="C389" s="102">
        <v>171489</v>
      </c>
      <c r="D389" s="102" t="s">
        <v>1621</v>
      </c>
      <c r="E389" s="102"/>
    </row>
    <row r="390" spans="1:5" x14ac:dyDescent="0.15">
      <c r="A390" s="102" t="s">
        <v>1622</v>
      </c>
      <c r="B390" s="102" t="s">
        <v>1104</v>
      </c>
      <c r="C390" s="102">
        <v>173039</v>
      </c>
      <c r="D390" s="102" t="s">
        <v>1622</v>
      </c>
      <c r="E390" s="102"/>
    </row>
    <row r="391" spans="1:5" x14ac:dyDescent="0.15">
      <c r="A391" s="102" t="s">
        <v>1623</v>
      </c>
      <c r="B391" s="102" t="s">
        <v>1104</v>
      </c>
      <c r="C391" s="102">
        <v>171488</v>
      </c>
      <c r="D391" s="102" t="s">
        <v>1623</v>
      </c>
      <c r="E391" s="102"/>
    </row>
    <row r="392" spans="1:5" x14ac:dyDescent="0.15">
      <c r="A392" s="102" t="s">
        <v>1624</v>
      </c>
      <c r="B392" s="102" t="s">
        <v>1107</v>
      </c>
      <c r="C392" s="102">
        <v>171486</v>
      </c>
      <c r="D392" s="102" t="s">
        <v>1624</v>
      </c>
      <c r="E392" s="102"/>
    </row>
    <row r="393" spans="1:5" x14ac:dyDescent="0.15">
      <c r="A393" s="102" t="s">
        <v>1625</v>
      </c>
      <c r="B393" s="102" t="s">
        <v>1107</v>
      </c>
      <c r="C393" s="102">
        <v>171485</v>
      </c>
      <c r="D393" s="102" t="s">
        <v>1625</v>
      </c>
      <c r="E393" s="102"/>
    </row>
    <row r="394" spans="1:5" x14ac:dyDescent="0.15">
      <c r="A394" s="102" t="s">
        <v>1626</v>
      </c>
      <c r="B394" s="102" t="s">
        <v>1122</v>
      </c>
      <c r="C394" s="102">
        <v>233236</v>
      </c>
      <c r="D394" s="102" t="s">
        <v>1626</v>
      </c>
      <c r="E394" s="102"/>
    </row>
    <row r="395" spans="1:5" x14ac:dyDescent="0.15">
      <c r="A395" s="102" t="s">
        <v>1627</v>
      </c>
      <c r="B395" s="102" t="s">
        <v>1122</v>
      </c>
      <c r="C395" s="102">
        <v>230105</v>
      </c>
      <c r="D395" s="102" t="s">
        <v>1627</v>
      </c>
      <c r="E395" s="102"/>
    </row>
    <row r="396" spans="1:5" x14ac:dyDescent="0.15">
      <c r="A396" s="102" t="s">
        <v>1628</v>
      </c>
      <c r="B396" s="102" t="s">
        <v>1122</v>
      </c>
      <c r="C396" s="102">
        <v>232085</v>
      </c>
      <c r="D396" s="102" t="s">
        <v>1628</v>
      </c>
      <c r="E396" s="102"/>
    </row>
    <row r="397" spans="1:5" x14ac:dyDescent="0.15">
      <c r="A397" s="102" t="s">
        <v>1629</v>
      </c>
      <c r="B397" s="102" t="s">
        <v>1107</v>
      </c>
      <c r="C397" s="102">
        <v>171483</v>
      </c>
      <c r="D397" s="102" t="s">
        <v>1629</v>
      </c>
      <c r="E397" s="102"/>
    </row>
    <row r="398" spans="1:5" x14ac:dyDescent="0.15">
      <c r="A398" s="102" t="s">
        <v>1630</v>
      </c>
      <c r="B398" s="102" t="s">
        <v>1107</v>
      </c>
      <c r="C398" s="102">
        <v>171484</v>
      </c>
      <c r="D398" s="102" t="s">
        <v>1630</v>
      </c>
      <c r="E398" s="102"/>
    </row>
    <row r="399" spans="1:5" x14ac:dyDescent="0.15">
      <c r="A399" s="102" t="s">
        <v>1631</v>
      </c>
      <c r="B399" s="102" t="s">
        <v>1107</v>
      </c>
      <c r="C399" s="102">
        <v>171482</v>
      </c>
      <c r="D399" s="102" t="s">
        <v>1631</v>
      </c>
      <c r="E399" s="102"/>
    </row>
    <row r="400" spans="1:5" x14ac:dyDescent="0.15">
      <c r="A400" s="102" t="s">
        <v>1632</v>
      </c>
      <c r="B400" s="102" t="s">
        <v>1107</v>
      </c>
      <c r="C400" s="102">
        <v>171481</v>
      </c>
      <c r="D400" s="102" t="s">
        <v>1632</v>
      </c>
      <c r="E400" s="102"/>
    </row>
    <row r="401" spans="1:5" x14ac:dyDescent="0.15">
      <c r="A401" s="102" t="s">
        <v>1633</v>
      </c>
      <c r="B401" s="102" t="s">
        <v>1107</v>
      </c>
      <c r="C401" s="102">
        <v>171480</v>
      </c>
      <c r="D401" s="102" t="s">
        <v>1633</v>
      </c>
      <c r="E401" s="102"/>
    </row>
    <row r="402" spans="1:5" x14ac:dyDescent="0.15">
      <c r="A402" s="102" t="s">
        <v>1634</v>
      </c>
      <c r="B402" s="102" t="s">
        <v>1122</v>
      </c>
      <c r="C402" s="102">
        <v>230009</v>
      </c>
      <c r="D402" s="102" t="s">
        <v>1634</v>
      </c>
      <c r="E402" s="102"/>
    </row>
    <row r="403" spans="1:5" x14ac:dyDescent="0.15">
      <c r="A403" s="102" t="s">
        <v>1635</v>
      </c>
      <c r="B403" s="102" t="s">
        <v>1104</v>
      </c>
      <c r="C403" s="102">
        <v>182236</v>
      </c>
      <c r="D403" s="102" t="s">
        <v>1635</v>
      </c>
      <c r="E403" s="102"/>
    </row>
    <row r="404" spans="1:5" x14ac:dyDescent="0.15">
      <c r="A404" s="102" t="s">
        <v>1636</v>
      </c>
      <c r="B404" s="102" t="s">
        <v>1107</v>
      </c>
      <c r="C404" s="102">
        <v>171479</v>
      </c>
      <c r="D404" s="102" t="s">
        <v>1636</v>
      </c>
      <c r="E404" s="102"/>
    </row>
    <row r="405" spans="1:5" x14ac:dyDescent="0.15">
      <c r="A405" s="102" t="s">
        <v>1637</v>
      </c>
      <c r="B405" s="102" t="s">
        <v>1107</v>
      </c>
      <c r="C405" s="102">
        <v>171478</v>
      </c>
      <c r="D405" s="102" t="s">
        <v>1637</v>
      </c>
      <c r="E405" s="102"/>
    </row>
    <row r="406" spans="1:5" x14ac:dyDescent="0.15">
      <c r="A406" s="102" t="s">
        <v>1638</v>
      </c>
      <c r="B406" s="102" t="s">
        <v>1107</v>
      </c>
      <c r="C406" s="102">
        <v>166525</v>
      </c>
      <c r="D406" s="102" t="s">
        <v>1638</v>
      </c>
      <c r="E406" s="102"/>
    </row>
    <row r="407" spans="1:5" x14ac:dyDescent="0.15">
      <c r="A407" s="102" t="s">
        <v>1639</v>
      </c>
      <c r="B407" s="102" t="s">
        <v>1104</v>
      </c>
      <c r="C407" s="102">
        <v>171491</v>
      </c>
      <c r="D407" s="102" t="s">
        <v>1639</v>
      </c>
      <c r="E407" s="102"/>
    </row>
    <row r="408" spans="1:5" x14ac:dyDescent="0.15">
      <c r="A408" s="102" t="s">
        <v>1640</v>
      </c>
      <c r="B408" s="102" t="s">
        <v>1107</v>
      </c>
      <c r="C408" s="102">
        <v>171477</v>
      </c>
      <c r="D408" s="102" t="s">
        <v>1640</v>
      </c>
      <c r="E408" s="102"/>
    </row>
    <row r="409" spans="1:5" x14ac:dyDescent="0.15">
      <c r="A409" s="102" t="s">
        <v>1641</v>
      </c>
      <c r="B409" s="102" t="s">
        <v>1107</v>
      </c>
      <c r="C409" s="102">
        <v>171476</v>
      </c>
      <c r="D409" s="102" t="s">
        <v>1642</v>
      </c>
      <c r="E409" s="102"/>
    </row>
    <row r="410" spans="1:5" x14ac:dyDescent="0.15">
      <c r="A410" s="102" t="s">
        <v>1643</v>
      </c>
      <c r="B410" s="102" t="s">
        <v>1107</v>
      </c>
      <c r="C410" s="102">
        <v>171473</v>
      </c>
      <c r="D410" s="102" t="s">
        <v>1643</v>
      </c>
      <c r="E410" s="102"/>
    </row>
    <row r="411" spans="1:5" x14ac:dyDescent="0.15">
      <c r="A411" s="102" t="s">
        <v>1644</v>
      </c>
      <c r="B411" s="102" t="s">
        <v>1107</v>
      </c>
      <c r="C411" s="102">
        <v>171472</v>
      </c>
      <c r="D411" s="102" t="s">
        <v>1644</v>
      </c>
      <c r="E411" s="102"/>
    </row>
    <row r="412" spans="1:5" x14ac:dyDescent="0.15">
      <c r="A412" s="102" t="s">
        <v>1645</v>
      </c>
      <c r="B412" s="102" t="s">
        <v>1104</v>
      </c>
      <c r="C412" s="102">
        <v>172662</v>
      </c>
      <c r="D412" s="102" t="s">
        <v>1645</v>
      </c>
      <c r="E412" s="102"/>
    </row>
    <row r="413" spans="1:5" x14ac:dyDescent="0.15">
      <c r="A413" s="102" t="s">
        <v>1646</v>
      </c>
      <c r="B413" s="102" t="s">
        <v>1107</v>
      </c>
      <c r="C413" s="102">
        <v>171471</v>
      </c>
      <c r="D413" s="102" t="s">
        <v>1646</v>
      </c>
      <c r="E413" s="102"/>
    </row>
    <row r="414" spans="1:5" x14ac:dyDescent="0.15">
      <c r="A414" s="102" t="s">
        <v>1647</v>
      </c>
      <c r="B414" s="102" t="s">
        <v>1104</v>
      </c>
      <c r="C414" s="102">
        <v>172784</v>
      </c>
      <c r="D414" s="102" t="s">
        <v>1647</v>
      </c>
      <c r="E414" s="102"/>
    </row>
    <row r="415" spans="1:5" x14ac:dyDescent="0.15">
      <c r="A415" s="102" t="s">
        <v>1648</v>
      </c>
      <c r="B415" s="102" t="s">
        <v>1107</v>
      </c>
      <c r="C415" s="102">
        <v>166682</v>
      </c>
      <c r="D415" s="102" t="s">
        <v>1649</v>
      </c>
      <c r="E415" s="102"/>
    </row>
    <row r="416" spans="1:5" x14ac:dyDescent="0.15">
      <c r="A416" s="102" t="s">
        <v>1650</v>
      </c>
      <c r="B416" s="102" t="s">
        <v>1107</v>
      </c>
      <c r="C416" s="102">
        <v>166680</v>
      </c>
      <c r="D416" s="102" t="s">
        <v>1650</v>
      </c>
      <c r="E416" s="102"/>
    </row>
    <row r="417" spans="1:5" x14ac:dyDescent="0.15">
      <c r="A417" s="102" t="s">
        <v>1651</v>
      </c>
      <c r="B417" s="102" t="s">
        <v>1652</v>
      </c>
      <c r="C417" s="102">
        <v>247615</v>
      </c>
      <c r="D417" s="102" t="s">
        <v>1651</v>
      </c>
      <c r="E417" s="102"/>
    </row>
    <row r="418" spans="1:5" x14ac:dyDescent="0.15">
      <c r="A418" s="102" t="s">
        <v>1653</v>
      </c>
      <c r="B418" s="102" t="s">
        <v>1107</v>
      </c>
      <c r="C418" s="102">
        <v>166681</v>
      </c>
      <c r="D418" s="102" t="s">
        <v>1653</v>
      </c>
      <c r="E418" s="102"/>
    </row>
    <row r="419" spans="1:5" x14ac:dyDescent="0.15">
      <c r="A419" s="102" t="s">
        <v>1654</v>
      </c>
      <c r="B419" s="102" t="s">
        <v>1107</v>
      </c>
      <c r="C419" s="102">
        <v>166626</v>
      </c>
      <c r="D419" s="102" t="s">
        <v>1654</v>
      </c>
      <c r="E419" s="102"/>
    </row>
    <row r="420" spans="1:5" x14ac:dyDescent="0.15">
      <c r="A420" s="102" t="s">
        <v>1655</v>
      </c>
      <c r="B420" s="102" t="s">
        <v>1107</v>
      </c>
      <c r="C420" s="102">
        <v>166679</v>
      </c>
      <c r="D420" s="102" t="s">
        <v>1655</v>
      </c>
      <c r="E420" s="102"/>
    </row>
    <row r="421" spans="1:5" x14ac:dyDescent="0.15">
      <c r="A421" s="102" t="s">
        <v>1656</v>
      </c>
      <c r="B421" s="102" t="s">
        <v>1107</v>
      </c>
      <c r="C421" s="102">
        <v>166684</v>
      </c>
      <c r="D421" s="102" t="s">
        <v>1657</v>
      </c>
      <c r="E421" s="102"/>
    </row>
    <row r="422" spans="1:5" x14ac:dyDescent="0.15">
      <c r="A422" s="102" t="s">
        <v>1658</v>
      </c>
      <c r="B422" s="102" t="s">
        <v>1107</v>
      </c>
      <c r="C422" s="102">
        <v>166678</v>
      </c>
      <c r="D422" s="102" t="s">
        <v>1658</v>
      </c>
      <c r="E422" s="102"/>
    </row>
    <row r="423" spans="1:5" x14ac:dyDescent="0.15">
      <c r="A423" s="102" t="s">
        <v>1659</v>
      </c>
      <c r="B423" s="102" t="s">
        <v>1122</v>
      </c>
      <c r="C423" s="102">
        <v>206444</v>
      </c>
      <c r="D423" s="102" t="s">
        <v>1659</v>
      </c>
      <c r="E423" s="102"/>
    </row>
    <row r="424" spans="1:5" x14ac:dyDescent="0.15">
      <c r="A424" s="102" t="s">
        <v>1660</v>
      </c>
      <c r="B424" s="102" t="s">
        <v>1661</v>
      </c>
      <c r="C424" s="102">
        <v>244037</v>
      </c>
      <c r="D424" s="102" t="s">
        <v>1660</v>
      </c>
      <c r="E424" s="102"/>
    </row>
    <row r="425" spans="1:5" x14ac:dyDescent="0.15">
      <c r="A425" s="102" t="s">
        <v>1662</v>
      </c>
      <c r="B425" s="102" t="s">
        <v>1107</v>
      </c>
      <c r="C425" s="102">
        <v>166677</v>
      </c>
      <c r="D425" s="102" t="s">
        <v>1662</v>
      </c>
      <c r="E425" s="102"/>
    </row>
    <row r="426" spans="1:5" x14ac:dyDescent="0.15">
      <c r="A426" s="102" t="s">
        <v>1663</v>
      </c>
      <c r="B426" s="102" t="s">
        <v>1104</v>
      </c>
      <c r="C426" s="102">
        <v>172606</v>
      </c>
      <c r="D426" s="102" t="s">
        <v>1663</v>
      </c>
      <c r="E426" s="102"/>
    </row>
    <row r="427" spans="1:5" x14ac:dyDescent="0.15">
      <c r="A427" s="102" t="s">
        <v>1664</v>
      </c>
      <c r="B427" s="102" t="s">
        <v>1665</v>
      </c>
      <c r="C427" s="102">
        <v>247285</v>
      </c>
      <c r="D427" s="102" t="s">
        <v>1664</v>
      </c>
      <c r="E427" s="102"/>
    </row>
    <row r="428" spans="1:5" x14ac:dyDescent="0.15">
      <c r="A428" s="102" t="s">
        <v>1666</v>
      </c>
      <c r="B428" s="102" t="s">
        <v>1104</v>
      </c>
      <c r="C428" s="102">
        <v>193622</v>
      </c>
      <c r="D428" s="102" t="s">
        <v>1666</v>
      </c>
      <c r="E428" s="102"/>
    </row>
    <row r="429" spans="1:5" x14ac:dyDescent="0.15">
      <c r="A429" s="102" t="s">
        <v>1667</v>
      </c>
      <c r="B429" s="102" t="s">
        <v>1107</v>
      </c>
      <c r="C429" s="102">
        <v>166683</v>
      </c>
      <c r="D429" s="102" t="s">
        <v>1667</v>
      </c>
      <c r="E429" s="102"/>
    </row>
    <row r="430" spans="1:5" x14ac:dyDescent="0.15">
      <c r="A430" s="102" t="s">
        <v>1668</v>
      </c>
      <c r="B430" s="102" t="s">
        <v>1122</v>
      </c>
      <c r="C430" s="102">
        <v>204162</v>
      </c>
      <c r="D430" s="102" t="s">
        <v>1668</v>
      </c>
      <c r="E430" s="102"/>
    </row>
    <row r="431" spans="1:5" x14ac:dyDescent="0.15">
      <c r="A431" s="102" t="s">
        <v>1669</v>
      </c>
      <c r="B431" s="102" t="s">
        <v>1670</v>
      </c>
      <c r="C431" s="102">
        <v>245864</v>
      </c>
      <c r="D431" s="102" t="s">
        <v>1669</v>
      </c>
      <c r="E431" s="102"/>
    </row>
    <row r="432" spans="1:5" x14ac:dyDescent="0.15">
      <c r="A432" s="102" t="s">
        <v>1671</v>
      </c>
      <c r="B432" s="102" t="s">
        <v>1107</v>
      </c>
      <c r="C432" s="102">
        <v>166676</v>
      </c>
      <c r="D432" s="102" t="s">
        <v>1672</v>
      </c>
      <c r="E432" s="102"/>
    </row>
    <row r="433" spans="1:5" x14ac:dyDescent="0.15">
      <c r="A433" s="102" t="s">
        <v>1673</v>
      </c>
      <c r="B433" s="102" t="s">
        <v>1107</v>
      </c>
      <c r="C433" s="102">
        <v>166675</v>
      </c>
      <c r="D433" s="102" t="s">
        <v>1673</v>
      </c>
      <c r="E433" s="102"/>
    </row>
    <row r="434" spans="1:5" x14ac:dyDescent="0.15">
      <c r="A434" s="102" t="s">
        <v>1674</v>
      </c>
      <c r="B434" s="102" t="s">
        <v>1104</v>
      </c>
      <c r="C434" s="102">
        <v>172675</v>
      </c>
      <c r="D434" s="102" t="s">
        <v>1674</v>
      </c>
      <c r="E434" s="102"/>
    </row>
    <row r="435" spans="1:5" x14ac:dyDescent="0.15">
      <c r="A435" s="102" t="s">
        <v>1675</v>
      </c>
      <c r="B435" s="102" t="s">
        <v>1107</v>
      </c>
      <c r="C435" s="102">
        <v>166674</v>
      </c>
      <c r="D435" s="102" t="s">
        <v>1675</v>
      </c>
      <c r="E435" s="102"/>
    </row>
    <row r="436" spans="1:5" x14ac:dyDescent="0.15">
      <c r="A436" s="102" t="s">
        <v>1676</v>
      </c>
      <c r="B436" s="102" t="s">
        <v>1122</v>
      </c>
      <c r="C436" s="102">
        <v>219471</v>
      </c>
      <c r="D436" s="102" t="s">
        <v>1676</v>
      </c>
      <c r="E436" s="102"/>
    </row>
    <row r="437" spans="1:5" x14ac:dyDescent="0.15">
      <c r="A437" s="102" t="s">
        <v>1677</v>
      </c>
      <c r="B437" s="102" t="s">
        <v>1107</v>
      </c>
      <c r="C437" s="102">
        <v>166672</v>
      </c>
      <c r="D437" s="102" t="s">
        <v>1678</v>
      </c>
      <c r="E437" s="102"/>
    </row>
    <row r="438" spans="1:5" x14ac:dyDescent="0.15">
      <c r="A438" s="102" t="s">
        <v>1679</v>
      </c>
      <c r="B438" s="102" t="s">
        <v>1104</v>
      </c>
      <c r="C438" s="102">
        <v>172668</v>
      </c>
      <c r="D438" s="102" t="s">
        <v>1679</v>
      </c>
      <c r="E438" s="102"/>
    </row>
    <row r="439" spans="1:5" x14ac:dyDescent="0.15">
      <c r="A439" s="102" t="s">
        <v>1680</v>
      </c>
      <c r="B439" s="102" t="s">
        <v>1104</v>
      </c>
      <c r="C439" s="102">
        <v>199606</v>
      </c>
      <c r="D439" s="102" t="s">
        <v>1680</v>
      </c>
      <c r="E439" s="102"/>
    </row>
    <row r="440" spans="1:5" x14ac:dyDescent="0.15">
      <c r="A440" s="102" t="s">
        <v>1681</v>
      </c>
      <c r="B440" s="102" t="s">
        <v>1104</v>
      </c>
      <c r="C440" s="102">
        <v>172890</v>
      </c>
      <c r="D440" s="102" t="s">
        <v>1682</v>
      </c>
      <c r="E440" s="102"/>
    </row>
    <row r="441" spans="1:5" x14ac:dyDescent="0.15">
      <c r="A441" s="102" t="s">
        <v>1683</v>
      </c>
      <c r="B441" s="102" t="s">
        <v>1107</v>
      </c>
      <c r="C441" s="102">
        <v>166623</v>
      </c>
      <c r="D441" s="102" t="s">
        <v>1683</v>
      </c>
      <c r="E441" s="102"/>
    </row>
    <row r="442" spans="1:5" x14ac:dyDescent="0.15">
      <c r="A442" s="102" t="s">
        <v>1684</v>
      </c>
      <c r="B442" s="102" t="s">
        <v>1107</v>
      </c>
      <c r="C442" s="102">
        <v>166622</v>
      </c>
      <c r="D442" s="102" t="s">
        <v>1684</v>
      </c>
      <c r="E442" s="102"/>
    </row>
    <row r="443" spans="1:5" x14ac:dyDescent="0.15">
      <c r="A443" s="102" t="s">
        <v>1685</v>
      </c>
      <c r="B443" s="102" t="s">
        <v>1122</v>
      </c>
      <c r="C443" s="102">
        <v>235782</v>
      </c>
      <c r="D443" s="102" t="s">
        <v>1685</v>
      </c>
      <c r="E443" s="102"/>
    </row>
    <row r="444" spans="1:5" x14ac:dyDescent="0.15">
      <c r="A444" s="102" t="s">
        <v>1686</v>
      </c>
      <c r="B444" s="102" t="s">
        <v>1104</v>
      </c>
      <c r="C444" s="102">
        <v>172786</v>
      </c>
      <c r="D444" s="102" t="s">
        <v>1687</v>
      </c>
      <c r="E444" s="102"/>
    </row>
    <row r="445" spans="1:5" x14ac:dyDescent="0.15">
      <c r="A445" s="102" t="s">
        <v>1688</v>
      </c>
      <c r="B445" s="102" t="s">
        <v>1104</v>
      </c>
      <c r="C445" s="102">
        <v>177781</v>
      </c>
      <c r="D445" s="102" t="s">
        <v>1688</v>
      </c>
      <c r="E445" s="102"/>
    </row>
    <row r="446" spans="1:5" x14ac:dyDescent="0.15">
      <c r="A446" s="102" t="s">
        <v>1689</v>
      </c>
      <c r="B446" s="102" t="s">
        <v>1595</v>
      </c>
      <c r="C446" s="102">
        <v>245865</v>
      </c>
      <c r="D446" s="102" t="s">
        <v>1689</v>
      </c>
      <c r="E446" s="102"/>
    </row>
    <row r="447" spans="1:5" x14ac:dyDescent="0.15">
      <c r="A447" s="102" t="s">
        <v>1690</v>
      </c>
      <c r="B447" s="102" t="s">
        <v>1107</v>
      </c>
      <c r="C447" s="102">
        <v>166621</v>
      </c>
      <c r="D447" s="102" t="s">
        <v>1690</v>
      </c>
      <c r="E447" s="102"/>
    </row>
    <row r="448" spans="1:5" x14ac:dyDescent="0.15">
      <c r="A448" s="102" t="s">
        <v>1691</v>
      </c>
      <c r="B448" s="102" t="s">
        <v>1107</v>
      </c>
      <c r="C448" s="102">
        <v>166619</v>
      </c>
      <c r="D448" s="102" t="s">
        <v>1691</v>
      </c>
      <c r="E448" s="102"/>
    </row>
    <row r="449" spans="1:5" x14ac:dyDescent="0.15">
      <c r="A449" s="102" t="s">
        <v>1692</v>
      </c>
      <c r="B449" s="102" t="s">
        <v>1122</v>
      </c>
      <c r="C449" s="102">
        <v>213205</v>
      </c>
      <c r="D449" s="102" t="s">
        <v>1692</v>
      </c>
      <c r="E449" s="102"/>
    </row>
    <row r="450" spans="1:5" x14ac:dyDescent="0.15">
      <c r="A450" s="102" t="s">
        <v>1693</v>
      </c>
      <c r="B450" s="102" t="s">
        <v>1107</v>
      </c>
      <c r="C450" s="102">
        <v>166618</v>
      </c>
      <c r="D450" s="102" t="s">
        <v>1693</v>
      </c>
      <c r="E450" s="102"/>
    </row>
    <row r="451" spans="1:5" x14ac:dyDescent="0.15">
      <c r="A451" s="102" t="s">
        <v>1694</v>
      </c>
      <c r="B451" s="102" t="s">
        <v>1107</v>
      </c>
      <c r="C451" s="102">
        <v>166617</v>
      </c>
      <c r="D451" s="102" t="s">
        <v>1694</v>
      </c>
      <c r="E451" s="102"/>
    </row>
    <row r="452" spans="1:5" x14ac:dyDescent="0.15">
      <c r="A452" s="102" t="s">
        <v>1695</v>
      </c>
      <c r="B452" s="102" t="s">
        <v>1696</v>
      </c>
      <c r="C452" s="102">
        <v>247055</v>
      </c>
      <c r="D452" s="102" t="s">
        <v>1695</v>
      </c>
      <c r="E452" s="102"/>
    </row>
    <row r="453" spans="1:5" x14ac:dyDescent="0.15">
      <c r="A453" s="102" t="s">
        <v>1697</v>
      </c>
      <c r="B453" s="102" t="s">
        <v>1698</v>
      </c>
      <c r="C453" s="102">
        <v>238532</v>
      </c>
      <c r="D453" s="102" t="s">
        <v>1697</v>
      </c>
      <c r="E453" s="102"/>
    </row>
    <row r="454" spans="1:5" x14ac:dyDescent="0.15">
      <c r="A454" s="102" t="s">
        <v>1699</v>
      </c>
      <c r="B454" s="102" t="s">
        <v>1101</v>
      </c>
      <c r="C454" s="102">
        <v>198799</v>
      </c>
      <c r="D454" s="102" t="s">
        <v>1699</v>
      </c>
      <c r="E454" s="102"/>
    </row>
    <row r="455" spans="1:5" x14ac:dyDescent="0.15">
      <c r="A455" s="102" t="s">
        <v>1700</v>
      </c>
      <c r="B455" s="102" t="s">
        <v>1122</v>
      </c>
      <c r="C455" s="102">
        <v>234655</v>
      </c>
      <c r="D455" s="102" t="s">
        <v>1700</v>
      </c>
      <c r="E455" s="102"/>
    </row>
    <row r="456" spans="1:5" x14ac:dyDescent="0.15">
      <c r="A456" s="102" t="s">
        <v>1701</v>
      </c>
      <c r="B456" s="102" t="s">
        <v>1107</v>
      </c>
      <c r="C456" s="102">
        <v>171093</v>
      </c>
      <c r="D456" s="102" t="s">
        <v>1701</v>
      </c>
      <c r="E456" s="102"/>
    </row>
    <row r="457" spans="1:5" x14ac:dyDescent="0.15">
      <c r="A457" s="102" t="s">
        <v>1702</v>
      </c>
      <c r="B457" s="102" t="s">
        <v>1703</v>
      </c>
      <c r="C457" s="102">
        <v>245837</v>
      </c>
      <c r="D457" s="102" t="s">
        <v>1702</v>
      </c>
      <c r="E457" s="102"/>
    </row>
    <row r="458" spans="1:5" x14ac:dyDescent="0.15">
      <c r="A458" s="102" t="s">
        <v>1704</v>
      </c>
      <c r="B458" s="102" t="s">
        <v>1705</v>
      </c>
      <c r="C458" s="102">
        <v>250062</v>
      </c>
      <c r="D458" s="102" t="s">
        <v>1704</v>
      </c>
      <c r="E458" s="102"/>
    </row>
    <row r="459" spans="1:5" x14ac:dyDescent="0.15">
      <c r="A459" s="102" t="s">
        <v>1706</v>
      </c>
      <c r="B459" s="102" t="s">
        <v>1107</v>
      </c>
      <c r="C459" s="102">
        <v>166616</v>
      </c>
      <c r="D459" s="102" t="s">
        <v>1707</v>
      </c>
      <c r="E459" s="102"/>
    </row>
    <row r="460" spans="1:5" x14ac:dyDescent="0.15">
      <c r="A460" s="102" t="s">
        <v>1708</v>
      </c>
      <c r="B460" s="102" t="s">
        <v>1107</v>
      </c>
      <c r="C460" s="102">
        <v>166612</v>
      </c>
      <c r="D460" s="102" t="s">
        <v>1708</v>
      </c>
      <c r="E460" s="102"/>
    </row>
    <row r="461" spans="1:5" x14ac:dyDescent="0.15">
      <c r="A461" s="102" t="s">
        <v>1709</v>
      </c>
      <c r="B461" s="102" t="s">
        <v>1107</v>
      </c>
      <c r="C461" s="102">
        <v>166523</v>
      </c>
      <c r="D461" s="102" t="s">
        <v>1709</v>
      </c>
      <c r="E461" s="102"/>
    </row>
    <row r="462" spans="1:5" x14ac:dyDescent="0.15">
      <c r="A462" s="102" t="s">
        <v>1710</v>
      </c>
      <c r="B462" s="102" t="s">
        <v>1107</v>
      </c>
      <c r="C462" s="102">
        <v>166521</v>
      </c>
      <c r="D462" s="102" t="s">
        <v>1710</v>
      </c>
      <c r="E462" s="102"/>
    </row>
    <row r="463" spans="1:5" x14ac:dyDescent="0.15">
      <c r="A463" s="102" t="s">
        <v>1710</v>
      </c>
      <c r="B463" s="102" t="s">
        <v>1107</v>
      </c>
      <c r="C463" s="102">
        <v>166614</v>
      </c>
      <c r="D463" s="102" t="s">
        <v>1710</v>
      </c>
      <c r="E463" s="102"/>
    </row>
    <row r="464" spans="1:5" x14ac:dyDescent="0.15">
      <c r="A464" s="102" t="s">
        <v>1711</v>
      </c>
      <c r="B464" s="102" t="s">
        <v>1712</v>
      </c>
      <c r="C464" s="102">
        <v>249788</v>
      </c>
      <c r="D464" s="102" t="s">
        <v>1711</v>
      </c>
      <c r="E464" s="102"/>
    </row>
    <row r="465" spans="1:5" x14ac:dyDescent="0.15">
      <c r="A465" s="102" t="s">
        <v>1713</v>
      </c>
      <c r="B465" s="102" t="s">
        <v>1104</v>
      </c>
      <c r="C465" s="102">
        <v>172685</v>
      </c>
      <c r="D465" s="102" t="s">
        <v>1714</v>
      </c>
      <c r="E465" s="102"/>
    </row>
    <row r="466" spans="1:5" x14ac:dyDescent="0.15">
      <c r="A466" s="102" t="s">
        <v>1715</v>
      </c>
      <c r="B466" s="102" t="s">
        <v>1107</v>
      </c>
      <c r="C466" s="102">
        <v>166517</v>
      </c>
      <c r="D466" s="102" t="s">
        <v>1715</v>
      </c>
      <c r="E466" s="102"/>
    </row>
    <row r="467" spans="1:5" x14ac:dyDescent="0.15">
      <c r="A467" s="102" t="s">
        <v>1716</v>
      </c>
      <c r="B467" s="102" t="s">
        <v>1107</v>
      </c>
      <c r="C467" s="102">
        <v>166609</v>
      </c>
      <c r="D467" s="102" t="s">
        <v>1716</v>
      </c>
      <c r="E467" s="102"/>
    </row>
    <row r="468" spans="1:5" x14ac:dyDescent="0.15">
      <c r="A468" s="102" t="s">
        <v>1717</v>
      </c>
      <c r="B468" s="102" t="s">
        <v>1107</v>
      </c>
      <c r="C468" s="102">
        <v>166510</v>
      </c>
      <c r="D468" s="102" t="s">
        <v>1717</v>
      </c>
      <c r="E468" s="102"/>
    </row>
    <row r="469" spans="1:5" x14ac:dyDescent="0.15">
      <c r="A469" s="102" t="s">
        <v>1718</v>
      </c>
      <c r="B469" s="102" t="s">
        <v>1107</v>
      </c>
      <c r="C469" s="102">
        <v>166509</v>
      </c>
      <c r="D469" s="102" t="s">
        <v>1718</v>
      </c>
      <c r="E469" s="102"/>
    </row>
    <row r="470" spans="1:5" x14ac:dyDescent="0.15">
      <c r="A470" s="102" t="s">
        <v>1719</v>
      </c>
      <c r="B470" s="102" t="s">
        <v>1104</v>
      </c>
      <c r="C470" s="102">
        <v>194004</v>
      </c>
      <c r="D470" s="102" t="s">
        <v>1719</v>
      </c>
      <c r="E470" s="102"/>
    </row>
    <row r="471" spans="1:5" x14ac:dyDescent="0.15">
      <c r="A471" s="102" t="s">
        <v>1720</v>
      </c>
      <c r="B471" s="102" t="s">
        <v>1107</v>
      </c>
      <c r="C471" s="102">
        <v>166508</v>
      </c>
      <c r="D471" s="102" t="s">
        <v>1720</v>
      </c>
      <c r="E471" s="102"/>
    </row>
    <row r="472" spans="1:5" x14ac:dyDescent="0.15">
      <c r="A472" s="102" t="s">
        <v>1721</v>
      </c>
      <c r="B472" s="102" t="s">
        <v>1107</v>
      </c>
      <c r="C472" s="102">
        <v>166507</v>
      </c>
      <c r="D472" s="102" t="s">
        <v>1721</v>
      </c>
      <c r="E472" s="102"/>
    </row>
    <row r="473" spans="1:5" x14ac:dyDescent="0.15">
      <c r="A473" s="102" t="s">
        <v>1722</v>
      </c>
      <c r="B473" s="102" t="s">
        <v>1107</v>
      </c>
      <c r="C473" s="102">
        <v>166505</v>
      </c>
      <c r="D473" s="102" t="s">
        <v>1722</v>
      </c>
      <c r="E473" s="102"/>
    </row>
    <row r="474" spans="1:5" x14ac:dyDescent="0.15">
      <c r="A474" s="102" t="s">
        <v>1723</v>
      </c>
      <c r="B474" s="102" t="s">
        <v>1101</v>
      </c>
      <c r="C474" s="102">
        <v>166503</v>
      </c>
      <c r="D474" s="102" t="s">
        <v>1723</v>
      </c>
      <c r="E474" s="102"/>
    </row>
    <row r="475" spans="1:5" x14ac:dyDescent="0.15">
      <c r="A475" s="102" t="s">
        <v>1724</v>
      </c>
      <c r="B475" s="102" t="s">
        <v>1104</v>
      </c>
      <c r="C475" s="102">
        <v>177575</v>
      </c>
      <c r="D475" s="102" t="s">
        <v>1725</v>
      </c>
      <c r="E475" s="102"/>
    </row>
    <row r="476" spans="1:5" x14ac:dyDescent="0.15">
      <c r="A476" s="102" t="s">
        <v>1726</v>
      </c>
      <c r="B476" s="102" t="s">
        <v>1104</v>
      </c>
      <c r="C476" s="102">
        <v>172720</v>
      </c>
      <c r="D476" s="102" t="s">
        <v>1727</v>
      </c>
      <c r="E476" s="102"/>
    </row>
    <row r="477" spans="1:5" x14ac:dyDescent="0.15">
      <c r="A477" s="102" t="s">
        <v>1728</v>
      </c>
      <c r="B477" s="102" t="s">
        <v>1107</v>
      </c>
      <c r="C477" s="102">
        <v>166485</v>
      </c>
      <c r="D477" s="102" t="s">
        <v>1728</v>
      </c>
      <c r="E477" s="102"/>
    </row>
    <row r="478" spans="1:5" x14ac:dyDescent="0.15">
      <c r="A478" s="102" t="s">
        <v>1729</v>
      </c>
      <c r="B478" s="102" t="s">
        <v>1107</v>
      </c>
      <c r="C478" s="102">
        <v>166484</v>
      </c>
      <c r="D478" s="102" t="s">
        <v>1729</v>
      </c>
      <c r="E478" s="102"/>
    </row>
    <row r="479" spans="1:5" x14ac:dyDescent="0.15">
      <c r="A479" s="102" t="s">
        <v>1730</v>
      </c>
      <c r="B479" s="102" t="s">
        <v>1104</v>
      </c>
      <c r="C479" s="102">
        <v>172895</v>
      </c>
      <c r="D479" s="102" t="s">
        <v>1730</v>
      </c>
      <c r="E479" s="102"/>
    </row>
    <row r="480" spans="1:5" x14ac:dyDescent="0.15">
      <c r="A480" s="102" t="s">
        <v>1731</v>
      </c>
      <c r="B480" s="102" t="s">
        <v>1107</v>
      </c>
      <c r="C480" s="102">
        <v>166481</v>
      </c>
      <c r="D480" s="102" t="s">
        <v>1731</v>
      </c>
      <c r="E480" s="102"/>
    </row>
    <row r="481" spans="1:5" x14ac:dyDescent="0.15">
      <c r="A481" s="102" t="s">
        <v>1732</v>
      </c>
      <c r="B481" s="102" t="s">
        <v>1107</v>
      </c>
      <c r="C481" s="102">
        <v>166479</v>
      </c>
      <c r="D481" s="102" t="s">
        <v>1732</v>
      </c>
      <c r="E481" s="102"/>
    </row>
    <row r="482" spans="1:5" x14ac:dyDescent="0.15">
      <c r="A482" s="102" t="s">
        <v>1733</v>
      </c>
      <c r="B482" s="102" t="s">
        <v>1104</v>
      </c>
      <c r="C482" s="102">
        <v>173200</v>
      </c>
      <c r="D482" s="102" t="s">
        <v>1733</v>
      </c>
      <c r="E482" s="102"/>
    </row>
    <row r="483" spans="1:5" x14ac:dyDescent="0.15">
      <c r="A483" s="102" t="s">
        <v>1734</v>
      </c>
      <c r="B483" s="102" t="s">
        <v>1104</v>
      </c>
      <c r="C483" s="102">
        <v>193742</v>
      </c>
      <c r="D483" s="102" t="s">
        <v>1734</v>
      </c>
      <c r="E483" s="102"/>
    </row>
    <row r="484" spans="1:5" x14ac:dyDescent="0.15">
      <c r="A484" s="102" t="s">
        <v>1735</v>
      </c>
      <c r="B484" s="102" t="s">
        <v>1104</v>
      </c>
      <c r="C484" s="102">
        <v>193910</v>
      </c>
      <c r="D484" s="102" t="s">
        <v>1735</v>
      </c>
      <c r="E484" s="102"/>
    </row>
    <row r="485" spans="1:5" x14ac:dyDescent="0.15">
      <c r="A485" s="102" t="s">
        <v>1736</v>
      </c>
      <c r="B485" s="102" t="s">
        <v>1737</v>
      </c>
      <c r="C485" s="102">
        <v>243879</v>
      </c>
      <c r="D485" s="102" t="s">
        <v>1736</v>
      </c>
      <c r="E485" s="102"/>
    </row>
    <row r="486" spans="1:5" x14ac:dyDescent="0.15">
      <c r="A486" s="102" t="s">
        <v>1738</v>
      </c>
      <c r="B486" s="102" t="s">
        <v>1107</v>
      </c>
      <c r="C486" s="102">
        <v>166478</v>
      </c>
      <c r="D486" s="102" t="s">
        <v>1738</v>
      </c>
      <c r="E486" s="102"/>
    </row>
    <row r="487" spans="1:5" x14ac:dyDescent="0.15">
      <c r="A487" s="102" t="s">
        <v>1739</v>
      </c>
      <c r="B487" s="102" t="s">
        <v>1107</v>
      </c>
      <c r="C487" s="102">
        <v>166475</v>
      </c>
      <c r="D487" s="102" t="s">
        <v>1739</v>
      </c>
      <c r="E487" s="102"/>
    </row>
    <row r="488" spans="1:5" x14ac:dyDescent="0.15">
      <c r="A488" s="102" t="s">
        <v>1740</v>
      </c>
      <c r="B488" s="102" t="s">
        <v>1107</v>
      </c>
      <c r="C488" s="102">
        <v>166470</v>
      </c>
      <c r="D488" s="102" t="s">
        <v>1740</v>
      </c>
      <c r="E488" s="102"/>
    </row>
    <row r="489" spans="1:5" x14ac:dyDescent="0.15">
      <c r="A489" s="102" t="s">
        <v>1741</v>
      </c>
      <c r="B489" s="102" t="s">
        <v>1107</v>
      </c>
      <c r="C489" s="102">
        <v>166473</v>
      </c>
      <c r="D489" s="102" t="s">
        <v>1741</v>
      </c>
      <c r="E489" s="102"/>
    </row>
    <row r="490" spans="1:5" x14ac:dyDescent="0.15">
      <c r="A490" s="102" t="s">
        <v>1742</v>
      </c>
      <c r="B490" s="102" t="s">
        <v>1107</v>
      </c>
      <c r="C490" s="102">
        <v>166471</v>
      </c>
      <c r="D490" s="102" t="s">
        <v>1742</v>
      </c>
      <c r="E490" s="102"/>
    </row>
    <row r="491" spans="1:5" x14ac:dyDescent="0.15">
      <c r="A491" s="102" t="s">
        <v>1743</v>
      </c>
      <c r="B491" s="102" t="s">
        <v>1104</v>
      </c>
      <c r="C491" s="102">
        <v>172654</v>
      </c>
      <c r="D491" s="102" t="s">
        <v>1743</v>
      </c>
      <c r="E491" s="102"/>
    </row>
    <row r="492" spans="1:5" x14ac:dyDescent="0.15">
      <c r="A492" s="102" t="s">
        <v>1744</v>
      </c>
      <c r="B492" s="102" t="s">
        <v>1745</v>
      </c>
      <c r="C492" s="102">
        <v>243755</v>
      </c>
      <c r="D492" s="102" t="s">
        <v>1744</v>
      </c>
      <c r="E492" s="102"/>
    </row>
    <row r="493" spans="1:5" x14ac:dyDescent="0.15">
      <c r="A493" s="102" t="s">
        <v>1746</v>
      </c>
      <c r="B493" s="102" t="s">
        <v>1747</v>
      </c>
      <c r="C493" s="102">
        <v>248323</v>
      </c>
      <c r="D493" s="102" t="s">
        <v>1746</v>
      </c>
      <c r="E493" s="102"/>
    </row>
    <row r="494" spans="1:5" x14ac:dyDescent="0.15">
      <c r="A494" s="102" t="s">
        <v>1748</v>
      </c>
      <c r="B494" s="102" t="s">
        <v>1107</v>
      </c>
      <c r="C494" s="102">
        <v>166468</v>
      </c>
      <c r="D494" s="102" t="s">
        <v>1748</v>
      </c>
      <c r="E494" s="102"/>
    </row>
    <row r="495" spans="1:5" x14ac:dyDescent="0.15">
      <c r="A495" s="102" t="s">
        <v>1749</v>
      </c>
      <c r="B495" s="102" t="s">
        <v>1104</v>
      </c>
      <c r="C495" s="102">
        <v>172896</v>
      </c>
      <c r="D495" s="102" t="s">
        <v>1750</v>
      </c>
      <c r="E495" s="102"/>
    </row>
    <row r="496" spans="1:5" x14ac:dyDescent="0.15">
      <c r="A496" s="102" t="s">
        <v>1751</v>
      </c>
      <c r="B496" s="102" t="s">
        <v>1104</v>
      </c>
      <c r="C496" s="102">
        <v>172596</v>
      </c>
      <c r="D496" s="102" t="s">
        <v>1752</v>
      </c>
      <c r="E496" s="102"/>
    </row>
    <row r="497" spans="1:5" x14ac:dyDescent="0.15">
      <c r="A497" s="102" t="s">
        <v>1753</v>
      </c>
      <c r="B497" s="102" t="s">
        <v>1104</v>
      </c>
      <c r="C497" s="102">
        <v>172893</v>
      </c>
      <c r="D497" s="102" t="s">
        <v>1753</v>
      </c>
      <c r="E497" s="102"/>
    </row>
    <row r="498" spans="1:5" x14ac:dyDescent="0.15">
      <c r="A498" s="102" t="s">
        <v>1754</v>
      </c>
      <c r="B498" s="102" t="s">
        <v>1107</v>
      </c>
      <c r="C498" s="102">
        <v>166467</v>
      </c>
      <c r="D498" s="102" t="s">
        <v>1754</v>
      </c>
      <c r="E498" s="102"/>
    </row>
    <row r="499" spans="1:5" x14ac:dyDescent="0.15">
      <c r="A499" s="102" t="s">
        <v>1755</v>
      </c>
      <c r="B499" s="102" t="s">
        <v>1107</v>
      </c>
      <c r="C499" s="102">
        <v>166466</v>
      </c>
      <c r="D499" s="102" t="s">
        <v>1755</v>
      </c>
      <c r="E499" s="102"/>
    </row>
    <row r="500" spans="1:5" x14ac:dyDescent="0.15">
      <c r="A500" s="102" t="s">
        <v>1756</v>
      </c>
      <c r="B500" s="102" t="s">
        <v>1104</v>
      </c>
      <c r="C500" s="102">
        <v>172901</v>
      </c>
      <c r="D500" s="102" t="s">
        <v>1756</v>
      </c>
      <c r="E500" s="102"/>
    </row>
    <row r="501" spans="1:5" x14ac:dyDescent="0.15">
      <c r="A501" s="102" t="s">
        <v>1757</v>
      </c>
      <c r="B501" s="102" t="s">
        <v>1107</v>
      </c>
      <c r="C501" s="102">
        <v>166465</v>
      </c>
      <c r="D501" s="102" t="s">
        <v>1757</v>
      </c>
      <c r="E501" s="102"/>
    </row>
    <row r="502" spans="1:5" x14ac:dyDescent="0.15">
      <c r="A502" s="102" t="s">
        <v>1758</v>
      </c>
      <c r="B502" s="102" t="s">
        <v>1759</v>
      </c>
      <c r="C502" s="102">
        <v>243127</v>
      </c>
      <c r="D502" s="102" t="s">
        <v>1758</v>
      </c>
      <c r="E502" s="102"/>
    </row>
    <row r="503" spans="1:5" x14ac:dyDescent="0.15">
      <c r="A503" s="102" t="s">
        <v>1760</v>
      </c>
      <c r="B503" s="102" t="s">
        <v>1122</v>
      </c>
      <c r="C503" s="102">
        <v>234630</v>
      </c>
      <c r="D503" s="102" t="s">
        <v>1760</v>
      </c>
      <c r="E503" s="102"/>
    </row>
    <row r="504" spans="1:5" x14ac:dyDescent="0.15">
      <c r="A504" s="102" t="s">
        <v>1761</v>
      </c>
      <c r="B504" s="102" t="s">
        <v>1107</v>
      </c>
      <c r="C504" s="102">
        <v>166464</v>
      </c>
      <c r="D504" s="102" t="s">
        <v>1761</v>
      </c>
      <c r="E504" s="102"/>
    </row>
    <row r="505" spans="1:5" x14ac:dyDescent="0.15">
      <c r="A505" s="102" t="s">
        <v>1762</v>
      </c>
      <c r="B505" s="102" t="s">
        <v>1104</v>
      </c>
      <c r="C505" s="102">
        <v>172735</v>
      </c>
      <c r="D505" s="102" t="s">
        <v>1762</v>
      </c>
      <c r="E505" s="102"/>
    </row>
    <row r="506" spans="1:5" x14ac:dyDescent="0.15">
      <c r="A506" s="102" t="s">
        <v>1763</v>
      </c>
      <c r="B506" s="102" t="s">
        <v>1113</v>
      </c>
      <c r="C506" s="102">
        <v>166446</v>
      </c>
      <c r="D506" s="102" t="s">
        <v>1763</v>
      </c>
      <c r="E506" s="102"/>
    </row>
    <row r="507" spans="1:5" x14ac:dyDescent="0.15">
      <c r="A507" s="102" t="s">
        <v>1764</v>
      </c>
      <c r="B507" s="102" t="s">
        <v>1107</v>
      </c>
      <c r="C507" s="102">
        <v>166462</v>
      </c>
      <c r="D507" s="102" t="s">
        <v>1764</v>
      </c>
      <c r="E507" s="102"/>
    </row>
    <row r="508" spans="1:5" x14ac:dyDescent="0.15">
      <c r="A508" s="102" t="s">
        <v>1765</v>
      </c>
      <c r="B508" s="102" t="s">
        <v>1107</v>
      </c>
      <c r="C508" s="102">
        <v>166460</v>
      </c>
      <c r="D508" s="102" t="s">
        <v>1766</v>
      </c>
      <c r="E508" s="102"/>
    </row>
    <row r="509" spans="1:5" x14ac:dyDescent="0.15">
      <c r="A509" s="102" t="s">
        <v>1767</v>
      </c>
      <c r="B509" s="102" t="s">
        <v>1104</v>
      </c>
      <c r="C509" s="102">
        <v>172676</v>
      </c>
      <c r="D509" s="102" t="s">
        <v>1768</v>
      </c>
      <c r="E509" s="102"/>
    </row>
    <row r="510" spans="1:5" x14ac:dyDescent="0.15">
      <c r="A510" s="102" t="s">
        <v>1769</v>
      </c>
      <c r="B510" s="102" t="s">
        <v>1104</v>
      </c>
      <c r="C510" s="102">
        <v>172657</v>
      </c>
      <c r="D510" s="102" t="s">
        <v>1769</v>
      </c>
      <c r="E510" s="102"/>
    </row>
    <row r="511" spans="1:5" x14ac:dyDescent="0.15">
      <c r="A511" s="102" t="s">
        <v>1770</v>
      </c>
      <c r="B511" s="102" t="s">
        <v>1107</v>
      </c>
      <c r="C511" s="102">
        <v>166459</v>
      </c>
      <c r="D511" s="102" t="s">
        <v>1770</v>
      </c>
      <c r="E511" s="102"/>
    </row>
    <row r="512" spans="1:5" x14ac:dyDescent="0.15">
      <c r="A512" s="102" t="s">
        <v>1771</v>
      </c>
      <c r="B512" s="102" t="s">
        <v>1107</v>
      </c>
      <c r="C512" s="102">
        <v>166458</v>
      </c>
      <c r="D512" s="102" t="s">
        <v>1772</v>
      </c>
      <c r="E512" s="102"/>
    </row>
    <row r="513" spans="1:5" x14ac:dyDescent="0.15">
      <c r="A513" s="102" t="s">
        <v>1773</v>
      </c>
      <c r="B513" s="102" t="s">
        <v>1774</v>
      </c>
      <c r="C513" s="102">
        <v>247051</v>
      </c>
      <c r="D513" s="102" t="s">
        <v>1773</v>
      </c>
      <c r="E513" s="102"/>
    </row>
    <row r="514" spans="1:5" x14ac:dyDescent="0.15">
      <c r="A514" s="102" t="s">
        <v>1775</v>
      </c>
      <c r="B514" s="102" t="s">
        <v>1107</v>
      </c>
      <c r="C514" s="102">
        <v>166454</v>
      </c>
      <c r="D514" s="102" t="s">
        <v>1775</v>
      </c>
      <c r="E514" s="102"/>
    </row>
    <row r="515" spans="1:5" x14ac:dyDescent="0.15">
      <c r="A515" s="102" t="s">
        <v>1776</v>
      </c>
      <c r="B515" s="102" t="s">
        <v>1107</v>
      </c>
      <c r="C515" s="102">
        <v>166452</v>
      </c>
      <c r="D515" s="102" t="s">
        <v>1777</v>
      </c>
      <c r="E515" s="102"/>
    </row>
    <row r="516" spans="1:5" x14ac:dyDescent="0.15">
      <c r="A516" s="102" t="s">
        <v>1778</v>
      </c>
      <c r="B516" s="102" t="s">
        <v>1113</v>
      </c>
      <c r="C516" s="102">
        <v>166451</v>
      </c>
      <c r="D516" s="102" t="s">
        <v>1778</v>
      </c>
      <c r="E516" s="102"/>
    </row>
    <row r="517" spans="1:5" x14ac:dyDescent="0.15">
      <c r="A517" s="102" t="s">
        <v>1779</v>
      </c>
      <c r="B517" s="102" t="s">
        <v>1113</v>
      </c>
      <c r="C517" s="102">
        <v>166450</v>
      </c>
      <c r="D517" s="102" t="s">
        <v>1779</v>
      </c>
      <c r="E517" s="102"/>
    </row>
    <row r="518" spans="1:5" x14ac:dyDescent="0.15">
      <c r="A518" s="102" t="s">
        <v>1780</v>
      </c>
      <c r="B518" s="102" t="s">
        <v>1122</v>
      </c>
      <c r="C518" s="102">
        <v>210075</v>
      </c>
      <c r="D518" s="102" t="s">
        <v>1780</v>
      </c>
      <c r="E518" s="102"/>
    </row>
    <row r="519" spans="1:5" x14ac:dyDescent="0.15">
      <c r="A519" s="102" t="s">
        <v>1781</v>
      </c>
      <c r="B519" s="102" t="s">
        <v>1104</v>
      </c>
      <c r="C519" s="102">
        <v>173041</v>
      </c>
      <c r="D519" s="102" t="s">
        <v>1781</v>
      </c>
      <c r="E519" s="102"/>
    </row>
    <row r="520" spans="1:5" x14ac:dyDescent="0.15">
      <c r="A520" s="102" t="s">
        <v>1782</v>
      </c>
      <c r="B520" s="102" t="s">
        <v>1113</v>
      </c>
      <c r="C520" s="102">
        <v>166445</v>
      </c>
      <c r="D520" s="102" t="s">
        <v>1782</v>
      </c>
      <c r="E520" s="102"/>
    </row>
    <row r="521" spans="1:5" x14ac:dyDescent="0.15">
      <c r="A521" s="102" t="s">
        <v>1783</v>
      </c>
      <c r="B521" s="102" t="s">
        <v>1104</v>
      </c>
      <c r="C521" s="102">
        <v>173194</v>
      </c>
      <c r="D521" s="102" t="s">
        <v>1783</v>
      </c>
      <c r="E521" s="102"/>
    </row>
    <row r="522" spans="1:5" x14ac:dyDescent="0.15">
      <c r="A522" s="102" t="s">
        <v>1784</v>
      </c>
      <c r="B522" s="102" t="s">
        <v>1122</v>
      </c>
      <c r="C522" s="102">
        <v>216543</v>
      </c>
      <c r="D522" s="102" t="s">
        <v>1784</v>
      </c>
      <c r="E522" s="102"/>
    </row>
    <row r="523" spans="1:5" x14ac:dyDescent="0.15">
      <c r="A523" s="102" t="s">
        <v>1785</v>
      </c>
      <c r="B523" s="102" t="s">
        <v>1107</v>
      </c>
      <c r="C523" s="102">
        <v>171156</v>
      </c>
      <c r="D523" s="102" t="s">
        <v>1785</v>
      </c>
      <c r="E523" s="102"/>
    </row>
    <row r="524" spans="1:5" x14ac:dyDescent="0.15">
      <c r="A524" s="102" t="s">
        <v>1786</v>
      </c>
      <c r="B524" s="102" t="s">
        <v>1113</v>
      </c>
      <c r="C524" s="102">
        <v>166442</v>
      </c>
      <c r="D524" s="102" t="s">
        <v>1786</v>
      </c>
      <c r="E524" s="102"/>
    </row>
    <row r="525" spans="1:5" x14ac:dyDescent="0.15">
      <c r="A525" s="102" t="s">
        <v>1787</v>
      </c>
      <c r="B525" s="102" t="s">
        <v>1113</v>
      </c>
      <c r="C525" s="102">
        <v>166440</v>
      </c>
      <c r="D525" s="102" t="s">
        <v>1787</v>
      </c>
      <c r="E525" s="102"/>
    </row>
    <row r="526" spans="1:5" x14ac:dyDescent="0.15">
      <c r="A526" s="102" t="s">
        <v>1788</v>
      </c>
      <c r="B526" s="102" t="s">
        <v>1104</v>
      </c>
      <c r="C526" s="102">
        <v>172894</v>
      </c>
      <c r="D526" s="102" t="s">
        <v>1788</v>
      </c>
      <c r="E526" s="102"/>
    </row>
    <row r="527" spans="1:5" x14ac:dyDescent="0.15">
      <c r="A527" s="102" t="s">
        <v>1789</v>
      </c>
      <c r="B527" s="102" t="s">
        <v>1113</v>
      </c>
      <c r="C527" s="102">
        <v>166438</v>
      </c>
      <c r="D527" s="102" t="s">
        <v>1789</v>
      </c>
      <c r="E527" s="102"/>
    </row>
    <row r="528" spans="1:5" x14ac:dyDescent="0.15">
      <c r="A528" s="102" t="s">
        <v>1790</v>
      </c>
      <c r="B528" s="102" t="s">
        <v>1104</v>
      </c>
      <c r="C528" s="102">
        <v>191305</v>
      </c>
      <c r="D528" s="102" t="s">
        <v>1790</v>
      </c>
      <c r="E528" s="102"/>
    </row>
    <row r="529" spans="1:5" x14ac:dyDescent="0.15">
      <c r="A529" s="102" t="s">
        <v>1791</v>
      </c>
      <c r="B529" s="102" t="s">
        <v>1113</v>
      </c>
      <c r="C529" s="102">
        <v>166437</v>
      </c>
      <c r="D529" s="102" t="s">
        <v>1792</v>
      </c>
      <c r="E529" s="102"/>
    </row>
    <row r="530" spans="1:5" x14ac:dyDescent="0.15">
      <c r="A530" s="102" t="s">
        <v>1793</v>
      </c>
      <c r="B530" s="102" t="s">
        <v>1113</v>
      </c>
      <c r="C530" s="102">
        <v>166436</v>
      </c>
      <c r="D530" s="102" t="s">
        <v>1794</v>
      </c>
      <c r="E530" s="102"/>
    </row>
    <row r="531" spans="1:5" x14ac:dyDescent="0.15">
      <c r="A531" s="102" t="s">
        <v>1795</v>
      </c>
      <c r="B531" s="102" t="s">
        <v>1113</v>
      </c>
      <c r="C531" s="102">
        <v>166431</v>
      </c>
      <c r="D531" s="102" t="s">
        <v>1795</v>
      </c>
      <c r="E531" s="102"/>
    </row>
    <row r="532" spans="1:5" x14ac:dyDescent="0.15">
      <c r="A532" s="102" t="s">
        <v>1796</v>
      </c>
      <c r="B532" s="102" t="s">
        <v>1101</v>
      </c>
      <c r="C532" s="102">
        <v>172783</v>
      </c>
      <c r="D532" s="102" t="s">
        <v>1796</v>
      </c>
      <c r="E532" s="102"/>
    </row>
    <row r="533" spans="1:5" x14ac:dyDescent="0.15">
      <c r="A533" s="102" t="s">
        <v>1797</v>
      </c>
      <c r="B533" s="102" t="s">
        <v>1113</v>
      </c>
      <c r="C533" s="102">
        <v>166430</v>
      </c>
      <c r="D533" s="102" t="s">
        <v>1797</v>
      </c>
      <c r="E533" s="102"/>
    </row>
    <row r="534" spans="1:5" x14ac:dyDescent="0.15">
      <c r="A534" s="102" t="s">
        <v>1798</v>
      </c>
      <c r="B534" s="102" t="s">
        <v>1104</v>
      </c>
      <c r="C534" s="102">
        <v>172683</v>
      </c>
      <c r="D534" s="102" t="s">
        <v>1798</v>
      </c>
      <c r="E534" s="102"/>
    </row>
    <row r="535" spans="1:5" x14ac:dyDescent="0.15">
      <c r="A535" s="102" t="s">
        <v>1799</v>
      </c>
      <c r="B535" s="102" t="s">
        <v>1113</v>
      </c>
      <c r="C535" s="102">
        <v>166428</v>
      </c>
      <c r="D535" s="102" t="s">
        <v>1799</v>
      </c>
      <c r="E535" s="102"/>
    </row>
    <row r="536" spans="1:5" x14ac:dyDescent="0.15">
      <c r="A536" s="102" t="s">
        <v>1800</v>
      </c>
      <c r="B536" s="102" t="s">
        <v>1107</v>
      </c>
      <c r="C536" s="102">
        <v>166628</v>
      </c>
      <c r="D536" s="102" t="s">
        <v>1800</v>
      </c>
      <c r="E536" s="102"/>
    </row>
    <row r="537" spans="1:5" x14ac:dyDescent="0.15">
      <c r="A537" s="102" t="s">
        <v>1801</v>
      </c>
      <c r="B537" s="102" t="s">
        <v>1104</v>
      </c>
      <c r="C537" s="102">
        <v>172730</v>
      </c>
      <c r="D537" s="102" t="s">
        <v>1802</v>
      </c>
      <c r="E537" s="102"/>
    </row>
    <row r="538" spans="1:5" x14ac:dyDescent="0.15">
      <c r="A538" s="102" t="s">
        <v>1803</v>
      </c>
      <c r="B538" s="102" t="s">
        <v>1101</v>
      </c>
      <c r="C538" s="102">
        <v>166425</v>
      </c>
      <c r="D538" s="102" t="s">
        <v>1804</v>
      </c>
      <c r="E538" s="102"/>
    </row>
    <row r="539" spans="1:5" x14ac:dyDescent="0.15">
      <c r="A539" s="102" t="s">
        <v>1805</v>
      </c>
      <c r="B539" s="102" t="s">
        <v>1122</v>
      </c>
      <c r="C539" s="102">
        <v>228511</v>
      </c>
      <c r="D539" s="102" t="s">
        <v>1805</v>
      </c>
      <c r="E539" s="102"/>
    </row>
    <row r="540" spans="1:5" x14ac:dyDescent="0.15">
      <c r="A540" s="102" t="s">
        <v>1806</v>
      </c>
      <c r="B540" s="102" t="s">
        <v>1122</v>
      </c>
      <c r="C540" s="102">
        <v>207151</v>
      </c>
      <c r="D540" s="102" t="s">
        <v>1806</v>
      </c>
      <c r="E540" s="102"/>
    </row>
    <row r="541" spans="1:5" x14ac:dyDescent="0.15">
      <c r="A541" s="102" t="s">
        <v>1807</v>
      </c>
      <c r="B541" s="102" t="s">
        <v>1113</v>
      </c>
      <c r="C541" s="102">
        <v>166414</v>
      </c>
      <c r="D541" s="102" t="s">
        <v>1807</v>
      </c>
      <c r="E541" s="102"/>
    </row>
    <row r="542" spans="1:5" x14ac:dyDescent="0.15">
      <c r="A542" s="102" t="s">
        <v>1808</v>
      </c>
      <c r="B542" s="102" t="s">
        <v>1122</v>
      </c>
      <c r="C542" s="102">
        <v>230397</v>
      </c>
      <c r="D542" s="102" t="s">
        <v>1808</v>
      </c>
      <c r="E542" s="102"/>
    </row>
    <row r="543" spans="1:5" x14ac:dyDescent="0.15">
      <c r="A543" s="102" t="s">
        <v>1809</v>
      </c>
      <c r="B543" s="102" t="s">
        <v>1113</v>
      </c>
      <c r="C543" s="102">
        <v>166405</v>
      </c>
      <c r="D543" s="102" t="s">
        <v>1809</v>
      </c>
      <c r="E543" s="102"/>
    </row>
    <row r="544" spans="1:5" x14ac:dyDescent="0.15">
      <c r="A544" s="102" t="s">
        <v>1810</v>
      </c>
      <c r="B544" s="102" t="s">
        <v>1811</v>
      </c>
      <c r="C544" s="102">
        <v>245624</v>
      </c>
      <c r="D544" s="102" t="s">
        <v>1810</v>
      </c>
      <c r="E544" s="102"/>
    </row>
    <row r="545" spans="1:5" x14ac:dyDescent="0.15">
      <c r="A545" s="102" t="s">
        <v>1812</v>
      </c>
      <c r="B545" s="102" t="s">
        <v>1113</v>
      </c>
      <c r="C545" s="102">
        <v>166402</v>
      </c>
      <c r="D545" s="102" t="s">
        <v>1812</v>
      </c>
      <c r="E545" s="102"/>
    </row>
    <row r="546" spans="1:5" x14ac:dyDescent="0.15">
      <c r="A546" s="102" t="s">
        <v>1813</v>
      </c>
      <c r="B546" s="102" t="s">
        <v>1113</v>
      </c>
      <c r="C546" s="102">
        <v>166398</v>
      </c>
      <c r="D546" s="102" t="s">
        <v>1813</v>
      </c>
      <c r="E546" s="102"/>
    </row>
    <row r="547" spans="1:5" x14ac:dyDescent="0.15">
      <c r="A547" s="102" t="s">
        <v>1814</v>
      </c>
      <c r="B547" s="102" t="s">
        <v>1815</v>
      </c>
      <c r="C547" s="102">
        <v>244635</v>
      </c>
      <c r="D547" s="102" t="s">
        <v>1814</v>
      </c>
      <c r="E547" s="102"/>
    </row>
    <row r="548" spans="1:5" x14ac:dyDescent="0.15">
      <c r="A548" s="102" t="s">
        <v>1814</v>
      </c>
      <c r="B548" s="102" t="s">
        <v>1816</v>
      </c>
      <c r="C548" s="102">
        <v>248257</v>
      </c>
      <c r="D548" s="102" t="s">
        <v>1814</v>
      </c>
      <c r="E548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4"/>
  <dimension ref="A1:E1282"/>
  <sheetViews>
    <sheetView workbookViewId="0">
      <selection activeCell="A47" sqref="A47"/>
    </sheetView>
  </sheetViews>
  <sheetFormatPr baseColWidth="10" defaultColWidth="11" defaultRowHeight="13" x14ac:dyDescent="0.15"/>
  <cols>
    <col min="1" max="1" width="88" bestFit="1" customWidth="1"/>
    <col min="2" max="2" width="25.5" bestFit="1" customWidth="1"/>
    <col min="3" max="3" width="6.83203125" bestFit="1" customWidth="1"/>
    <col min="4" max="4" width="88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1100</v>
      </c>
      <c r="B2" s="102" t="s">
        <v>1101</v>
      </c>
      <c r="C2" s="102">
        <v>166571</v>
      </c>
      <c r="D2" s="102" t="s">
        <v>1102</v>
      </c>
      <c r="E2" s="102"/>
    </row>
    <row r="3" spans="1:5" x14ac:dyDescent="0.15">
      <c r="A3" s="102" t="s">
        <v>1103</v>
      </c>
      <c r="B3" s="102" t="s">
        <v>1104</v>
      </c>
      <c r="C3" s="102">
        <v>172585</v>
      </c>
      <c r="D3" s="102" t="s">
        <v>1105</v>
      </c>
      <c r="E3" s="102"/>
    </row>
    <row r="4" spans="1:5" x14ac:dyDescent="0.15">
      <c r="A4" s="102" t="s">
        <v>1106</v>
      </c>
      <c r="B4" s="102" t="s">
        <v>1107</v>
      </c>
      <c r="C4" s="102">
        <v>171139</v>
      </c>
      <c r="D4" s="102" t="s">
        <v>1108</v>
      </c>
      <c r="E4" s="102"/>
    </row>
    <row r="5" spans="1:5" x14ac:dyDescent="0.15">
      <c r="A5" s="102" t="s">
        <v>1109</v>
      </c>
      <c r="B5" s="102" t="s">
        <v>1104</v>
      </c>
      <c r="C5" s="102">
        <v>171771</v>
      </c>
      <c r="D5" s="102" t="s">
        <v>1110</v>
      </c>
      <c r="E5" s="102"/>
    </row>
    <row r="6" spans="1:5" x14ac:dyDescent="0.15">
      <c r="A6" s="102" t="s">
        <v>1817</v>
      </c>
      <c r="B6" s="102" t="s">
        <v>1818</v>
      </c>
      <c r="C6" s="102">
        <v>232350</v>
      </c>
      <c r="D6" s="102" t="s">
        <v>1819</v>
      </c>
      <c r="E6" s="102"/>
    </row>
    <row r="7" spans="1:5" x14ac:dyDescent="0.15">
      <c r="A7" s="102" t="s">
        <v>1111</v>
      </c>
      <c r="B7" s="102" t="s">
        <v>1107</v>
      </c>
      <c r="C7" s="102">
        <v>166642</v>
      </c>
      <c r="D7" s="102" t="s">
        <v>1111</v>
      </c>
      <c r="E7" s="102"/>
    </row>
    <row r="8" spans="1:5" x14ac:dyDescent="0.15">
      <c r="A8" s="102" t="s">
        <v>1112</v>
      </c>
      <c r="B8" s="102" t="s">
        <v>1113</v>
      </c>
      <c r="C8" s="102">
        <v>166448</v>
      </c>
      <c r="D8" s="102" t="s">
        <v>1112</v>
      </c>
      <c r="E8" s="102"/>
    </row>
    <row r="9" spans="1:5" x14ac:dyDescent="0.15">
      <c r="A9" s="102" t="s">
        <v>1114</v>
      </c>
      <c r="B9" s="102" t="s">
        <v>1107</v>
      </c>
      <c r="C9" s="102">
        <v>166723</v>
      </c>
      <c r="D9" s="102" t="s">
        <v>1114</v>
      </c>
      <c r="E9" s="102"/>
    </row>
    <row r="10" spans="1:5" x14ac:dyDescent="0.15">
      <c r="A10" s="102" t="s">
        <v>1115</v>
      </c>
      <c r="B10" s="102" t="s">
        <v>1107</v>
      </c>
      <c r="C10" s="102">
        <v>166469</v>
      </c>
      <c r="D10" s="102" t="s">
        <v>1115</v>
      </c>
      <c r="E10" s="102"/>
    </row>
    <row r="11" spans="1:5" x14ac:dyDescent="0.15">
      <c r="A11" s="102" t="s">
        <v>1820</v>
      </c>
      <c r="B11" s="102" t="s">
        <v>1821</v>
      </c>
      <c r="C11" s="102">
        <v>228642</v>
      </c>
      <c r="D11" s="102" t="s">
        <v>1820</v>
      </c>
      <c r="E11" s="102"/>
    </row>
    <row r="12" spans="1:5" x14ac:dyDescent="0.15">
      <c r="A12" s="102" t="s">
        <v>1822</v>
      </c>
      <c r="B12" s="102" t="s">
        <v>1823</v>
      </c>
      <c r="C12" s="102">
        <v>101120</v>
      </c>
      <c r="D12" s="102" t="s">
        <v>1822</v>
      </c>
      <c r="E12" s="102"/>
    </row>
    <row r="13" spans="1:5" x14ac:dyDescent="0.15">
      <c r="A13" s="102" t="s">
        <v>1116</v>
      </c>
      <c r="B13" s="102" t="s">
        <v>1104</v>
      </c>
      <c r="C13" s="102">
        <v>186465</v>
      </c>
      <c r="D13" s="102" t="s">
        <v>1116</v>
      </c>
      <c r="E13" s="102"/>
    </row>
    <row r="14" spans="1:5" x14ac:dyDescent="0.15">
      <c r="A14" s="102" t="s">
        <v>1824</v>
      </c>
      <c r="B14" s="102" t="s">
        <v>1825</v>
      </c>
      <c r="C14" s="102">
        <v>172630</v>
      </c>
      <c r="D14" s="102" t="s">
        <v>1824</v>
      </c>
      <c r="E14" s="102"/>
    </row>
    <row r="15" spans="1:5" x14ac:dyDescent="0.15">
      <c r="A15" s="102" t="s">
        <v>1826</v>
      </c>
      <c r="B15" s="102" t="s">
        <v>1827</v>
      </c>
      <c r="C15" s="102">
        <v>181045</v>
      </c>
      <c r="D15" s="102" t="s">
        <v>1826</v>
      </c>
      <c r="E15" s="102"/>
    </row>
    <row r="16" spans="1:5" x14ac:dyDescent="0.15">
      <c r="A16" s="102" t="s">
        <v>1117</v>
      </c>
      <c r="B16" s="102" t="s">
        <v>1118</v>
      </c>
      <c r="C16" s="102">
        <v>245870</v>
      </c>
      <c r="D16" s="102" t="s">
        <v>1117</v>
      </c>
      <c r="E16" s="102"/>
    </row>
    <row r="17" spans="1:5" x14ac:dyDescent="0.15">
      <c r="A17" s="102" t="s">
        <v>1828</v>
      </c>
      <c r="B17" s="102" t="s">
        <v>1823</v>
      </c>
      <c r="C17" s="102">
        <v>121133</v>
      </c>
      <c r="D17" s="102" t="s">
        <v>1829</v>
      </c>
      <c r="E17" s="102"/>
    </row>
    <row r="18" spans="1:5" x14ac:dyDescent="0.15">
      <c r="A18" s="102" t="s">
        <v>1830</v>
      </c>
      <c r="B18" s="102" t="s">
        <v>1831</v>
      </c>
      <c r="C18" s="102">
        <v>225767</v>
      </c>
      <c r="D18" s="102" t="s">
        <v>1830</v>
      </c>
      <c r="E18" s="102"/>
    </row>
    <row r="19" spans="1:5" x14ac:dyDescent="0.15">
      <c r="A19" s="102" t="s">
        <v>1832</v>
      </c>
      <c r="B19" s="102" t="s">
        <v>1825</v>
      </c>
      <c r="C19" s="102">
        <v>202816</v>
      </c>
      <c r="D19" s="102" t="s">
        <v>1832</v>
      </c>
      <c r="E19" s="102"/>
    </row>
    <row r="20" spans="1:5" x14ac:dyDescent="0.15">
      <c r="A20" s="102" t="s">
        <v>1833</v>
      </c>
      <c r="B20" s="102" t="s">
        <v>1834</v>
      </c>
      <c r="C20" s="102">
        <v>233806</v>
      </c>
      <c r="D20" s="102" t="s">
        <v>1833</v>
      </c>
      <c r="E20" s="102"/>
    </row>
    <row r="21" spans="1:5" x14ac:dyDescent="0.15">
      <c r="A21" s="102" t="s">
        <v>1119</v>
      </c>
      <c r="B21" s="102" t="s">
        <v>1113</v>
      </c>
      <c r="C21" s="102">
        <v>166417</v>
      </c>
      <c r="D21" s="102" t="s">
        <v>1119</v>
      </c>
      <c r="E21" s="102"/>
    </row>
    <row r="22" spans="1:5" x14ac:dyDescent="0.15">
      <c r="A22" s="102" t="s">
        <v>1835</v>
      </c>
      <c r="B22" s="102" t="s">
        <v>1836</v>
      </c>
      <c r="C22" s="102">
        <v>232346</v>
      </c>
      <c r="D22" s="102" t="s">
        <v>1835</v>
      </c>
      <c r="E22" s="102"/>
    </row>
    <row r="23" spans="1:5" x14ac:dyDescent="0.15">
      <c r="A23" s="102" t="s">
        <v>1837</v>
      </c>
      <c r="B23" s="102" t="s">
        <v>1838</v>
      </c>
      <c r="C23" s="102">
        <v>228143</v>
      </c>
      <c r="D23" s="102" t="s">
        <v>1837</v>
      </c>
      <c r="E23" s="102"/>
    </row>
    <row r="24" spans="1:5" x14ac:dyDescent="0.15">
      <c r="A24" s="102" t="s">
        <v>1120</v>
      </c>
      <c r="B24" s="102" t="s">
        <v>1104</v>
      </c>
      <c r="C24" s="102">
        <v>181938</v>
      </c>
      <c r="D24" s="102" t="s">
        <v>1120</v>
      </c>
      <c r="E24" s="102"/>
    </row>
    <row r="25" spans="1:5" x14ac:dyDescent="0.15">
      <c r="A25" s="102" t="s">
        <v>1121</v>
      </c>
      <c r="B25" s="102" t="s">
        <v>1122</v>
      </c>
      <c r="C25" s="102">
        <v>235232</v>
      </c>
      <c r="D25" s="102" t="s">
        <v>1121</v>
      </c>
      <c r="E25" s="102"/>
    </row>
    <row r="26" spans="1:5" x14ac:dyDescent="0.15">
      <c r="A26" s="102" t="s">
        <v>1123</v>
      </c>
      <c r="B26" s="102" t="s">
        <v>1104</v>
      </c>
      <c r="C26" s="102">
        <v>172791</v>
      </c>
      <c r="D26" s="102" t="s">
        <v>1123</v>
      </c>
      <c r="E26" s="102"/>
    </row>
    <row r="27" spans="1:5" x14ac:dyDescent="0.15">
      <c r="A27" s="102" t="s">
        <v>1124</v>
      </c>
      <c r="B27" s="102" t="s">
        <v>1101</v>
      </c>
      <c r="C27" s="102">
        <v>166432</v>
      </c>
      <c r="D27" s="102" t="s">
        <v>1124</v>
      </c>
      <c r="E27" s="102"/>
    </row>
    <row r="28" spans="1:5" x14ac:dyDescent="0.15">
      <c r="A28" s="102" t="s">
        <v>1839</v>
      </c>
      <c r="B28" s="102" t="s">
        <v>1825</v>
      </c>
      <c r="C28" s="102">
        <v>202452</v>
      </c>
      <c r="D28" s="102" t="s">
        <v>1839</v>
      </c>
      <c r="E28" s="102"/>
    </row>
    <row r="29" spans="1:5" x14ac:dyDescent="0.15">
      <c r="A29" s="102" t="s">
        <v>1125</v>
      </c>
      <c r="B29" s="102" t="s">
        <v>1126</v>
      </c>
      <c r="C29" s="102">
        <v>247813</v>
      </c>
      <c r="D29" s="102" t="s">
        <v>1125</v>
      </c>
      <c r="E29" s="102"/>
    </row>
    <row r="30" spans="1:5" x14ac:dyDescent="0.15">
      <c r="A30" s="102" t="s">
        <v>1840</v>
      </c>
      <c r="B30" s="102" t="s">
        <v>1841</v>
      </c>
      <c r="C30" s="102">
        <v>217293</v>
      </c>
      <c r="D30" s="102" t="s">
        <v>1840</v>
      </c>
      <c r="E30" s="102"/>
    </row>
    <row r="31" spans="1:5" x14ac:dyDescent="0.15">
      <c r="A31" s="102" t="s">
        <v>1127</v>
      </c>
      <c r="B31" s="102" t="s">
        <v>1113</v>
      </c>
      <c r="C31" s="102">
        <v>166439</v>
      </c>
      <c r="D31" s="102" t="s">
        <v>1127</v>
      </c>
      <c r="E31" s="102"/>
    </row>
    <row r="32" spans="1:5" x14ac:dyDescent="0.15">
      <c r="A32" s="102" t="s">
        <v>1842</v>
      </c>
      <c r="B32" s="102" t="s">
        <v>1825</v>
      </c>
      <c r="C32" s="102">
        <v>178158</v>
      </c>
      <c r="D32" s="102" t="s">
        <v>1843</v>
      </c>
      <c r="E32" s="102"/>
    </row>
    <row r="33" spans="1:5" x14ac:dyDescent="0.15">
      <c r="A33" s="102" t="s">
        <v>1844</v>
      </c>
      <c r="B33" s="102" t="s">
        <v>1825</v>
      </c>
      <c r="C33" s="102">
        <v>178924</v>
      </c>
      <c r="D33" s="102" t="s">
        <v>1844</v>
      </c>
      <c r="E33" s="102"/>
    </row>
    <row r="34" spans="1:5" x14ac:dyDescent="0.15">
      <c r="A34" s="102" t="s">
        <v>1845</v>
      </c>
      <c r="B34" s="102" t="s">
        <v>1825</v>
      </c>
      <c r="C34" s="102">
        <v>202450</v>
      </c>
      <c r="D34" s="102" t="s">
        <v>1845</v>
      </c>
      <c r="E34" s="102"/>
    </row>
    <row r="35" spans="1:5" x14ac:dyDescent="0.15">
      <c r="A35" s="102" t="s">
        <v>1128</v>
      </c>
      <c r="B35" s="102" t="s">
        <v>1113</v>
      </c>
      <c r="C35" s="102">
        <v>166449</v>
      </c>
      <c r="D35" s="102" t="s">
        <v>1128</v>
      </c>
      <c r="E35" s="102"/>
    </row>
    <row r="36" spans="1:5" x14ac:dyDescent="0.15">
      <c r="A36" s="102" t="s">
        <v>1129</v>
      </c>
      <c r="B36" s="102" t="s">
        <v>1113</v>
      </c>
      <c r="C36" s="102">
        <v>166181</v>
      </c>
      <c r="D36" s="102" t="s">
        <v>1129</v>
      </c>
      <c r="E36" s="102"/>
    </row>
    <row r="37" spans="1:5" x14ac:dyDescent="0.15">
      <c r="A37" s="102" t="s">
        <v>1846</v>
      </c>
      <c r="B37" s="102" t="s">
        <v>1847</v>
      </c>
      <c r="C37" s="102">
        <v>247607</v>
      </c>
      <c r="D37" s="102" t="s">
        <v>1846</v>
      </c>
      <c r="E37" s="102"/>
    </row>
    <row r="38" spans="1:5" x14ac:dyDescent="0.15">
      <c r="A38" s="102" t="s">
        <v>1848</v>
      </c>
      <c r="B38" s="102" t="s">
        <v>1849</v>
      </c>
      <c r="C38" s="102">
        <v>244138</v>
      </c>
      <c r="D38" s="102" t="s">
        <v>1848</v>
      </c>
      <c r="E38" s="102"/>
    </row>
    <row r="39" spans="1:5" x14ac:dyDescent="0.15">
      <c r="A39" s="102" t="s">
        <v>1130</v>
      </c>
      <c r="B39" s="102" t="s">
        <v>1131</v>
      </c>
      <c r="C39" s="102">
        <v>166453</v>
      </c>
      <c r="D39" s="102" t="s">
        <v>1130</v>
      </c>
      <c r="E39" s="102"/>
    </row>
    <row r="40" spans="1:5" x14ac:dyDescent="0.15">
      <c r="A40" s="102" t="s">
        <v>1132</v>
      </c>
      <c r="B40" s="102" t="s">
        <v>1107</v>
      </c>
      <c r="C40" s="102">
        <v>166455</v>
      </c>
      <c r="D40" s="102" t="s">
        <v>1132</v>
      </c>
      <c r="E40" s="102"/>
    </row>
    <row r="41" spans="1:5" x14ac:dyDescent="0.15">
      <c r="A41" s="102" t="s">
        <v>1850</v>
      </c>
      <c r="B41" s="102" t="s">
        <v>1825</v>
      </c>
      <c r="C41" s="102">
        <v>192374</v>
      </c>
      <c r="D41" s="102" t="s">
        <v>1850</v>
      </c>
      <c r="E41" s="102"/>
    </row>
    <row r="42" spans="1:5" x14ac:dyDescent="0.15">
      <c r="A42" s="102" t="s">
        <v>1851</v>
      </c>
      <c r="B42" s="102" t="s">
        <v>1852</v>
      </c>
      <c r="C42" s="102">
        <v>230176</v>
      </c>
      <c r="D42" s="102" t="s">
        <v>1851</v>
      </c>
      <c r="E42" s="102"/>
    </row>
    <row r="43" spans="1:5" x14ac:dyDescent="0.15">
      <c r="A43" s="102" t="s">
        <v>1853</v>
      </c>
      <c r="B43" s="102" t="s">
        <v>1823</v>
      </c>
      <c r="C43" s="102">
        <v>121313</v>
      </c>
      <c r="D43" s="102" t="s">
        <v>1853</v>
      </c>
      <c r="E43" s="102"/>
    </row>
    <row r="44" spans="1:5" x14ac:dyDescent="0.15">
      <c r="A44" s="102" t="s">
        <v>1133</v>
      </c>
      <c r="B44" s="102" t="s">
        <v>1134</v>
      </c>
      <c r="C44" s="102">
        <v>166183</v>
      </c>
      <c r="D44" s="102" t="s">
        <v>1133</v>
      </c>
      <c r="E44" s="102"/>
    </row>
    <row r="45" spans="1:5" x14ac:dyDescent="0.15">
      <c r="A45" s="102" t="s">
        <v>1135</v>
      </c>
      <c r="B45" s="102" t="s">
        <v>1107</v>
      </c>
      <c r="C45" s="102">
        <v>166456</v>
      </c>
      <c r="D45" s="102" t="s">
        <v>1135</v>
      </c>
      <c r="E45" s="102"/>
    </row>
    <row r="46" spans="1:5" x14ac:dyDescent="0.15">
      <c r="A46" s="102" t="s">
        <v>1136</v>
      </c>
      <c r="B46" s="102" t="s">
        <v>1137</v>
      </c>
      <c r="C46" s="102">
        <v>243404</v>
      </c>
      <c r="D46" s="102" t="s">
        <v>1136</v>
      </c>
      <c r="E46" s="102"/>
    </row>
    <row r="47" spans="1:5" x14ac:dyDescent="0.15">
      <c r="A47" s="102" t="s">
        <v>1138</v>
      </c>
      <c r="B47" s="102" t="s">
        <v>1107</v>
      </c>
      <c r="C47" s="102">
        <v>166461</v>
      </c>
      <c r="D47" s="102" t="s">
        <v>1138</v>
      </c>
      <c r="E47" s="102"/>
    </row>
    <row r="48" spans="1:5" x14ac:dyDescent="0.15">
      <c r="A48" s="102" t="s">
        <v>1854</v>
      </c>
      <c r="B48" s="102" t="s">
        <v>1855</v>
      </c>
      <c r="C48" s="102">
        <v>247732</v>
      </c>
      <c r="D48" s="102" t="s">
        <v>1854</v>
      </c>
      <c r="E48" s="102"/>
    </row>
    <row r="49" spans="1:5" x14ac:dyDescent="0.15">
      <c r="A49" s="102" t="s">
        <v>1856</v>
      </c>
      <c r="B49" s="102" t="s">
        <v>1857</v>
      </c>
      <c r="C49" s="102">
        <v>232353</v>
      </c>
      <c r="D49" s="102" t="s">
        <v>1856</v>
      </c>
      <c r="E49" s="102"/>
    </row>
    <row r="50" spans="1:5" x14ac:dyDescent="0.15">
      <c r="A50" s="102" t="s">
        <v>1858</v>
      </c>
      <c r="B50" s="102" t="s">
        <v>1859</v>
      </c>
      <c r="C50" s="102">
        <v>233200</v>
      </c>
      <c r="D50" s="102" t="s">
        <v>1858</v>
      </c>
      <c r="E50" s="102"/>
    </row>
    <row r="51" spans="1:5" x14ac:dyDescent="0.15">
      <c r="A51" s="102" t="s">
        <v>1139</v>
      </c>
      <c r="B51" s="102" t="s">
        <v>1122</v>
      </c>
      <c r="C51" s="102">
        <v>233552</v>
      </c>
      <c r="D51" s="102" t="s">
        <v>1139</v>
      </c>
      <c r="E51" s="102"/>
    </row>
    <row r="52" spans="1:5" x14ac:dyDescent="0.15">
      <c r="A52" s="102" t="s">
        <v>1140</v>
      </c>
      <c r="B52" s="102" t="s">
        <v>1122</v>
      </c>
      <c r="C52" s="102">
        <v>219365</v>
      </c>
      <c r="D52" s="102" t="s">
        <v>1140</v>
      </c>
      <c r="E52" s="102"/>
    </row>
    <row r="53" spans="1:5" x14ac:dyDescent="0.15">
      <c r="A53" s="102" t="s">
        <v>1141</v>
      </c>
      <c r="B53" s="102" t="s">
        <v>1104</v>
      </c>
      <c r="C53" s="102">
        <v>172681</v>
      </c>
      <c r="D53" s="102" t="s">
        <v>1141</v>
      </c>
      <c r="E53" s="102"/>
    </row>
    <row r="54" spans="1:5" x14ac:dyDescent="0.15">
      <c r="A54" s="102" t="s">
        <v>1142</v>
      </c>
      <c r="B54" s="102" t="s">
        <v>1143</v>
      </c>
      <c r="C54" s="102">
        <v>247618</v>
      </c>
      <c r="D54" s="102" t="s">
        <v>1142</v>
      </c>
      <c r="E54" s="102"/>
    </row>
    <row r="55" spans="1:5" x14ac:dyDescent="0.15">
      <c r="A55" s="102" t="s">
        <v>1860</v>
      </c>
      <c r="B55" s="102" t="s">
        <v>1823</v>
      </c>
      <c r="C55" s="102">
        <v>103267</v>
      </c>
      <c r="D55" s="102" t="s">
        <v>1860</v>
      </c>
      <c r="E55" s="102"/>
    </row>
    <row r="56" spans="1:5" x14ac:dyDescent="0.15">
      <c r="A56" s="102" t="s">
        <v>1861</v>
      </c>
      <c r="B56" s="102" t="s">
        <v>1823</v>
      </c>
      <c r="C56" s="102">
        <v>112302</v>
      </c>
      <c r="D56" s="102" t="s">
        <v>1862</v>
      </c>
      <c r="E56" s="102"/>
    </row>
    <row r="57" spans="1:5" x14ac:dyDescent="0.15">
      <c r="A57" s="102" t="s">
        <v>1144</v>
      </c>
      <c r="B57" s="102" t="s">
        <v>1122</v>
      </c>
      <c r="C57" s="102">
        <v>230398</v>
      </c>
      <c r="D57" s="102" t="s">
        <v>1144</v>
      </c>
      <c r="E57" s="102"/>
    </row>
    <row r="58" spans="1:5" x14ac:dyDescent="0.15">
      <c r="A58" s="102" t="s">
        <v>1863</v>
      </c>
      <c r="B58" s="102" t="s">
        <v>1864</v>
      </c>
      <c r="C58" s="102">
        <v>224067</v>
      </c>
      <c r="D58" s="102" t="s">
        <v>1863</v>
      </c>
      <c r="E58" s="102"/>
    </row>
    <row r="59" spans="1:5" x14ac:dyDescent="0.15">
      <c r="A59" s="102" t="s">
        <v>1145</v>
      </c>
      <c r="B59" s="102" t="s">
        <v>1104</v>
      </c>
      <c r="C59" s="102">
        <v>172904</v>
      </c>
      <c r="D59" s="102" t="s">
        <v>1145</v>
      </c>
      <c r="E59" s="102"/>
    </row>
    <row r="60" spans="1:5" x14ac:dyDescent="0.15">
      <c r="A60" s="102" t="s">
        <v>1146</v>
      </c>
      <c r="B60" s="102" t="s">
        <v>1107</v>
      </c>
      <c r="C60" s="102">
        <v>166474</v>
      </c>
      <c r="D60" s="102" t="s">
        <v>1146</v>
      </c>
      <c r="E60" s="102"/>
    </row>
    <row r="61" spans="1:5" x14ac:dyDescent="0.15">
      <c r="A61" s="102" t="s">
        <v>1147</v>
      </c>
      <c r="B61" s="102" t="s">
        <v>1107</v>
      </c>
      <c r="C61" s="102">
        <v>166476</v>
      </c>
      <c r="D61" s="102" t="s">
        <v>1147</v>
      </c>
      <c r="E61" s="102"/>
    </row>
    <row r="62" spans="1:5" x14ac:dyDescent="0.15">
      <c r="A62" s="102" t="s">
        <v>1865</v>
      </c>
      <c r="B62" s="102" t="s">
        <v>1866</v>
      </c>
      <c r="C62" s="102">
        <v>246929</v>
      </c>
      <c r="D62" s="102" t="s">
        <v>1865</v>
      </c>
      <c r="E62" s="102"/>
    </row>
    <row r="63" spans="1:5" x14ac:dyDescent="0.15">
      <c r="A63" s="102" t="s">
        <v>1148</v>
      </c>
      <c r="B63" s="102" t="s">
        <v>1104</v>
      </c>
      <c r="C63" s="102">
        <v>172892</v>
      </c>
      <c r="D63" s="102" t="s">
        <v>1148</v>
      </c>
      <c r="E63" s="102"/>
    </row>
    <row r="64" spans="1:5" x14ac:dyDescent="0.15">
      <c r="A64" s="102" t="s">
        <v>1149</v>
      </c>
      <c r="B64" s="102" t="s">
        <v>1150</v>
      </c>
      <c r="C64" s="102">
        <v>248768</v>
      </c>
      <c r="D64" s="102" t="s">
        <v>1149</v>
      </c>
      <c r="E64" s="102"/>
    </row>
    <row r="65" spans="1:5" x14ac:dyDescent="0.15">
      <c r="A65" s="102" t="s">
        <v>1151</v>
      </c>
      <c r="B65" s="102" t="s">
        <v>1107</v>
      </c>
      <c r="C65" s="102">
        <v>166511</v>
      </c>
      <c r="D65" s="102" t="s">
        <v>1151</v>
      </c>
      <c r="E65" s="102"/>
    </row>
    <row r="66" spans="1:5" x14ac:dyDescent="0.15">
      <c r="A66" s="102" t="s">
        <v>1152</v>
      </c>
      <c r="B66" s="102" t="s">
        <v>1107</v>
      </c>
      <c r="C66" s="102">
        <v>166480</v>
      </c>
      <c r="D66" s="102" t="s">
        <v>1152</v>
      </c>
      <c r="E66" s="102"/>
    </row>
    <row r="67" spans="1:5" x14ac:dyDescent="0.15">
      <c r="A67" s="102" t="s">
        <v>1153</v>
      </c>
      <c r="B67" s="102" t="s">
        <v>1107</v>
      </c>
      <c r="C67" s="102">
        <v>166482</v>
      </c>
      <c r="D67" s="102" t="s">
        <v>1153</v>
      </c>
      <c r="E67" s="102"/>
    </row>
    <row r="68" spans="1:5" x14ac:dyDescent="0.15">
      <c r="A68" s="102" t="s">
        <v>1154</v>
      </c>
      <c r="B68" s="102" t="s">
        <v>1101</v>
      </c>
      <c r="C68" s="102">
        <v>210153</v>
      </c>
      <c r="D68" s="102" t="s">
        <v>1154</v>
      </c>
      <c r="E68" s="102"/>
    </row>
    <row r="69" spans="1:5" x14ac:dyDescent="0.15">
      <c r="A69" s="102" t="s">
        <v>1155</v>
      </c>
      <c r="B69" s="102" t="s">
        <v>1107</v>
      </c>
      <c r="C69" s="102">
        <v>166483</v>
      </c>
      <c r="D69" s="102" t="s">
        <v>1155</v>
      </c>
      <c r="E69" s="102"/>
    </row>
    <row r="70" spans="1:5" x14ac:dyDescent="0.15">
      <c r="A70" s="102" t="s">
        <v>1156</v>
      </c>
      <c r="B70" s="102" t="s">
        <v>1104</v>
      </c>
      <c r="C70" s="102">
        <v>172880</v>
      </c>
      <c r="D70" s="102" t="s">
        <v>1156</v>
      </c>
      <c r="E70" s="102"/>
    </row>
    <row r="71" spans="1:5" x14ac:dyDescent="0.15">
      <c r="A71" s="102" t="s">
        <v>1157</v>
      </c>
      <c r="B71" s="102" t="s">
        <v>1107</v>
      </c>
      <c r="C71" s="102">
        <v>166486</v>
      </c>
      <c r="D71" s="102" t="s">
        <v>1157</v>
      </c>
      <c r="E71" s="102"/>
    </row>
    <row r="72" spans="1:5" x14ac:dyDescent="0.15">
      <c r="A72" s="102" t="s">
        <v>1158</v>
      </c>
      <c r="B72" s="102" t="s">
        <v>1159</v>
      </c>
      <c r="C72" s="102">
        <v>245661</v>
      </c>
      <c r="D72" s="102" t="s">
        <v>1158</v>
      </c>
      <c r="E72" s="102"/>
    </row>
    <row r="73" spans="1:5" x14ac:dyDescent="0.15">
      <c r="A73" s="102" t="s">
        <v>1160</v>
      </c>
      <c r="B73" s="102" t="s">
        <v>1107</v>
      </c>
      <c r="C73" s="102">
        <v>166487</v>
      </c>
      <c r="D73" s="102" t="s">
        <v>1160</v>
      </c>
      <c r="E73" s="102"/>
    </row>
    <row r="74" spans="1:5" x14ac:dyDescent="0.15">
      <c r="A74" s="102" t="s">
        <v>1161</v>
      </c>
      <c r="B74" s="102" t="s">
        <v>1107</v>
      </c>
      <c r="C74" s="102">
        <v>166490</v>
      </c>
      <c r="D74" s="102" t="s">
        <v>1162</v>
      </c>
      <c r="E74" s="102"/>
    </row>
    <row r="75" spans="1:5" x14ac:dyDescent="0.15">
      <c r="A75" s="102" t="s">
        <v>1163</v>
      </c>
      <c r="B75" s="102" t="s">
        <v>1107</v>
      </c>
      <c r="C75" s="102">
        <v>166491</v>
      </c>
      <c r="D75" s="102" t="s">
        <v>1163</v>
      </c>
      <c r="E75" s="102"/>
    </row>
    <row r="76" spans="1:5" x14ac:dyDescent="0.15">
      <c r="A76" s="102" t="s">
        <v>1164</v>
      </c>
      <c r="B76" s="102" t="s">
        <v>1104</v>
      </c>
      <c r="C76" s="102">
        <v>172582</v>
      </c>
      <c r="D76" s="102" t="s">
        <v>1164</v>
      </c>
      <c r="E76" s="102"/>
    </row>
    <row r="77" spans="1:5" x14ac:dyDescent="0.15">
      <c r="A77" s="102" t="s">
        <v>1165</v>
      </c>
      <c r="B77" s="102" t="s">
        <v>1107</v>
      </c>
      <c r="C77" s="102">
        <v>166492</v>
      </c>
      <c r="D77" s="102" t="s">
        <v>1165</v>
      </c>
      <c r="E77" s="102"/>
    </row>
    <row r="78" spans="1:5" x14ac:dyDescent="0.15">
      <c r="A78" s="102" t="s">
        <v>1166</v>
      </c>
      <c r="B78" s="102" t="s">
        <v>1107</v>
      </c>
      <c r="C78" s="102">
        <v>166493</v>
      </c>
      <c r="D78" s="102" t="s">
        <v>1166</v>
      </c>
      <c r="E78" s="102"/>
    </row>
    <row r="79" spans="1:5" x14ac:dyDescent="0.15">
      <c r="A79" s="102" t="s">
        <v>1167</v>
      </c>
      <c r="B79" s="102" t="s">
        <v>1107</v>
      </c>
      <c r="C79" s="102">
        <v>166494</v>
      </c>
      <c r="D79" s="102" t="s">
        <v>1167</v>
      </c>
      <c r="E79" s="102"/>
    </row>
    <row r="80" spans="1:5" x14ac:dyDescent="0.15">
      <c r="A80" s="102" t="s">
        <v>1168</v>
      </c>
      <c r="B80" s="102" t="s">
        <v>1107</v>
      </c>
      <c r="C80" s="102">
        <v>166495</v>
      </c>
      <c r="D80" s="102" t="s">
        <v>1168</v>
      </c>
      <c r="E80" s="102"/>
    </row>
    <row r="81" spans="1:5" x14ac:dyDescent="0.15">
      <c r="A81" s="102" t="s">
        <v>1867</v>
      </c>
      <c r="B81" s="102" t="s">
        <v>1868</v>
      </c>
      <c r="C81" s="102">
        <v>242869</v>
      </c>
      <c r="D81" s="102" t="s">
        <v>1867</v>
      </c>
      <c r="E81" s="102"/>
    </row>
    <row r="82" spans="1:5" x14ac:dyDescent="0.15">
      <c r="A82" s="102" t="s">
        <v>1169</v>
      </c>
      <c r="B82" s="102" t="s">
        <v>1170</v>
      </c>
      <c r="C82" s="102">
        <v>244046</v>
      </c>
      <c r="D82" s="102" t="s">
        <v>1169</v>
      </c>
      <c r="E82" s="102"/>
    </row>
    <row r="83" spans="1:5" x14ac:dyDescent="0.15">
      <c r="A83" s="102" t="s">
        <v>1171</v>
      </c>
      <c r="B83" s="102" t="s">
        <v>1122</v>
      </c>
      <c r="C83" s="102">
        <v>232534</v>
      </c>
      <c r="D83" s="102" t="s">
        <v>1171</v>
      </c>
      <c r="E83" s="102"/>
    </row>
    <row r="84" spans="1:5" x14ac:dyDescent="0.15">
      <c r="A84" s="102" t="s">
        <v>1172</v>
      </c>
      <c r="B84" s="102" t="s">
        <v>1122</v>
      </c>
      <c r="C84" s="102">
        <v>228619</v>
      </c>
      <c r="D84" s="102" t="s">
        <v>1173</v>
      </c>
      <c r="E84" s="102"/>
    </row>
    <row r="85" spans="1:5" x14ac:dyDescent="0.15">
      <c r="A85" s="102" t="s">
        <v>1174</v>
      </c>
      <c r="B85" s="102" t="s">
        <v>1107</v>
      </c>
      <c r="C85" s="102">
        <v>166496</v>
      </c>
      <c r="D85" s="102" t="s">
        <v>1174</v>
      </c>
      <c r="E85" s="102"/>
    </row>
    <row r="86" spans="1:5" x14ac:dyDescent="0.15">
      <c r="A86" s="102" t="s">
        <v>1175</v>
      </c>
      <c r="B86" s="102" t="s">
        <v>1107</v>
      </c>
      <c r="C86" s="102">
        <v>166497</v>
      </c>
      <c r="D86" s="102" t="s">
        <v>1175</v>
      </c>
      <c r="E86" s="102"/>
    </row>
    <row r="87" spans="1:5" x14ac:dyDescent="0.15">
      <c r="A87" s="102" t="s">
        <v>1176</v>
      </c>
      <c r="B87" s="102" t="s">
        <v>1104</v>
      </c>
      <c r="C87" s="102">
        <v>172846</v>
      </c>
      <c r="D87" s="102" t="s">
        <v>1176</v>
      </c>
      <c r="E87" s="102"/>
    </row>
    <row r="88" spans="1:5" x14ac:dyDescent="0.15">
      <c r="A88" s="102" t="s">
        <v>1177</v>
      </c>
      <c r="B88" s="102" t="s">
        <v>1122</v>
      </c>
      <c r="C88" s="102">
        <v>217913</v>
      </c>
      <c r="D88" s="102" t="s">
        <v>1177</v>
      </c>
      <c r="E88" s="102"/>
    </row>
    <row r="89" spans="1:5" x14ac:dyDescent="0.15">
      <c r="A89" s="102" t="s">
        <v>1178</v>
      </c>
      <c r="B89" s="102" t="s">
        <v>1104</v>
      </c>
      <c r="C89" s="102">
        <v>181447</v>
      </c>
      <c r="D89" s="102" t="s">
        <v>1178</v>
      </c>
      <c r="E89" s="102"/>
    </row>
    <row r="90" spans="1:5" x14ac:dyDescent="0.15">
      <c r="A90" s="102" t="s">
        <v>1179</v>
      </c>
      <c r="B90" s="102" t="s">
        <v>1869</v>
      </c>
      <c r="C90" s="102">
        <v>248888</v>
      </c>
      <c r="D90" s="102" t="s">
        <v>1179</v>
      </c>
      <c r="E90" s="102"/>
    </row>
    <row r="91" spans="1:5" x14ac:dyDescent="0.15">
      <c r="A91" s="102" t="s">
        <v>1179</v>
      </c>
      <c r="B91" s="102" t="s">
        <v>1107</v>
      </c>
      <c r="C91" s="102">
        <v>166499</v>
      </c>
      <c r="D91" s="102" t="s">
        <v>1180</v>
      </c>
      <c r="E91" s="102"/>
    </row>
    <row r="92" spans="1:5" x14ac:dyDescent="0.15">
      <c r="A92" s="102" t="s">
        <v>1870</v>
      </c>
      <c r="B92" s="102" t="s">
        <v>1871</v>
      </c>
      <c r="C92" s="102">
        <v>214402</v>
      </c>
      <c r="D92" s="102" t="s">
        <v>1870</v>
      </c>
      <c r="E92" s="102"/>
    </row>
    <row r="93" spans="1:5" x14ac:dyDescent="0.15">
      <c r="A93" s="102" t="s">
        <v>1181</v>
      </c>
      <c r="B93" s="102" t="s">
        <v>1107</v>
      </c>
      <c r="C93" s="102">
        <v>166463</v>
      </c>
      <c r="D93" s="102" t="s">
        <v>1181</v>
      </c>
      <c r="E93" s="102"/>
    </row>
    <row r="94" spans="1:5" x14ac:dyDescent="0.15">
      <c r="A94" s="102" t="s">
        <v>1182</v>
      </c>
      <c r="B94" s="102" t="s">
        <v>1107</v>
      </c>
      <c r="C94" s="102">
        <v>166501</v>
      </c>
      <c r="D94" s="102" t="s">
        <v>1183</v>
      </c>
      <c r="E94" s="102"/>
    </row>
    <row r="95" spans="1:5" x14ac:dyDescent="0.15">
      <c r="A95" s="102" t="s">
        <v>1184</v>
      </c>
      <c r="B95" s="102" t="s">
        <v>1122</v>
      </c>
      <c r="C95" s="102">
        <v>232980</v>
      </c>
      <c r="D95" s="102" t="s">
        <v>1184</v>
      </c>
      <c r="E95" s="102"/>
    </row>
    <row r="96" spans="1:5" x14ac:dyDescent="0.15">
      <c r="A96" s="102" t="s">
        <v>1185</v>
      </c>
      <c r="B96" s="102" t="s">
        <v>1186</v>
      </c>
      <c r="C96" s="102">
        <v>241583</v>
      </c>
      <c r="D96" s="102" t="s">
        <v>1185</v>
      </c>
      <c r="E96" s="102"/>
    </row>
    <row r="97" spans="1:5" x14ac:dyDescent="0.15">
      <c r="A97" s="102" t="s">
        <v>1185</v>
      </c>
      <c r="B97" s="102" t="s">
        <v>1187</v>
      </c>
      <c r="C97" s="102">
        <v>247814</v>
      </c>
      <c r="D97" s="102" t="s">
        <v>1185</v>
      </c>
      <c r="E97" s="102"/>
    </row>
    <row r="98" spans="1:5" x14ac:dyDescent="0.15">
      <c r="A98" s="102" t="s">
        <v>1185</v>
      </c>
      <c r="B98" s="102" t="s">
        <v>1188</v>
      </c>
      <c r="C98" s="102">
        <v>247888</v>
      </c>
      <c r="D98" s="102" t="s">
        <v>1185</v>
      </c>
      <c r="E98" s="102"/>
    </row>
    <row r="99" spans="1:5" x14ac:dyDescent="0.15">
      <c r="A99" s="102" t="s">
        <v>1185</v>
      </c>
      <c r="B99" s="102" t="s">
        <v>1189</v>
      </c>
      <c r="C99" s="102">
        <v>249384</v>
      </c>
      <c r="D99" s="102" t="s">
        <v>1185</v>
      </c>
      <c r="E99" s="102"/>
    </row>
    <row r="100" spans="1:5" x14ac:dyDescent="0.15">
      <c r="A100" s="102" t="s">
        <v>1185</v>
      </c>
      <c r="B100" s="102" t="s">
        <v>1190</v>
      </c>
      <c r="C100" s="102">
        <v>249654</v>
      </c>
      <c r="D100" s="102" t="s">
        <v>1185</v>
      </c>
      <c r="E100" s="102"/>
    </row>
    <row r="101" spans="1:5" x14ac:dyDescent="0.15">
      <c r="A101" s="102" t="s">
        <v>1191</v>
      </c>
      <c r="B101" s="102" t="s">
        <v>1192</v>
      </c>
      <c r="C101" s="102">
        <v>245838</v>
      </c>
      <c r="D101" s="102" t="s">
        <v>1191</v>
      </c>
      <c r="E101" s="102"/>
    </row>
    <row r="102" spans="1:5" x14ac:dyDescent="0.15">
      <c r="A102" s="102" t="s">
        <v>1193</v>
      </c>
      <c r="B102" s="102" t="s">
        <v>1194</v>
      </c>
      <c r="C102" s="102">
        <v>247815</v>
      </c>
      <c r="D102" s="102" t="s">
        <v>1193</v>
      </c>
      <c r="E102" s="102"/>
    </row>
    <row r="103" spans="1:5" x14ac:dyDescent="0.15">
      <c r="A103" s="102" t="s">
        <v>1193</v>
      </c>
      <c r="B103" s="102" t="s">
        <v>1195</v>
      </c>
      <c r="C103" s="102">
        <v>248173</v>
      </c>
      <c r="D103" s="102" t="s">
        <v>1193</v>
      </c>
      <c r="E103" s="102"/>
    </row>
    <row r="104" spans="1:5" x14ac:dyDescent="0.15">
      <c r="A104" s="102" t="s">
        <v>1196</v>
      </c>
      <c r="B104" s="102" t="s">
        <v>1122</v>
      </c>
      <c r="C104" s="102">
        <v>231316</v>
      </c>
      <c r="D104" s="102" t="s">
        <v>1196</v>
      </c>
      <c r="E104" s="102"/>
    </row>
    <row r="105" spans="1:5" x14ac:dyDescent="0.15">
      <c r="A105" s="102" t="s">
        <v>1196</v>
      </c>
      <c r="B105" s="102" t="s">
        <v>1122</v>
      </c>
      <c r="C105" s="102">
        <v>232821</v>
      </c>
      <c r="D105" s="102" t="s">
        <v>1196</v>
      </c>
      <c r="E105" s="102"/>
    </row>
    <row r="106" spans="1:5" x14ac:dyDescent="0.15">
      <c r="A106" s="102" t="s">
        <v>1196</v>
      </c>
      <c r="B106" s="102" t="s">
        <v>1197</v>
      </c>
      <c r="C106" s="102">
        <v>235528</v>
      </c>
      <c r="D106" s="102" t="s">
        <v>1196</v>
      </c>
      <c r="E106" s="102"/>
    </row>
    <row r="107" spans="1:5" x14ac:dyDescent="0.15">
      <c r="A107" s="102" t="s">
        <v>1198</v>
      </c>
      <c r="B107" s="102" t="s">
        <v>1107</v>
      </c>
      <c r="C107" s="102">
        <v>166514</v>
      </c>
      <c r="D107" s="102" t="s">
        <v>1198</v>
      </c>
      <c r="E107" s="102"/>
    </row>
    <row r="108" spans="1:5" x14ac:dyDescent="0.15">
      <c r="A108" s="102" t="s">
        <v>1199</v>
      </c>
      <c r="B108" s="102" t="s">
        <v>1107</v>
      </c>
      <c r="C108" s="102">
        <v>166522</v>
      </c>
      <c r="D108" s="102" t="s">
        <v>1199</v>
      </c>
      <c r="E108" s="102"/>
    </row>
    <row r="109" spans="1:5" x14ac:dyDescent="0.15">
      <c r="A109" s="102" t="s">
        <v>1200</v>
      </c>
      <c r="B109" s="102" t="s">
        <v>1107</v>
      </c>
      <c r="C109" s="102">
        <v>166519</v>
      </c>
      <c r="D109" s="102" t="s">
        <v>1200</v>
      </c>
      <c r="E109" s="102"/>
    </row>
    <row r="110" spans="1:5" x14ac:dyDescent="0.15">
      <c r="A110" s="102" t="s">
        <v>1201</v>
      </c>
      <c r="B110" s="102" t="s">
        <v>1104</v>
      </c>
      <c r="C110" s="102">
        <v>172649</v>
      </c>
      <c r="D110" s="102" t="s">
        <v>1201</v>
      </c>
      <c r="E110" s="102"/>
    </row>
    <row r="111" spans="1:5" x14ac:dyDescent="0.15">
      <c r="A111" s="102" t="s">
        <v>1202</v>
      </c>
      <c r="B111" s="102" t="s">
        <v>1101</v>
      </c>
      <c r="C111" s="102">
        <v>217475</v>
      </c>
      <c r="D111" s="102" t="s">
        <v>1202</v>
      </c>
      <c r="E111" s="102"/>
    </row>
    <row r="112" spans="1:5" x14ac:dyDescent="0.15">
      <c r="A112" s="102" t="s">
        <v>1203</v>
      </c>
      <c r="B112" s="102" t="s">
        <v>1204</v>
      </c>
      <c r="C112" s="102">
        <v>249377</v>
      </c>
      <c r="D112" s="102" t="s">
        <v>1203</v>
      </c>
      <c r="E112" s="102"/>
    </row>
    <row r="113" spans="1:5" x14ac:dyDescent="0.15">
      <c r="A113" s="102" t="s">
        <v>1205</v>
      </c>
      <c r="B113" s="102" t="s">
        <v>1101</v>
      </c>
      <c r="C113" s="102">
        <v>220271</v>
      </c>
      <c r="D113" s="102" t="s">
        <v>1205</v>
      </c>
      <c r="E113" s="102"/>
    </row>
    <row r="114" spans="1:5" x14ac:dyDescent="0.15">
      <c r="A114" s="102" t="s">
        <v>1206</v>
      </c>
      <c r="B114" s="102" t="s">
        <v>1207</v>
      </c>
      <c r="C114" s="102">
        <v>236749</v>
      </c>
      <c r="D114" s="102" t="s">
        <v>1206</v>
      </c>
      <c r="E114" s="102"/>
    </row>
    <row r="115" spans="1:5" x14ac:dyDescent="0.15">
      <c r="A115" s="102" t="s">
        <v>1208</v>
      </c>
      <c r="B115" s="102" t="s">
        <v>1104</v>
      </c>
      <c r="C115" s="102">
        <v>172781</v>
      </c>
      <c r="D115" s="102" t="s">
        <v>1208</v>
      </c>
      <c r="E115" s="102"/>
    </row>
    <row r="116" spans="1:5" x14ac:dyDescent="0.15">
      <c r="A116" s="102" t="s">
        <v>1872</v>
      </c>
      <c r="B116" s="102" t="s">
        <v>1825</v>
      </c>
      <c r="C116" s="102">
        <v>160605</v>
      </c>
      <c r="D116" s="102" t="s">
        <v>1872</v>
      </c>
      <c r="E116" s="102"/>
    </row>
    <row r="117" spans="1:5" x14ac:dyDescent="0.15">
      <c r="A117" s="102" t="s">
        <v>1209</v>
      </c>
      <c r="B117" s="102" t="s">
        <v>1104</v>
      </c>
      <c r="C117" s="102">
        <v>201319</v>
      </c>
      <c r="D117" s="102" t="s">
        <v>1209</v>
      </c>
      <c r="E117" s="102"/>
    </row>
    <row r="118" spans="1:5" x14ac:dyDescent="0.15">
      <c r="A118" s="102" t="s">
        <v>1873</v>
      </c>
      <c r="B118" s="102" t="s">
        <v>1823</v>
      </c>
      <c r="C118" s="102">
        <v>112497</v>
      </c>
      <c r="D118" s="102" t="s">
        <v>1873</v>
      </c>
      <c r="E118" s="102"/>
    </row>
    <row r="119" spans="1:5" x14ac:dyDescent="0.15">
      <c r="A119" s="102" t="s">
        <v>1874</v>
      </c>
      <c r="B119" s="102" t="s">
        <v>1823</v>
      </c>
      <c r="C119" s="102">
        <v>110769</v>
      </c>
      <c r="D119" s="102" t="s">
        <v>1874</v>
      </c>
      <c r="E119" s="102"/>
    </row>
    <row r="120" spans="1:5" x14ac:dyDescent="0.15">
      <c r="A120" s="102" t="s">
        <v>1210</v>
      </c>
      <c r="B120" s="102" t="s">
        <v>1104</v>
      </c>
      <c r="C120" s="102">
        <v>178009</v>
      </c>
      <c r="D120" s="102" t="s">
        <v>1210</v>
      </c>
      <c r="E120" s="102"/>
    </row>
    <row r="121" spans="1:5" x14ac:dyDescent="0.15">
      <c r="A121" s="102" t="s">
        <v>1211</v>
      </c>
      <c r="B121" s="102" t="s">
        <v>1212</v>
      </c>
      <c r="C121" s="102">
        <v>241584</v>
      </c>
      <c r="D121" s="102" t="s">
        <v>1211</v>
      </c>
      <c r="E121" s="102"/>
    </row>
    <row r="122" spans="1:5" x14ac:dyDescent="0.15">
      <c r="A122" s="102" t="s">
        <v>1875</v>
      </c>
      <c r="B122" s="102" t="s">
        <v>1876</v>
      </c>
      <c r="C122" s="102">
        <v>247296</v>
      </c>
      <c r="D122" s="102" t="s">
        <v>1875</v>
      </c>
      <c r="E122" s="102"/>
    </row>
    <row r="123" spans="1:5" x14ac:dyDescent="0.15">
      <c r="A123" s="102" t="s">
        <v>1213</v>
      </c>
      <c r="B123" s="102" t="s">
        <v>1104</v>
      </c>
      <c r="C123" s="102">
        <v>191891</v>
      </c>
      <c r="D123" s="102" t="s">
        <v>1213</v>
      </c>
      <c r="E123" s="102"/>
    </row>
    <row r="124" spans="1:5" x14ac:dyDescent="0.15">
      <c r="A124" s="102" t="s">
        <v>1877</v>
      </c>
      <c r="B124" s="102" t="s">
        <v>1823</v>
      </c>
      <c r="C124" s="102">
        <v>110996</v>
      </c>
      <c r="D124" s="102" t="s">
        <v>1877</v>
      </c>
      <c r="E124" s="102"/>
    </row>
    <row r="125" spans="1:5" x14ac:dyDescent="0.15">
      <c r="A125" s="102" t="s">
        <v>1878</v>
      </c>
      <c r="B125" s="102" t="s">
        <v>1823</v>
      </c>
      <c r="C125" s="102">
        <v>98695</v>
      </c>
      <c r="D125" s="102" t="s">
        <v>1878</v>
      </c>
      <c r="E125" s="102"/>
    </row>
    <row r="126" spans="1:5" x14ac:dyDescent="0.15">
      <c r="A126" s="102" t="s">
        <v>1879</v>
      </c>
      <c r="B126" s="102" t="s">
        <v>1880</v>
      </c>
      <c r="C126" s="102">
        <v>215426</v>
      </c>
      <c r="D126" s="102" t="s">
        <v>1879</v>
      </c>
      <c r="E126" s="102"/>
    </row>
    <row r="127" spans="1:5" x14ac:dyDescent="0.15">
      <c r="A127" s="102" t="s">
        <v>1881</v>
      </c>
      <c r="B127" s="102" t="s">
        <v>1823</v>
      </c>
      <c r="C127" s="102">
        <v>112298</v>
      </c>
      <c r="D127" s="102" t="s">
        <v>1881</v>
      </c>
      <c r="E127" s="102"/>
    </row>
    <row r="128" spans="1:5" x14ac:dyDescent="0.15">
      <c r="A128" s="102" t="s">
        <v>1882</v>
      </c>
      <c r="B128" s="102" t="s">
        <v>1825</v>
      </c>
      <c r="C128" s="102">
        <v>160579</v>
      </c>
      <c r="D128" s="102" t="s">
        <v>1882</v>
      </c>
      <c r="E128" s="102"/>
    </row>
    <row r="129" spans="1:5" x14ac:dyDescent="0.15">
      <c r="A129" s="102" t="s">
        <v>1214</v>
      </c>
      <c r="B129" s="102" t="s">
        <v>1104</v>
      </c>
      <c r="C129" s="102">
        <v>172659</v>
      </c>
      <c r="D129" s="102" t="s">
        <v>1214</v>
      </c>
      <c r="E129" s="102"/>
    </row>
    <row r="130" spans="1:5" x14ac:dyDescent="0.15">
      <c r="A130" s="102" t="s">
        <v>1883</v>
      </c>
      <c r="B130" s="102" t="s">
        <v>1825</v>
      </c>
      <c r="C130" s="102">
        <v>162893</v>
      </c>
      <c r="D130" s="102" t="s">
        <v>1883</v>
      </c>
      <c r="E130" s="102"/>
    </row>
    <row r="131" spans="1:5" x14ac:dyDescent="0.15">
      <c r="A131" s="102" t="s">
        <v>1884</v>
      </c>
      <c r="B131" s="102" t="s">
        <v>1825</v>
      </c>
      <c r="C131" s="102">
        <v>205922</v>
      </c>
      <c r="D131" s="102" t="s">
        <v>1884</v>
      </c>
      <c r="E131" s="102"/>
    </row>
    <row r="132" spans="1:5" x14ac:dyDescent="0.15">
      <c r="A132" s="102" t="s">
        <v>1885</v>
      </c>
      <c r="B132" s="102" t="s">
        <v>1823</v>
      </c>
      <c r="C132" s="102">
        <v>103330</v>
      </c>
      <c r="D132" s="102" t="s">
        <v>1885</v>
      </c>
      <c r="E132" s="102"/>
    </row>
    <row r="133" spans="1:5" x14ac:dyDescent="0.15">
      <c r="A133" s="102" t="s">
        <v>1215</v>
      </c>
      <c r="B133" s="102" t="s">
        <v>1104</v>
      </c>
      <c r="C133" s="102">
        <v>172914</v>
      </c>
      <c r="D133" s="102" t="s">
        <v>1215</v>
      </c>
      <c r="E133" s="102"/>
    </row>
    <row r="134" spans="1:5" x14ac:dyDescent="0.15">
      <c r="A134" s="102" t="s">
        <v>1886</v>
      </c>
      <c r="B134" s="102" t="s">
        <v>1887</v>
      </c>
      <c r="C134" s="102">
        <v>217374</v>
      </c>
      <c r="D134" s="102" t="s">
        <v>1886</v>
      </c>
      <c r="E134" s="102"/>
    </row>
    <row r="135" spans="1:5" x14ac:dyDescent="0.15">
      <c r="A135" s="102" t="s">
        <v>1216</v>
      </c>
      <c r="B135" s="102" t="s">
        <v>1104</v>
      </c>
      <c r="C135" s="102">
        <v>192806</v>
      </c>
      <c r="D135" s="102" t="s">
        <v>1216</v>
      </c>
      <c r="E135" s="102"/>
    </row>
    <row r="136" spans="1:5" x14ac:dyDescent="0.15">
      <c r="A136" s="102" t="s">
        <v>1888</v>
      </c>
      <c r="B136" s="102" t="s">
        <v>1825</v>
      </c>
      <c r="C136" s="102">
        <v>193820</v>
      </c>
      <c r="D136" s="102" t="s">
        <v>1888</v>
      </c>
      <c r="E136" s="102"/>
    </row>
    <row r="137" spans="1:5" x14ac:dyDescent="0.15">
      <c r="A137" s="102" t="s">
        <v>1217</v>
      </c>
      <c r="B137" s="102" t="s">
        <v>1104</v>
      </c>
      <c r="C137" s="102">
        <v>172236</v>
      </c>
      <c r="D137" s="102" t="s">
        <v>1217</v>
      </c>
      <c r="E137" s="102"/>
    </row>
    <row r="138" spans="1:5" x14ac:dyDescent="0.15">
      <c r="A138" s="102" t="s">
        <v>1889</v>
      </c>
      <c r="B138" s="102" t="s">
        <v>1890</v>
      </c>
      <c r="C138" s="102">
        <v>245544</v>
      </c>
      <c r="D138" s="102" t="s">
        <v>1889</v>
      </c>
      <c r="E138" s="102"/>
    </row>
    <row r="139" spans="1:5" x14ac:dyDescent="0.15">
      <c r="A139" s="102" t="s">
        <v>1218</v>
      </c>
      <c r="B139" s="102" t="s">
        <v>1219</v>
      </c>
      <c r="C139" s="102">
        <v>172717</v>
      </c>
      <c r="D139" s="102" t="s">
        <v>1218</v>
      </c>
      <c r="E139" s="102"/>
    </row>
    <row r="140" spans="1:5" x14ac:dyDescent="0.15">
      <c r="A140" s="102" t="s">
        <v>1220</v>
      </c>
      <c r="B140" s="102" t="s">
        <v>1122</v>
      </c>
      <c r="C140" s="102">
        <v>235781</v>
      </c>
      <c r="D140" s="102" t="s">
        <v>1220</v>
      </c>
      <c r="E140" s="102"/>
    </row>
    <row r="141" spans="1:5" x14ac:dyDescent="0.15">
      <c r="A141" s="102" t="s">
        <v>1221</v>
      </c>
      <c r="B141" s="102" t="s">
        <v>1104</v>
      </c>
      <c r="C141" s="102">
        <v>185123</v>
      </c>
      <c r="D141" s="102" t="s">
        <v>1222</v>
      </c>
      <c r="E141" s="102"/>
    </row>
    <row r="142" spans="1:5" x14ac:dyDescent="0.15">
      <c r="A142" s="102" t="s">
        <v>1223</v>
      </c>
      <c r="B142" s="102" t="s">
        <v>1104</v>
      </c>
      <c r="C142" s="102">
        <v>172601</v>
      </c>
      <c r="D142" s="102" t="s">
        <v>1223</v>
      </c>
      <c r="E142" s="102"/>
    </row>
    <row r="143" spans="1:5" x14ac:dyDescent="0.15">
      <c r="A143" s="102" t="s">
        <v>1891</v>
      </c>
      <c r="B143" s="102" t="s">
        <v>1825</v>
      </c>
      <c r="C143" s="102">
        <v>203391</v>
      </c>
      <c r="D143" s="102" t="s">
        <v>1891</v>
      </c>
      <c r="E143" s="102"/>
    </row>
    <row r="144" spans="1:5" x14ac:dyDescent="0.15">
      <c r="A144" s="102" t="s">
        <v>1892</v>
      </c>
      <c r="B144" s="102" t="s">
        <v>1825</v>
      </c>
      <c r="C144" s="102">
        <v>172631</v>
      </c>
      <c r="D144" s="102" t="s">
        <v>1892</v>
      </c>
      <c r="E144" s="102"/>
    </row>
    <row r="145" spans="1:5" x14ac:dyDescent="0.15">
      <c r="A145" s="102" t="s">
        <v>1224</v>
      </c>
      <c r="B145" s="102" t="s">
        <v>1225</v>
      </c>
      <c r="C145" s="102">
        <v>245867</v>
      </c>
      <c r="D145" s="102" t="s">
        <v>1224</v>
      </c>
      <c r="E145" s="102"/>
    </row>
    <row r="146" spans="1:5" x14ac:dyDescent="0.15">
      <c r="A146" s="102" t="s">
        <v>1893</v>
      </c>
      <c r="B146" s="102" t="s">
        <v>1823</v>
      </c>
      <c r="C146" s="102">
        <v>110990</v>
      </c>
      <c r="D146" s="102" t="s">
        <v>1893</v>
      </c>
      <c r="E146" s="102"/>
    </row>
    <row r="147" spans="1:5" x14ac:dyDescent="0.15">
      <c r="A147" s="102" t="s">
        <v>1226</v>
      </c>
      <c r="B147" s="102" t="s">
        <v>1107</v>
      </c>
      <c r="C147" s="102">
        <v>166536</v>
      </c>
      <c r="D147" s="102" t="s">
        <v>1226</v>
      </c>
      <c r="E147" s="102"/>
    </row>
    <row r="148" spans="1:5" x14ac:dyDescent="0.15">
      <c r="A148" s="102" t="s">
        <v>1894</v>
      </c>
      <c r="B148" s="102" t="s">
        <v>1825</v>
      </c>
      <c r="C148" s="102">
        <v>160575</v>
      </c>
      <c r="D148" s="102" t="s">
        <v>1894</v>
      </c>
      <c r="E148" s="102"/>
    </row>
    <row r="149" spans="1:5" x14ac:dyDescent="0.15">
      <c r="A149" s="102" t="s">
        <v>1895</v>
      </c>
      <c r="B149" s="102" t="s">
        <v>1896</v>
      </c>
      <c r="C149" s="102">
        <v>246979</v>
      </c>
      <c r="D149" s="102" t="s">
        <v>1895</v>
      </c>
      <c r="E149" s="102"/>
    </row>
    <row r="150" spans="1:5" x14ac:dyDescent="0.15">
      <c r="A150" s="102" t="s">
        <v>1897</v>
      </c>
      <c r="B150" s="102" t="s">
        <v>1825</v>
      </c>
      <c r="C150" s="102">
        <v>182798</v>
      </c>
      <c r="D150" s="102" t="s">
        <v>1897</v>
      </c>
      <c r="E150" s="102"/>
    </row>
    <row r="151" spans="1:5" x14ac:dyDescent="0.15">
      <c r="A151" s="102" t="s">
        <v>1227</v>
      </c>
      <c r="B151" s="102" t="s">
        <v>1104</v>
      </c>
      <c r="C151" s="102">
        <v>172234</v>
      </c>
      <c r="D151" s="102" t="s">
        <v>1228</v>
      </c>
      <c r="E151" s="102"/>
    </row>
    <row r="152" spans="1:5" x14ac:dyDescent="0.15">
      <c r="A152" s="102" t="s">
        <v>1229</v>
      </c>
      <c r="B152" s="102" t="s">
        <v>1104</v>
      </c>
      <c r="C152" s="102">
        <v>181847</v>
      </c>
      <c r="D152" s="102" t="s">
        <v>1229</v>
      </c>
      <c r="E152" s="102"/>
    </row>
    <row r="153" spans="1:5" x14ac:dyDescent="0.15">
      <c r="A153" s="102" t="s">
        <v>1898</v>
      </c>
      <c r="B153" s="102" t="s">
        <v>1899</v>
      </c>
      <c r="C153" s="102">
        <v>228270</v>
      </c>
      <c r="D153" s="102" t="s">
        <v>1898</v>
      </c>
      <c r="E153" s="102"/>
    </row>
    <row r="154" spans="1:5" x14ac:dyDescent="0.15">
      <c r="A154" s="102" t="s">
        <v>1230</v>
      </c>
      <c r="B154" s="102" t="s">
        <v>1107</v>
      </c>
      <c r="C154" s="102">
        <v>166527</v>
      </c>
      <c r="D154" s="102" t="s">
        <v>1230</v>
      </c>
      <c r="E154" s="102"/>
    </row>
    <row r="155" spans="1:5" x14ac:dyDescent="0.15">
      <c r="A155" s="102" t="s">
        <v>1231</v>
      </c>
      <c r="B155" s="102" t="s">
        <v>1107</v>
      </c>
      <c r="C155" s="102">
        <v>166528</v>
      </c>
      <c r="D155" s="102" t="s">
        <v>1231</v>
      </c>
      <c r="E155" s="102"/>
    </row>
    <row r="156" spans="1:5" x14ac:dyDescent="0.15">
      <c r="A156" s="102" t="s">
        <v>1900</v>
      </c>
      <c r="B156" s="102" t="s">
        <v>1825</v>
      </c>
      <c r="C156" s="102">
        <v>172593</v>
      </c>
      <c r="D156" s="102" t="s">
        <v>1900</v>
      </c>
      <c r="E156" s="102"/>
    </row>
    <row r="157" spans="1:5" x14ac:dyDescent="0.15">
      <c r="A157" s="102" t="s">
        <v>1232</v>
      </c>
      <c r="B157" s="102" t="s">
        <v>1233</v>
      </c>
      <c r="C157" s="102">
        <v>246156</v>
      </c>
      <c r="D157" s="102" t="s">
        <v>1232</v>
      </c>
      <c r="E157" s="102"/>
    </row>
    <row r="158" spans="1:5" x14ac:dyDescent="0.15">
      <c r="A158" s="102" t="s">
        <v>1901</v>
      </c>
      <c r="B158" s="102" t="s">
        <v>1902</v>
      </c>
      <c r="C158" s="102">
        <v>246268</v>
      </c>
      <c r="D158" s="102" t="s">
        <v>1901</v>
      </c>
      <c r="E158" s="102"/>
    </row>
    <row r="159" spans="1:5" x14ac:dyDescent="0.15">
      <c r="A159" s="102" t="s">
        <v>1234</v>
      </c>
      <c r="B159" s="102" t="s">
        <v>1107</v>
      </c>
      <c r="C159" s="102">
        <v>166531</v>
      </c>
      <c r="D159" s="102" t="s">
        <v>1234</v>
      </c>
      <c r="E159" s="102"/>
    </row>
    <row r="160" spans="1:5" x14ac:dyDescent="0.15">
      <c r="A160" s="102" t="s">
        <v>1235</v>
      </c>
      <c r="B160" s="102" t="s">
        <v>1107</v>
      </c>
      <c r="C160" s="102">
        <v>166526</v>
      </c>
      <c r="D160" s="102" t="s">
        <v>1236</v>
      </c>
      <c r="E160" s="102"/>
    </row>
    <row r="161" spans="1:5" x14ac:dyDescent="0.15">
      <c r="A161" s="102" t="s">
        <v>1237</v>
      </c>
      <c r="B161" s="102" t="s">
        <v>1122</v>
      </c>
      <c r="C161" s="102">
        <v>228641</v>
      </c>
      <c r="D161" s="102" t="s">
        <v>1237</v>
      </c>
      <c r="E161" s="102"/>
    </row>
    <row r="162" spans="1:5" x14ac:dyDescent="0.15">
      <c r="A162" s="102" t="s">
        <v>1238</v>
      </c>
      <c r="B162" s="102" t="s">
        <v>1122</v>
      </c>
      <c r="C162" s="102">
        <v>234990</v>
      </c>
      <c r="D162" s="102" t="s">
        <v>1238</v>
      </c>
      <c r="E162" s="102"/>
    </row>
    <row r="163" spans="1:5" x14ac:dyDescent="0.15">
      <c r="A163" s="102" t="s">
        <v>1903</v>
      </c>
      <c r="B163" s="102" t="s">
        <v>1904</v>
      </c>
      <c r="C163" s="102">
        <v>247313</v>
      </c>
      <c r="D163" s="102" t="s">
        <v>1903</v>
      </c>
      <c r="E163" s="102"/>
    </row>
    <row r="164" spans="1:5" x14ac:dyDescent="0.15">
      <c r="A164" s="102" t="s">
        <v>1239</v>
      </c>
      <c r="B164" s="102" t="s">
        <v>1107</v>
      </c>
      <c r="C164" s="102">
        <v>166498</v>
      </c>
      <c r="D164" s="102" t="s">
        <v>1239</v>
      </c>
      <c r="E164" s="102"/>
    </row>
    <row r="165" spans="1:5" x14ac:dyDescent="0.15">
      <c r="A165" s="102" t="s">
        <v>1905</v>
      </c>
      <c r="B165" s="102" t="s">
        <v>1906</v>
      </c>
      <c r="C165" s="102">
        <v>218052</v>
      </c>
      <c r="D165" s="102" t="s">
        <v>1905</v>
      </c>
      <c r="E165" s="102"/>
    </row>
    <row r="166" spans="1:5" x14ac:dyDescent="0.15">
      <c r="A166" s="102" t="s">
        <v>1907</v>
      </c>
      <c r="B166" s="102" t="s">
        <v>1825</v>
      </c>
      <c r="C166" s="102">
        <v>157876</v>
      </c>
      <c r="D166" s="102" t="s">
        <v>1907</v>
      </c>
      <c r="E166" s="102"/>
    </row>
    <row r="167" spans="1:5" x14ac:dyDescent="0.15">
      <c r="A167" s="102" t="s">
        <v>1908</v>
      </c>
      <c r="B167" s="102" t="s">
        <v>1825</v>
      </c>
      <c r="C167" s="102">
        <v>172825</v>
      </c>
      <c r="D167" s="102" t="s">
        <v>1908</v>
      </c>
      <c r="E167" s="102"/>
    </row>
    <row r="168" spans="1:5" x14ac:dyDescent="0.15">
      <c r="A168" s="102" t="s">
        <v>1909</v>
      </c>
      <c r="B168" s="102" t="s">
        <v>1910</v>
      </c>
      <c r="C168" s="102">
        <v>248739</v>
      </c>
      <c r="D168" s="102" t="s">
        <v>1909</v>
      </c>
      <c r="E168" s="102"/>
    </row>
    <row r="169" spans="1:5" x14ac:dyDescent="0.15">
      <c r="A169" s="102" t="s">
        <v>1911</v>
      </c>
      <c r="B169" s="102" t="s">
        <v>1825</v>
      </c>
      <c r="C169" s="102">
        <v>160598</v>
      </c>
      <c r="D169" s="102" t="s">
        <v>1911</v>
      </c>
      <c r="E169" s="102"/>
    </row>
    <row r="170" spans="1:5" x14ac:dyDescent="0.15">
      <c r="A170" s="102" t="s">
        <v>1911</v>
      </c>
      <c r="B170" s="102" t="s">
        <v>1825</v>
      </c>
      <c r="C170" s="102">
        <v>160599</v>
      </c>
      <c r="D170" s="102" t="s">
        <v>1911</v>
      </c>
      <c r="E170" s="102"/>
    </row>
    <row r="171" spans="1:5" x14ac:dyDescent="0.15">
      <c r="A171" s="102" t="s">
        <v>1240</v>
      </c>
      <c r="B171" s="102" t="s">
        <v>1241</v>
      </c>
      <c r="C171" s="102">
        <v>249501</v>
      </c>
      <c r="D171" s="102" t="s">
        <v>1240</v>
      </c>
      <c r="E171" s="102"/>
    </row>
    <row r="172" spans="1:5" x14ac:dyDescent="0.15">
      <c r="A172" s="102" t="s">
        <v>1242</v>
      </c>
      <c r="B172" s="102" t="s">
        <v>1107</v>
      </c>
      <c r="C172" s="102">
        <v>166532</v>
      </c>
      <c r="D172" s="102" t="s">
        <v>1242</v>
      </c>
      <c r="E172" s="102"/>
    </row>
    <row r="173" spans="1:5" x14ac:dyDescent="0.15">
      <c r="A173" s="102" t="s">
        <v>1243</v>
      </c>
      <c r="B173" s="102" t="s">
        <v>1107</v>
      </c>
      <c r="C173" s="102">
        <v>166533</v>
      </c>
      <c r="D173" s="102" t="s">
        <v>1244</v>
      </c>
      <c r="E173" s="102"/>
    </row>
    <row r="174" spans="1:5" x14ac:dyDescent="0.15">
      <c r="A174" s="102" t="s">
        <v>1912</v>
      </c>
      <c r="B174" s="102" t="s">
        <v>1825</v>
      </c>
      <c r="C174" s="102">
        <v>160600</v>
      </c>
      <c r="D174" s="102" t="s">
        <v>1912</v>
      </c>
      <c r="E174" s="102"/>
    </row>
    <row r="175" spans="1:5" x14ac:dyDescent="0.15">
      <c r="A175" s="102" t="s">
        <v>1913</v>
      </c>
      <c r="B175" s="102" t="s">
        <v>1914</v>
      </c>
      <c r="C175" s="102">
        <v>246269</v>
      </c>
      <c r="D175" s="102" t="s">
        <v>1913</v>
      </c>
      <c r="E175" s="102"/>
    </row>
    <row r="176" spans="1:5" x14ac:dyDescent="0.15">
      <c r="A176" s="102" t="s">
        <v>1915</v>
      </c>
      <c r="B176" s="102" t="s">
        <v>1825</v>
      </c>
      <c r="C176" s="102">
        <v>162868</v>
      </c>
      <c r="D176" s="102" t="s">
        <v>1915</v>
      </c>
      <c r="E176" s="102"/>
    </row>
    <row r="177" spans="1:5" x14ac:dyDescent="0.15">
      <c r="A177" s="102" t="s">
        <v>1916</v>
      </c>
      <c r="B177" s="102" t="s">
        <v>1917</v>
      </c>
      <c r="C177" s="102">
        <v>247616</v>
      </c>
      <c r="D177" s="102" t="s">
        <v>1916</v>
      </c>
      <c r="E177" s="102"/>
    </row>
    <row r="178" spans="1:5" x14ac:dyDescent="0.15">
      <c r="A178" s="102" t="s">
        <v>1918</v>
      </c>
      <c r="B178" s="102" t="s">
        <v>1919</v>
      </c>
      <c r="C178" s="102">
        <v>247620</v>
      </c>
      <c r="D178" s="102" t="s">
        <v>1918</v>
      </c>
      <c r="E178" s="102"/>
    </row>
    <row r="179" spans="1:5" x14ac:dyDescent="0.15">
      <c r="A179" s="102" t="s">
        <v>1245</v>
      </c>
      <c r="B179" s="102" t="s">
        <v>1104</v>
      </c>
      <c r="C179" s="102">
        <v>172725</v>
      </c>
      <c r="D179" s="102" t="s">
        <v>1246</v>
      </c>
      <c r="E179" s="102"/>
    </row>
    <row r="180" spans="1:5" x14ac:dyDescent="0.15">
      <c r="A180" s="102" t="s">
        <v>1247</v>
      </c>
      <c r="B180" s="102" t="s">
        <v>1104</v>
      </c>
      <c r="C180" s="102">
        <v>194016</v>
      </c>
      <c r="D180" s="102" t="s">
        <v>1247</v>
      </c>
      <c r="E180" s="102"/>
    </row>
    <row r="181" spans="1:5" x14ac:dyDescent="0.15">
      <c r="A181" s="102" t="s">
        <v>1920</v>
      </c>
      <c r="B181" s="102" t="s">
        <v>1825</v>
      </c>
      <c r="C181" s="102">
        <v>160594</v>
      </c>
      <c r="D181" s="102" t="s">
        <v>1920</v>
      </c>
      <c r="E181" s="102"/>
    </row>
    <row r="182" spans="1:5" x14ac:dyDescent="0.15">
      <c r="A182" s="102" t="s">
        <v>1248</v>
      </c>
      <c r="B182" s="102" t="s">
        <v>1104</v>
      </c>
      <c r="C182" s="102">
        <v>172658</v>
      </c>
      <c r="D182" s="102" t="s">
        <v>1248</v>
      </c>
      <c r="E182" s="102"/>
    </row>
    <row r="183" spans="1:5" x14ac:dyDescent="0.15">
      <c r="A183" s="102" t="s">
        <v>1249</v>
      </c>
      <c r="B183" s="102" t="s">
        <v>1122</v>
      </c>
      <c r="C183" s="102">
        <v>203536</v>
      </c>
      <c r="D183" s="102" t="s">
        <v>1249</v>
      </c>
      <c r="E183" s="102"/>
    </row>
    <row r="184" spans="1:5" x14ac:dyDescent="0.15">
      <c r="A184" s="102" t="s">
        <v>1921</v>
      </c>
      <c r="B184" s="102" t="s">
        <v>1922</v>
      </c>
      <c r="C184" s="102">
        <v>224139</v>
      </c>
      <c r="D184" s="102" t="s">
        <v>1921</v>
      </c>
      <c r="E184" s="102"/>
    </row>
    <row r="185" spans="1:5" x14ac:dyDescent="0.15">
      <c r="A185" s="102" t="s">
        <v>1923</v>
      </c>
      <c r="B185" s="102" t="s">
        <v>1823</v>
      </c>
      <c r="C185" s="102">
        <v>103217</v>
      </c>
      <c r="D185" s="102" t="s">
        <v>1923</v>
      </c>
      <c r="E185" s="102"/>
    </row>
    <row r="186" spans="1:5" x14ac:dyDescent="0.15">
      <c r="A186" s="102" t="s">
        <v>1924</v>
      </c>
      <c r="B186" s="102" t="s">
        <v>1825</v>
      </c>
      <c r="C186" s="102">
        <v>160577</v>
      </c>
      <c r="D186" s="102" t="s">
        <v>1924</v>
      </c>
      <c r="E186" s="102"/>
    </row>
    <row r="187" spans="1:5" x14ac:dyDescent="0.15">
      <c r="A187" s="102" t="s">
        <v>1250</v>
      </c>
      <c r="B187" s="102" t="s">
        <v>1107</v>
      </c>
      <c r="C187" s="102">
        <v>166537</v>
      </c>
      <c r="D187" s="102" t="s">
        <v>1250</v>
      </c>
      <c r="E187" s="102"/>
    </row>
    <row r="188" spans="1:5" x14ac:dyDescent="0.15">
      <c r="A188" s="102" t="s">
        <v>1925</v>
      </c>
      <c r="B188" s="102" t="s">
        <v>1823</v>
      </c>
      <c r="C188" s="102">
        <v>155179</v>
      </c>
      <c r="D188" s="102" t="s">
        <v>1925</v>
      </c>
      <c r="E188" s="102"/>
    </row>
    <row r="189" spans="1:5" x14ac:dyDescent="0.15">
      <c r="A189" s="102" t="s">
        <v>1251</v>
      </c>
      <c r="B189" s="102" t="s">
        <v>1252</v>
      </c>
      <c r="C189" s="102">
        <v>236408</v>
      </c>
      <c r="D189" s="102" t="s">
        <v>1251</v>
      </c>
      <c r="E189" s="102"/>
    </row>
    <row r="190" spans="1:5" x14ac:dyDescent="0.15">
      <c r="A190" s="102" t="s">
        <v>1253</v>
      </c>
      <c r="B190" s="102" t="s">
        <v>1122</v>
      </c>
      <c r="C190" s="102">
        <v>227536</v>
      </c>
      <c r="D190" s="102" t="s">
        <v>1253</v>
      </c>
      <c r="E190" s="102"/>
    </row>
    <row r="191" spans="1:5" x14ac:dyDescent="0.15">
      <c r="A191" s="102" t="s">
        <v>1254</v>
      </c>
      <c r="B191" s="102" t="s">
        <v>1107</v>
      </c>
      <c r="C191" s="102">
        <v>166538</v>
      </c>
      <c r="D191" s="102" t="s">
        <v>1255</v>
      </c>
      <c r="E191" s="102"/>
    </row>
    <row r="192" spans="1:5" x14ac:dyDescent="0.15">
      <c r="A192" s="102" t="s">
        <v>1926</v>
      </c>
      <c r="B192" s="102" t="s">
        <v>1825</v>
      </c>
      <c r="C192" s="102">
        <v>157874</v>
      </c>
      <c r="D192" s="102" t="s">
        <v>1926</v>
      </c>
      <c r="E192" s="102"/>
    </row>
    <row r="193" spans="1:5" x14ac:dyDescent="0.15">
      <c r="A193" s="102" t="s">
        <v>1256</v>
      </c>
      <c r="B193" s="102" t="s">
        <v>1107</v>
      </c>
      <c r="C193" s="102">
        <v>166539</v>
      </c>
      <c r="D193" s="102" t="s">
        <v>1256</v>
      </c>
      <c r="E193" s="102"/>
    </row>
    <row r="194" spans="1:5" x14ac:dyDescent="0.15">
      <c r="A194" s="102" t="s">
        <v>1257</v>
      </c>
      <c r="B194" s="102" t="s">
        <v>1122</v>
      </c>
      <c r="C194" s="102">
        <v>226513</v>
      </c>
      <c r="D194" s="102" t="s">
        <v>1257</v>
      </c>
      <c r="E194" s="102"/>
    </row>
    <row r="195" spans="1:5" x14ac:dyDescent="0.15">
      <c r="A195" s="102" t="s">
        <v>1258</v>
      </c>
      <c r="B195" s="102" t="s">
        <v>1107</v>
      </c>
      <c r="C195" s="102">
        <v>166543</v>
      </c>
      <c r="D195" s="102" t="s">
        <v>1258</v>
      </c>
      <c r="E195" s="102"/>
    </row>
    <row r="196" spans="1:5" x14ac:dyDescent="0.15">
      <c r="A196" s="102" t="s">
        <v>1259</v>
      </c>
      <c r="B196" s="102" t="s">
        <v>1107</v>
      </c>
      <c r="C196" s="102">
        <v>166544</v>
      </c>
      <c r="D196" s="102" t="s">
        <v>1260</v>
      </c>
      <c r="E196" s="102"/>
    </row>
    <row r="197" spans="1:5" x14ac:dyDescent="0.15">
      <c r="A197" s="102" t="s">
        <v>1927</v>
      </c>
      <c r="B197" s="102" t="s">
        <v>1928</v>
      </c>
      <c r="C197" s="102">
        <v>119783</v>
      </c>
      <c r="D197" s="102" t="s">
        <v>1929</v>
      </c>
      <c r="E197" s="102"/>
    </row>
    <row r="198" spans="1:5" x14ac:dyDescent="0.15">
      <c r="A198" s="102" t="s">
        <v>1261</v>
      </c>
      <c r="B198" s="102" t="s">
        <v>1101</v>
      </c>
      <c r="C198" s="102">
        <v>166545</v>
      </c>
      <c r="D198" s="102" t="s">
        <v>1261</v>
      </c>
      <c r="E198" s="102"/>
    </row>
    <row r="199" spans="1:5" x14ac:dyDescent="0.15">
      <c r="A199" s="102" t="s">
        <v>1262</v>
      </c>
      <c r="B199" s="102" t="s">
        <v>1107</v>
      </c>
      <c r="C199" s="102">
        <v>166547</v>
      </c>
      <c r="D199" s="102" t="s">
        <v>1263</v>
      </c>
      <c r="E199" s="102"/>
    </row>
    <row r="200" spans="1:5" x14ac:dyDescent="0.15">
      <c r="A200" s="102" t="s">
        <v>1264</v>
      </c>
      <c r="B200" s="102" t="s">
        <v>1122</v>
      </c>
      <c r="C200" s="102">
        <v>226954</v>
      </c>
      <c r="D200" s="102" t="s">
        <v>1264</v>
      </c>
      <c r="E200" s="102"/>
    </row>
    <row r="201" spans="1:5" x14ac:dyDescent="0.15">
      <c r="A201" s="102" t="s">
        <v>1930</v>
      </c>
      <c r="B201" s="102" t="s">
        <v>1931</v>
      </c>
      <c r="C201" s="102">
        <v>217083</v>
      </c>
      <c r="D201" s="102" t="s">
        <v>1930</v>
      </c>
      <c r="E201" s="102"/>
    </row>
    <row r="202" spans="1:5" x14ac:dyDescent="0.15">
      <c r="A202" s="102" t="s">
        <v>1932</v>
      </c>
      <c r="B202" s="102" t="s">
        <v>1823</v>
      </c>
      <c r="C202" s="102">
        <v>98842</v>
      </c>
      <c r="D202" s="102" t="s">
        <v>1932</v>
      </c>
      <c r="E202" s="102"/>
    </row>
    <row r="203" spans="1:5" x14ac:dyDescent="0.15">
      <c r="A203" s="102" t="s">
        <v>1933</v>
      </c>
      <c r="B203" s="102" t="s">
        <v>1823</v>
      </c>
      <c r="C203" s="102">
        <v>98840</v>
      </c>
      <c r="D203" s="102" t="s">
        <v>1933</v>
      </c>
      <c r="E203" s="102"/>
    </row>
    <row r="204" spans="1:5" x14ac:dyDescent="0.15">
      <c r="A204" s="102" t="s">
        <v>1265</v>
      </c>
      <c r="B204" s="102" t="s">
        <v>1107</v>
      </c>
      <c r="C204" s="102">
        <v>166548</v>
      </c>
      <c r="D204" s="102" t="s">
        <v>1265</v>
      </c>
      <c r="E204" s="102"/>
    </row>
    <row r="205" spans="1:5" x14ac:dyDescent="0.15">
      <c r="A205" s="102" t="s">
        <v>1934</v>
      </c>
      <c r="B205" s="102" t="s">
        <v>1823</v>
      </c>
      <c r="C205" s="102">
        <v>155177</v>
      </c>
      <c r="D205" s="102" t="s">
        <v>1934</v>
      </c>
      <c r="E205" s="102"/>
    </row>
    <row r="206" spans="1:5" x14ac:dyDescent="0.15">
      <c r="A206" s="102" t="s">
        <v>1935</v>
      </c>
      <c r="B206" s="102" t="s">
        <v>1936</v>
      </c>
      <c r="C206" s="102">
        <v>233805</v>
      </c>
      <c r="D206" s="102" t="s">
        <v>1935</v>
      </c>
      <c r="E206" s="102"/>
    </row>
    <row r="207" spans="1:5" x14ac:dyDescent="0.15">
      <c r="A207" s="102" t="s">
        <v>1937</v>
      </c>
      <c r="B207" s="102" t="s">
        <v>1825</v>
      </c>
      <c r="C207" s="102">
        <v>178585</v>
      </c>
      <c r="D207" s="102" t="s">
        <v>1937</v>
      </c>
      <c r="E207" s="102"/>
    </row>
    <row r="208" spans="1:5" x14ac:dyDescent="0.15">
      <c r="A208" s="102" t="s">
        <v>1938</v>
      </c>
      <c r="B208" s="102" t="s">
        <v>1825</v>
      </c>
      <c r="C208" s="102">
        <v>157574</v>
      </c>
      <c r="D208" s="102" t="s">
        <v>1938</v>
      </c>
      <c r="E208" s="102"/>
    </row>
    <row r="209" spans="1:5" x14ac:dyDescent="0.15">
      <c r="A209" s="102" t="s">
        <v>1939</v>
      </c>
      <c r="B209" s="102" t="s">
        <v>1940</v>
      </c>
      <c r="C209" s="102">
        <v>209556</v>
      </c>
      <c r="D209" s="102" t="s">
        <v>1939</v>
      </c>
      <c r="E209" s="102"/>
    </row>
    <row r="210" spans="1:5" x14ac:dyDescent="0.15">
      <c r="A210" s="102" t="s">
        <v>1266</v>
      </c>
      <c r="B210" s="102" t="s">
        <v>1107</v>
      </c>
      <c r="C210" s="102">
        <v>166549</v>
      </c>
      <c r="D210" s="102" t="s">
        <v>1266</v>
      </c>
      <c r="E210" s="102"/>
    </row>
    <row r="211" spans="1:5" x14ac:dyDescent="0.15">
      <c r="A211" s="102" t="s">
        <v>1941</v>
      </c>
      <c r="B211" s="102" t="s">
        <v>1825</v>
      </c>
      <c r="C211" s="102">
        <v>204394</v>
      </c>
      <c r="D211" s="102" t="s">
        <v>1941</v>
      </c>
      <c r="E211" s="102"/>
    </row>
    <row r="212" spans="1:5" x14ac:dyDescent="0.15">
      <c r="A212" s="102" t="s">
        <v>1942</v>
      </c>
      <c r="B212" s="102" t="s">
        <v>1825</v>
      </c>
      <c r="C212" s="102">
        <v>204393</v>
      </c>
      <c r="D212" s="102" t="s">
        <v>1942</v>
      </c>
      <c r="E212" s="102"/>
    </row>
    <row r="213" spans="1:5" x14ac:dyDescent="0.15">
      <c r="A213" s="102" t="s">
        <v>1267</v>
      </c>
      <c r="B213" s="102" t="s">
        <v>1268</v>
      </c>
      <c r="C213" s="102">
        <v>247054</v>
      </c>
      <c r="D213" s="102" t="s">
        <v>1267</v>
      </c>
      <c r="E213" s="102"/>
    </row>
    <row r="214" spans="1:5" x14ac:dyDescent="0.15">
      <c r="A214" s="102" t="s">
        <v>1269</v>
      </c>
      <c r="B214" s="102" t="s">
        <v>1270</v>
      </c>
      <c r="C214" s="102">
        <v>248135</v>
      </c>
      <c r="D214" s="102" t="s">
        <v>1269</v>
      </c>
      <c r="E214" s="102"/>
    </row>
    <row r="215" spans="1:5" x14ac:dyDescent="0.15">
      <c r="A215" s="102" t="s">
        <v>1269</v>
      </c>
      <c r="B215" s="102" t="s">
        <v>1271</v>
      </c>
      <c r="C215" s="102">
        <v>248137</v>
      </c>
      <c r="D215" s="102" t="s">
        <v>1269</v>
      </c>
      <c r="E215" s="102"/>
    </row>
    <row r="216" spans="1:5" x14ac:dyDescent="0.15">
      <c r="A216" s="102" t="s">
        <v>1272</v>
      </c>
      <c r="B216" s="102" t="s">
        <v>1104</v>
      </c>
      <c r="C216" s="102">
        <v>171799</v>
      </c>
      <c r="D216" s="102" t="s">
        <v>1273</v>
      </c>
      <c r="E216" s="102"/>
    </row>
    <row r="217" spans="1:5" x14ac:dyDescent="0.15">
      <c r="A217" s="102" t="s">
        <v>1943</v>
      </c>
      <c r="B217" s="102" t="s">
        <v>1825</v>
      </c>
      <c r="C217" s="102">
        <v>193871</v>
      </c>
      <c r="D217" s="102" t="s">
        <v>1943</v>
      </c>
      <c r="E217" s="102"/>
    </row>
    <row r="218" spans="1:5" x14ac:dyDescent="0.15">
      <c r="A218" s="102" t="s">
        <v>1274</v>
      </c>
      <c r="B218" s="102" t="s">
        <v>1275</v>
      </c>
      <c r="C218" s="102">
        <v>246132</v>
      </c>
      <c r="D218" s="102" t="s">
        <v>1274</v>
      </c>
      <c r="E218" s="102"/>
    </row>
    <row r="219" spans="1:5" x14ac:dyDescent="0.15">
      <c r="A219" s="102" t="s">
        <v>1944</v>
      </c>
      <c r="B219" s="102" t="s">
        <v>1945</v>
      </c>
      <c r="C219" s="102">
        <v>229555</v>
      </c>
      <c r="D219" s="102" t="s">
        <v>1944</v>
      </c>
      <c r="E219" s="102"/>
    </row>
    <row r="220" spans="1:5" x14ac:dyDescent="0.15">
      <c r="A220" s="102" t="s">
        <v>1276</v>
      </c>
      <c r="B220" s="102" t="s">
        <v>1107</v>
      </c>
      <c r="C220" s="102">
        <v>166550</v>
      </c>
      <c r="D220" s="102" t="s">
        <v>1277</v>
      </c>
      <c r="E220" s="102"/>
    </row>
    <row r="221" spans="1:5" x14ac:dyDescent="0.15">
      <c r="A221" s="102" t="s">
        <v>1946</v>
      </c>
      <c r="B221" s="102" t="s">
        <v>1947</v>
      </c>
      <c r="C221" s="102">
        <v>243860</v>
      </c>
      <c r="D221" s="102" t="s">
        <v>1946</v>
      </c>
      <c r="E221" s="102"/>
    </row>
    <row r="222" spans="1:5" x14ac:dyDescent="0.15">
      <c r="A222" s="102" t="s">
        <v>1948</v>
      </c>
      <c r="B222" s="102" t="s">
        <v>1825</v>
      </c>
      <c r="C222" s="102">
        <v>162880</v>
      </c>
      <c r="D222" s="102" t="s">
        <v>1948</v>
      </c>
      <c r="E222" s="102"/>
    </row>
    <row r="223" spans="1:5" x14ac:dyDescent="0.15">
      <c r="A223" s="102" t="s">
        <v>1949</v>
      </c>
      <c r="B223" s="102" t="s">
        <v>1823</v>
      </c>
      <c r="C223" s="102">
        <v>103261</v>
      </c>
      <c r="D223" s="102" t="s">
        <v>1949</v>
      </c>
      <c r="E223" s="102"/>
    </row>
    <row r="224" spans="1:5" x14ac:dyDescent="0.15">
      <c r="A224" s="102" t="s">
        <v>1950</v>
      </c>
      <c r="B224" s="102" t="s">
        <v>1951</v>
      </c>
      <c r="C224" s="102">
        <v>248741</v>
      </c>
      <c r="D224" s="102" t="s">
        <v>1950</v>
      </c>
      <c r="E224" s="102"/>
    </row>
    <row r="225" spans="1:5" x14ac:dyDescent="0.15">
      <c r="A225" s="102" t="s">
        <v>1952</v>
      </c>
      <c r="B225" s="102" t="s">
        <v>1823</v>
      </c>
      <c r="C225" s="102">
        <v>103148</v>
      </c>
      <c r="D225" s="102" t="s">
        <v>1952</v>
      </c>
      <c r="E225" s="102"/>
    </row>
    <row r="226" spans="1:5" x14ac:dyDescent="0.15">
      <c r="A226" s="102" t="s">
        <v>1953</v>
      </c>
      <c r="B226" s="102" t="s">
        <v>1825</v>
      </c>
      <c r="C226" s="102">
        <v>198979</v>
      </c>
      <c r="D226" s="102" t="s">
        <v>1953</v>
      </c>
      <c r="E226" s="102"/>
    </row>
    <row r="227" spans="1:5" x14ac:dyDescent="0.15">
      <c r="A227" s="102" t="s">
        <v>1278</v>
      </c>
      <c r="B227" s="102" t="s">
        <v>1107</v>
      </c>
      <c r="C227" s="102">
        <v>166551</v>
      </c>
      <c r="D227" s="102" t="s">
        <v>1278</v>
      </c>
      <c r="E227" s="102"/>
    </row>
    <row r="228" spans="1:5" x14ac:dyDescent="0.15">
      <c r="A228" s="102" t="s">
        <v>1954</v>
      </c>
      <c r="B228" s="102" t="s">
        <v>1928</v>
      </c>
      <c r="C228" s="102">
        <v>102857</v>
      </c>
      <c r="D228" s="102" t="s">
        <v>1954</v>
      </c>
      <c r="E228" s="102"/>
    </row>
    <row r="229" spans="1:5" x14ac:dyDescent="0.15">
      <c r="A229" s="102" t="s">
        <v>1955</v>
      </c>
      <c r="B229" s="102" t="s">
        <v>1825</v>
      </c>
      <c r="C229" s="102">
        <v>172924</v>
      </c>
      <c r="D229" s="102" t="s">
        <v>1955</v>
      </c>
      <c r="E229" s="102"/>
    </row>
    <row r="230" spans="1:5" x14ac:dyDescent="0.15">
      <c r="A230" s="102" t="s">
        <v>1956</v>
      </c>
      <c r="B230" s="102" t="s">
        <v>1825</v>
      </c>
      <c r="C230" s="102">
        <v>166301</v>
      </c>
      <c r="D230" s="102" t="s">
        <v>1956</v>
      </c>
      <c r="E230" s="102"/>
    </row>
    <row r="231" spans="1:5" x14ac:dyDescent="0.15">
      <c r="A231" s="102" t="s">
        <v>1957</v>
      </c>
      <c r="B231" s="102" t="s">
        <v>1823</v>
      </c>
      <c r="C231" s="102">
        <v>103151</v>
      </c>
      <c r="D231" s="102" t="s">
        <v>1957</v>
      </c>
      <c r="E231" s="102"/>
    </row>
    <row r="232" spans="1:5" x14ac:dyDescent="0.15">
      <c r="A232" s="102" t="s">
        <v>1958</v>
      </c>
      <c r="B232" s="102" t="s">
        <v>1959</v>
      </c>
      <c r="C232" s="102">
        <v>246927</v>
      </c>
      <c r="D232" s="102" t="s">
        <v>1958</v>
      </c>
      <c r="E232" s="102"/>
    </row>
    <row r="233" spans="1:5" x14ac:dyDescent="0.15">
      <c r="A233" s="102" t="s">
        <v>1960</v>
      </c>
      <c r="B233" s="102" t="s">
        <v>1823</v>
      </c>
      <c r="C233" s="102">
        <v>112150</v>
      </c>
      <c r="D233" s="102" t="s">
        <v>1960</v>
      </c>
      <c r="E233" s="102"/>
    </row>
    <row r="234" spans="1:5" x14ac:dyDescent="0.15">
      <c r="A234" s="102" t="s">
        <v>1961</v>
      </c>
      <c r="B234" s="102" t="s">
        <v>1962</v>
      </c>
      <c r="C234" s="102">
        <v>224066</v>
      </c>
      <c r="D234" s="102" t="s">
        <v>1961</v>
      </c>
      <c r="E234" s="102"/>
    </row>
    <row r="235" spans="1:5" x14ac:dyDescent="0.15">
      <c r="A235" s="102" t="s">
        <v>1963</v>
      </c>
      <c r="B235" s="102" t="s">
        <v>1825</v>
      </c>
      <c r="C235" s="102">
        <v>172923</v>
      </c>
      <c r="D235" s="102" t="s">
        <v>1963</v>
      </c>
      <c r="E235" s="102"/>
    </row>
    <row r="236" spans="1:5" x14ac:dyDescent="0.15">
      <c r="A236" s="102" t="s">
        <v>1964</v>
      </c>
      <c r="B236" s="102" t="s">
        <v>1823</v>
      </c>
      <c r="C236" s="102">
        <v>103367</v>
      </c>
      <c r="D236" s="102" t="s">
        <v>1964</v>
      </c>
      <c r="E236" s="102"/>
    </row>
    <row r="237" spans="1:5" x14ac:dyDescent="0.15">
      <c r="A237" s="102" t="s">
        <v>1964</v>
      </c>
      <c r="B237" s="102" t="s">
        <v>1825</v>
      </c>
      <c r="C237" s="102">
        <v>160584</v>
      </c>
      <c r="D237" s="102" t="s">
        <v>1964</v>
      </c>
      <c r="E237" s="102"/>
    </row>
    <row r="238" spans="1:5" x14ac:dyDescent="0.15">
      <c r="A238" s="102" t="s">
        <v>1965</v>
      </c>
      <c r="B238" s="102" t="s">
        <v>1825</v>
      </c>
      <c r="C238" s="102">
        <v>166296</v>
      </c>
      <c r="D238" s="102" t="s">
        <v>1965</v>
      </c>
      <c r="E238" s="102"/>
    </row>
    <row r="239" spans="1:5" x14ac:dyDescent="0.15">
      <c r="A239" s="102" t="s">
        <v>1966</v>
      </c>
      <c r="B239" s="102" t="s">
        <v>1967</v>
      </c>
      <c r="C239" s="102">
        <v>215432</v>
      </c>
      <c r="D239" s="102" t="s">
        <v>1966</v>
      </c>
      <c r="E239" s="102"/>
    </row>
    <row r="240" spans="1:5" x14ac:dyDescent="0.15">
      <c r="A240" s="102" t="s">
        <v>1968</v>
      </c>
      <c r="B240" s="102" t="s">
        <v>1825</v>
      </c>
      <c r="C240" s="102">
        <v>200080</v>
      </c>
      <c r="D240" s="102" t="s">
        <v>1968</v>
      </c>
      <c r="E240" s="102"/>
    </row>
    <row r="241" spans="1:5" x14ac:dyDescent="0.15">
      <c r="A241" s="102" t="s">
        <v>1969</v>
      </c>
      <c r="B241" s="102" t="s">
        <v>1970</v>
      </c>
      <c r="C241" s="102">
        <v>243865</v>
      </c>
      <c r="D241" s="102" t="s">
        <v>1969</v>
      </c>
      <c r="E241" s="102"/>
    </row>
    <row r="242" spans="1:5" x14ac:dyDescent="0.15">
      <c r="A242" s="102" t="s">
        <v>1971</v>
      </c>
      <c r="B242" s="102" t="s">
        <v>1972</v>
      </c>
      <c r="C242" s="102">
        <v>157567</v>
      </c>
      <c r="D242" s="102" t="s">
        <v>1971</v>
      </c>
      <c r="E242" s="102"/>
    </row>
    <row r="243" spans="1:5" x14ac:dyDescent="0.15">
      <c r="A243" s="102" t="s">
        <v>1279</v>
      </c>
      <c r="B243" s="102" t="s">
        <v>1107</v>
      </c>
      <c r="C243" s="102">
        <v>166553</v>
      </c>
      <c r="D243" s="102" t="s">
        <v>1280</v>
      </c>
      <c r="E243" s="102"/>
    </row>
    <row r="244" spans="1:5" x14ac:dyDescent="0.15">
      <c r="A244" s="102" t="s">
        <v>1973</v>
      </c>
      <c r="B244" s="102" t="s">
        <v>1823</v>
      </c>
      <c r="C244" s="102">
        <v>103209</v>
      </c>
      <c r="D244" s="102" t="s">
        <v>1973</v>
      </c>
      <c r="E244" s="102"/>
    </row>
    <row r="245" spans="1:5" x14ac:dyDescent="0.15">
      <c r="A245" s="102" t="s">
        <v>1974</v>
      </c>
      <c r="B245" s="102" t="s">
        <v>1823</v>
      </c>
      <c r="C245" s="102">
        <v>119976</v>
      </c>
      <c r="D245" s="102" t="s">
        <v>1974</v>
      </c>
      <c r="E245" s="102"/>
    </row>
    <row r="246" spans="1:5" x14ac:dyDescent="0.15">
      <c r="A246" s="102" t="s">
        <v>1281</v>
      </c>
      <c r="B246" s="102" t="s">
        <v>1107</v>
      </c>
      <c r="C246" s="102">
        <v>166554</v>
      </c>
      <c r="D246" s="102" t="s">
        <v>1282</v>
      </c>
      <c r="E246" s="102"/>
    </row>
    <row r="247" spans="1:5" x14ac:dyDescent="0.15">
      <c r="A247" s="102" t="s">
        <v>1975</v>
      </c>
      <c r="B247" s="102" t="s">
        <v>1823</v>
      </c>
      <c r="C247" s="102">
        <v>101064</v>
      </c>
      <c r="D247" s="102" t="s">
        <v>1975</v>
      </c>
      <c r="E247" s="102"/>
    </row>
    <row r="248" spans="1:5" x14ac:dyDescent="0.15">
      <c r="A248" s="102" t="s">
        <v>1283</v>
      </c>
      <c r="B248" s="102" t="s">
        <v>1107</v>
      </c>
      <c r="C248" s="102">
        <v>166555</v>
      </c>
      <c r="D248" s="102" t="s">
        <v>1283</v>
      </c>
      <c r="E248" s="102"/>
    </row>
    <row r="249" spans="1:5" x14ac:dyDescent="0.15">
      <c r="A249" s="102" t="s">
        <v>1284</v>
      </c>
      <c r="B249" s="102" t="s">
        <v>1107</v>
      </c>
      <c r="C249" s="102">
        <v>166557</v>
      </c>
      <c r="D249" s="102" t="s">
        <v>1284</v>
      </c>
      <c r="E249" s="102"/>
    </row>
    <row r="250" spans="1:5" x14ac:dyDescent="0.15">
      <c r="A250" s="102" t="s">
        <v>1976</v>
      </c>
      <c r="B250" s="102" t="s">
        <v>1825</v>
      </c>
      <c r="C250" s="102">
        <v>162879</v>
      </c>
      <c r="D250" s="102" t="s">
        <v>1976</v>
      </c>
      <c r="E250" s="102"/>
    </row>
    <row r="251" spans="1:5" x14ac:dyDescent="0.15">
      <c r="A251" s="102" t="s">
        <v>1977</v>
      </c>
      <c r="B251" s="102" t="s">
        <v>1978</v>
      </c>
      <c r="C251" s="102">
        <v>213753</v>
      </c>
      <c r="D251" s="102" t="s">
        <v>1977</v>
      </c>
      <c r="E251" s="102"/>
    </row>
    <row r="252" spans="1:5" x14ac:dyDescent="0.15">
      <c r="A252" s="102" t="s">
        <v>1979</v>
      </c>
      <c r="B252" s="102" t="s">
        <v>1825</v>
      </c>
      <c r="C252" s="102">
        <v>162876</v>
      </c>
      <c r="D252" s="102" t="s">
        <v>1979</v>
      </c>
      <c r="E252" s="102"/>
    </row>
    <row r="253" spans="1:5" x14ac:dyDescent="0.15">
      <c r="A253" s="102" t="s">
        <v>1285</v>
      </c>
      <c r="B253" s="102" t="s">
        <v>1107</v>
      </c>
      <c r="C253" s="102">
        <v>166559</v>
      </c>
      <c r="D253" s="102" t="s">
        <v>1285</v>
      </c>
      <c r="E253" s="102"/>
    </row>
    <row r="254" spans="1:5" x14ac:dyDescent="0.15">
      <c r="A254" s="102" t="s">
        <v>1286</v>
      </c>
      <c r="B254" s="102" t="s">
        <v>1107</v>
      </c>
      <c r="C254" s="102">
        <v>166560</v>
      </c>
      <c r="D254" s="102" t="s">
        <v>1286</v>
      </c>
      <c r="E254" s="102"/>
    </row>
    <row r="255" spans="1:5" x14ac:dyDescent="0.15">
      <c r="A255" s="102" t="s">
        <v>1980</v>
      </c>
      <c r="B255" s="102" t="s">
        <v>1825</v>
      </c>
      <c r="C255" s="102">
        <v>202454</v>
      </c>
      <c r="D255" s="102" t="s">
        <v>1980</v>
      </c>
      <c r="E255" s="102"/>
    </row>
    <row r="256" spans="1:5" x14ac:dyDescent="0.15">
      <c r="A256" s="102" t="s">
        <v>1981</v>
      </c>
      <c r="B256" s="102" t="s">
        <v>1823</v>
      </c>
      <c r="C256" s="102">
        <v>110994</v>
      </c>
      <c r="D256" s="102" t="s">
        <v>1982</v>
      </c>
      <c r="E256" s="102"/>
    </row>
    <row r="257" spans="1:5" x14ac:dyDescent="0.15">
      <c r="A257" s="102" t="s">
        <v>1983</v>
      </c>
      <c r="B257" s="102" t="s">
        <v>1984</v>
      </c>
      <c r="C257" s="102">
        <v>217516</v>
      </c>
      <c r="D257" s="102" t="s">
        <v>1985</v>
      </c>
      <c r="E257" s="102"/>
    </row>
    <row r="258" spans="1:5" x14ac:dyDescent="0.15">
      <c r="A258" s="102" t="s">
        <v>1287</v>
      </c>
      <c r="B258" s="102" t="s">
        <v>1107</v>
      </c>
      <c r="C258" s="102">
        <v>166561</v>
      </c>
      <c r="D258" s="102" t="s">
        <v>1287</v>
      </c>
      <c r="E258" s="102"/>
    </row>
    <row r="259" spans="1:5" x14ac:dyDescent="0.15">
      <c r="A259" s="102" t="s">
        <v>1288</v>
      </c>
      <c r="B259" s="102" t="s">
        <v>1104</v>
      </c>
      <c r="C259" s="102">
        <v>172660</v>
      </c>
      <c r="D259" s="102" t="s">
        <v>1288</v>
      </c>
      <c r="E259" s="102"/>
    </row>
    <row r="260" spans="1:5" x14ac:dyDescent="0.15">
      <c r="A260" s="102" t="s">
        <v>1986</v>
      </c>
      <c r="B260" s="102" t="s">
        <v>1823</v>
      </c>
      <c r="C260" s="102">
        <v>155654</v>
      </c>
      <c r="D260" s="102" t="s">
        <v>1986</v>
      </c>
      <c r="E260" s="102"/>
    </row>
    <row r="261" spans="1:5" x14ac:dyDescent="0.15">
      <c r="A261" s="102" t="s">
        <v>1987</v>
      </c>
      <c r="B261" s="102" t="s">
        <v>1988</v>
      </c>
      <c r="C261" s="102">
        <v>217298</v>
      </c>
      <c r="D261" s="102" t="s">
        <v>1987</v>
      </c>
      <c r="E261" s="102"/>
    </row>
    <row r="262" spans="1:5" x14ac:dyDescent="0.15">
      <c r="A262" s="102" t="s">
        <v>1289</v>
      </c>
      <c r="B262" s="102" t="s">
        <v>1290</v>
      </c>
      <c r="C262" s="102">
        <v>246947</v>
      </c>
      <c r="D262" s="102" t="s">
        <v>1289</v>
      </c>
      <c r="E262" s="102"/>
    </row>
    <row r="263" spans="1:5" x14ac:dyDescent="0.15">
      <c r="A263" s="102" t="s">
        <v>1989</v>
      </c>
      <c r="B263" s="102" t="s">
        <v>1823</v>
      </c>
      <c r="C263" s="102">
        <v>111930</v>
      </c>
      <c r="D263" s="102" t="s">
        <v>1989</v>
      </c>
      <c r="E263" s="102"/>
    </row>
    <row r="264" spans="1:5" x14ac:dyDescent="0.15">
      <c r="A264" s="102" t="s">
        <v>1291</v>
      </c>
      <c r="B264" s="102" t="s">
        <v>1122</v>
      </c>
      <c r="C264" s="102">
        <v>207276</v>
      </c>
      <c r="D264" s="102" t="s">
        <v>1291</v>
      </c>
      <c r="E264" s="102"/>
    </row>
    <row r="265" spans="1:5" x14ac:dyDescent="0.15">
      <c r="A265" s="102" t="s">
        <v>1292</v>
      </c>
      <c r="B265" s="102" t="s">
        <v>1122</v>
      </c>
      <c r="C265" s="102">
        <v>221021</v>
      </c>
      <c r="D265" s="102" t="s">
        <v>1292</v>
      </c>
      <c r="E265" s="102"/>
    </row>
    <row r="266" spans="1:5" x14ac:dyDescent="0.15">
      <c r="A266" s="102" t="s">
        <v>1990</v>
      </c>
      <c r="B266" s="102" t="s">
        <v>1991</v>
      </c>
      <c r="C266" s="102">
        <v>223524</v>
      </c>
      <c r="D266" s="102" t="s">
        <v>1990</v>
      </c>
      <c r="E266" s="102"/>
    </row>
    <row r="267" spans="1:5" x14ac:dyDescent="0.15">
      <c r="A267" s="102" t="s">
        <v>1992</v>
      </c>
      <c r="B267" s="102" t="s">
        <v>1823</v>
      </c>
      <c r="C267" s="102">
        <v>155842</v>
      </c>
      <c r="D267" s="102" t="s">
        <v>1992</v>
      </c>
      <c r="E267" s="102"/>
    </row>
    <row r="268" spans="1:5" x14ac:dyDescent="0.15">
      <c r="A268" s="102" t="s">
        <v>1293</v>
      </c>
      <c r="B268" s="102" t="s">
        <v>1122</v>
      </c>
      <c r="C268" s="102">
        <v>217474</v>
      </c>
      <c r="D268" s="102" t="s">
        <v>1293</v>
      </c>
      <c r="E268" s="102"/>
    </row>
    <row r="269" spans="1:5" x14ac:dyDescent="0.15">
      <c r="A269" s="102" t="s">
        <v>1993</v>
      </c>
      <c r="B269" s="102" t="s">
        <v>1994</v>
      </c>
      <c r="C269" s="102">
        <v>98460</v>
      </c>
      <c r="D269" s="102" t="s">
        <v>1993</v>
      </c>
      <c r="E269" s="102"/>
    </row>
    <row r="270" spans="1:5" x14ac:dyDescent="0.15">
      <c r="A270" s="102" t="s">
        <v>1294</v>
      </c>
      <c r="B270" s="102" t="s">
        <v>1107</v>
      </c>
      <c r="C270" s="102">
        <v>166562</v>
      </c>
      <c r="D270" s="102" t="s">
        <v>1295</v>
      </c>
      <c r="E270" s="102"/>
    </row>
    <row r="271" spans="1:5" x14ac:dyDescent="0.15">
      <c r="A271" s="102" t="s">
        <v>1296</v>
      </c>
      <c r="B271" s="102" t="s">
        <v>1107</v>
      </c>
      <c r="C271" s="102">
        <v>166564</v>
      </c>
      <c r="D271" s="102" t="s">
        <v>1296</v>
      </c>
      <c r="E271" s="102"/>
    </row>
    <row r="272" spans="1:5" x14ac:dyDescent="0.15">
      <c r="A272" s="102" t="s">
        <v>1297</v>
      </c>
      <c r="B272" s="102" t="s">
        <v>1107</v>
      </c>
      <c r="C272" s="102">
        <v>166565</v>
      </c>
      <c r="D272" s="102" t="s">
        <v>1297</v>
      </c>
      <c r="E272" s="102"/>
    </row>
    <row r="273" spans="1:5" x14ac:dyDescent="0.15">
      <c r="A273" s="102" t="s">
        <v>1298</v>
      </c>
      <c r="B273" s="102" t="s">
        <v>1107</v>
      </c>
      <c r="C273" s="102">
        <v>166566</v>
      </c>
      <c r="D273" s="102" t="s">
        <v>1298</v>
      </c>
      <c r="E273" s="102"/>
    </row>
    <row r="274" spans="1:5" x14ac:dyDescent="0.15">
      <c r="A274" s="102" t="s">
        <v>1299</v>
      </c>
      <c r="B274" s="102" t="s">
        <v>1122</v>
      </c>
      <c r="C274" s="102">
        <v>206993</v>
      </c>
      <c r="D274" s="102" t="s">
        <v>1299</v>
      </c>
      <c r="E274" s="102"/>
    </row>
    <row r="275" spans="1:5" x14ac:dyDescent="0.15">
      <c r="A275" s="102" t="s">
        <v>1995</v>
      </c>
      <c r="B275" s="102" t="s">
        <v>1996</v>
      </c>
      <c r="C275" s="102">
        <v>245542</v>
      </c>
      <c r="D275" s="102" t="s">
        <v>1995</v>
      </c>
      <c r="E275" s="102"/>
    </row>
    <row r="276" spans="1:5" x14ac:dyDescent="0.15">
      <c r="A276" s="102" t="s">
        <v>1300</v>
      </c>
      <c r="B276" s="102" t="s">
        <v>1107</v>
      </c>
      <c r="C276" s="102">
        <v>166567</v>
      </c>
      <c r="D276" s="102" t="s">
        <v>1300</v>
      </c>
      <c r="E276" s="102"/>
    </row>
    <row r="277" spans="1:5" x14ac:dyDescent="0.15">
      <c r="A277" s="102" t="s">
        <v>1997</v>
      </c>
      <c r="B277" s="102" t="s">
        <v>1825</v>
      </c>
      <c r="C277" s="102">
        <v>207494</v>
      </c>
      <c r="D277" s="102" t="s">
        <v>1997</v>
      </c>
      <c r="E277" s="102"/>
    </row>
    <row r="278" spans="1:5" x14ac:dyDescent="0.15">
      <c r="A278" s="102" t="s">
        <v>1998</v>
      </c>
      <c r="B278" s="102" t="s">
        <v>1928</v>
      </c>
      <c r="C278" s="102">
        <v>202314</v>
      </c>
      <c r="D278" s="102" t="s">
        <v>1998</v>
      </c>
      <c r="E278" s="102"/>
    </row>
    <row r="279" spans="1:5" x14ac:dyDescent="0.15">
      <c r="A279" s="102" t="s">
        <v>1301</v>
      </c>
      <c r="B279" s="102" t="s">
        <v>1107</v>
      </c>
      <c r="C279" s="102">
        <v>166568</v>
      </c>
      <c r="D279" s="102" t="s">
        <v>1301</v>
      </c>
      <c r="E279" s="102"/>
    </row>
    <row r="280" spans="1:5" x14ac:dyDescent="0.15">
      <c r="A280" s="102" t="s">
        <v>1999</v>
      </c>
      <c r="B280" s="102" t="s">
        <v>1825</v>
      </c>
      <c r="C280" s="102">
        <v>172754</v>
      </c>
      <c r="D280" s="102" t="s">
        <v>1999</v>
      </c>
      <c r="E280" s="102"/>
    </row>
    <row r="281" spans="1:5" x14ac:dyDescent="0.15">
      <c r="A281" s="102" t="s">
        <v>1302</v>
      </c>
      <c r="B281" s="102" t="s">
        <v>1101</v>
      </c>
      <c r="C281" s="102">
        <v>166569</v>
      </c>
      <c r="D281" s="102" t="s">
        <v>1302</v>
      </c>
      <c r="E281" s="102"/>
    </row>
    <row r="282" spans="1:5" x14ac:dyDescent="0.15">
      <c r="A282" s="102" t="s">
        <v>2000</v>
      </c>
      <c r="B282" s="102" t="s">
        <v>1825</v>
      </c>
      <c r="C282" s="102">
        <v>162860</v>
      </c>
      <c r="D282" s="102" t="s">
        <v>2000</v>
      </c>
      <c r="E282" s="102"/>
    </row>
    <row r="283" spans="1:5" x14ac:dyDescent="0.15">
      <c r="A283" s="102" t="s">
        <v>2001</v>
      </c>
      <c r="B283" s="102" t="s">
        <v>1928</v>
      </c>
      <c r="C283" s="102">
        <v>115447</v>
      </c>
      <c r="D283" s="102" t="s">
        <v>2001</v>
      </c>
      <c r="E283" s="102"/>
    </row>
    <row r="284" spans="1:5" x14ac:dyDescent="0.15">
      <c r="A284" s="102" t="s">
        <v>2002</v>
      </c>
      <c r="B284" s="102" t="s">
        <v>1823</v>
      </c>
      <c r="C284" s="102">
        <v>110473</v>
      </c>
      <c r="D284" s="102" t="s">
        <v>2002</v>
      </c>
      <c r="E284" s="102"/>
    </row>
    <row r="285" spans="1:5" x14ac:dyDescent="0.15">
      <c r="A285" s="102" t="s">
        <v>2003</v>
      </c>
      <c r="B285" s="102" t="s">
        <v>1928</v>
      </c>
      <c r="C285" s="102">
        <v>119829</v>
      </c>
      <c r="D285" s="102" t="s">
        <v>2003</v>
      </c>
      <c r="E285" s="102"/>
    </row>
    <row r="286" spans="1:5" x14ac:dyDescent="0.15">
      <c r="A286" s="102" t="s">
        <v>2004</v>
      </c>
      <c r="B286" s="102" t="s">
        <v>1825</v>
      </c>
      <c r="C286" s="102">
        <v>204308</v>
      </c>
      <c r="D286" s="102" t="s">
        <v>2004</v>
      </c>
      <c r="E286" s="102"/>
    </row>
    <row r="287" spans="1:5" x14ac:dyDescent="0.15">
      <c r="A287" s="102" t="s">
        <v>2005</v>
      </c>
      <c r="B287" s="102" t="s">
        <v>1825</v>
      </c>
      <c r="C287" s="102">
        <v>162580</v>
      </c>
      <c r="D287" s="102" t="s">
        <v>2005</v>
      </c>
      <c r="E287" s="102"/>
    </row>
    <row r="288" spans="1:5" x14ac:dyDescent="0.15">
      <c r="A288" s="102" t="s">
        <v>2006</v>
      </c>
      <c r="B288" s="102" t="s">
        <v>2007</v>
      </c>
      <c r="C288" s="102">
        <v>248740</v>
      </c>
      <c r="D288" s="102" t="s">
        <v>2006</v>
      </c>
      <c r="E288" s="102"/>
    </row>
    <row r="289" spans="1:5" x14ac:dyDescent="0.15">
      <c r="A289" s="102" t="s">
        <v>2008</v>
      </c>
      <c r="B289" s="102" t="s">
        <v>2009</v>
      </c>
      <c r="C289" s="102">
        <v>245788</v>
      </c>
      <c r="D289" s="102" t="s">
        <v>2008</v>
      </c>
      <c r="E289" s="102"/>
    </row>
    <row r="290" spans="1:5" x14ac:dyDescent="0.15">
      <c r="A290" s="102" t="s">
        <v>1303</v>
      </c>
      <c r="B290" s="102" t="s">
        <v>1107</v>
      </c>
      <c r="C290" s="102">
        <v>166570</v>
      </c>
      <c r="D290" s="102" t="s">
        <v>1303</v>
      </c>
      <c r="E290" s="102"/>
    </row>
    <row r="291" spans="1:5" x14ac:dyDescent="0.15">
      <c r="A291" s="102" t="s">
        <v>2010</v>
      </c>
      <c r="B291" s="102" t="s">
        <v>1928</v>
      </c>
      <c r="C291" s="102">
        <v>98463</v>
      </c>
      <c r="D291" s="102" t="s">
        <v>2010</v>
      </c>
      <c r="E291" s="102"/>
    </row>
    <row r="292" spans="1:5" x14ac:dyDescent="0.15">
      <c r="A292" s="102" t="s">
        <v>1304</v>
      </c>
      <c r="B292" s="102" t="s">
        <v>1305</v>
      </c>
      <c r="C292" s="102">
        <v>247887</v>
      </c>
      <c r="D292" s="102" t="s">
        <v>1304</v>
      </c>
      <c r="E292" s="102"/>
    </row>
    <row r="293" spans="1:5" x14ac:dyDescent="0.15">
      <c r="A293" s="102" t="s">
        <v>2011</v>
      </c>
      <c r="B293" s="102" t="s">
        <v>1825</v>
      </c>
      <c r="C293" s="102">
        <v>181821</v>
      </c>
      <c r="D293" s="102" t="s">
        <v>2011</v>
      </c>
      <c r="E293" s="102"/>
    </row>
    <row r="294" spans="1:5" x14ac:dyDescent="0.15">
      <c r="A294" s="102" t="s">
        <v>2012</v>
      </c>
      <c r="B294" s="102" t="s">
        <v>1823</v>
      </c>
      <c r="C294" s="102">
        <v>103333</v>
      </c>
      <c r="D294" s="102" t="s">
        <v>2012</v>
      </c>
      <c r="E294" s="102"/>
    </row>
    <row r="295" spans="1:5" x14ac:dyDescent="0.15">
      <c r="A295" s="102" t="s">
        <v>2013</v>
      </c>
      <c r="B295" s="102" t="s">
        <v>1825</v>
      </c>
      <c r="C295" s="102">
        <v>158054</v>
      </c>
      <c r="D295" s="102" t="s">
        <v>2013</v>
      </c>
      <c r="E295" s="102"/>
    </row>
    <row r="296" spans="1:5" x14ac:dyDescent="0.15">
      <c r="A296" s="102" t="s">
        <v>1306</v>
      </c>
      <c r="B296" s="102" t="s">
        <v>1307</v>
      </c>
      <c r="C296" s="102">
        <v>246134</v>
      </c>
      <c r="D296" s="102" t="s">
        <v>1306</v>
      </c>
      <c r="E296" s="102"/>
    </row>
    <row r="297" spans="1:5" x14ac:dyDescent="0.15">
      <c r="A297" s="102" t="s">
        <v>1308</v>
      </c>
      <c r="B297" s="102" t="s">
        <v>1107</v>
      </c>
      <c r="C297" s="102">
        <v>166578</v>
      </c>
      <c r="D297" s="102" t="s">
        <v>1308</v>
      </c>
      <c r="E297" s="102"/>
    </row>
    <row r="298" spans="1:5" x14ac:dyDescent="0.15">
      <c r="A298" s="102" t="s">
        <v>1309</v>
      </c>
      <c r="B298" s="102" t="s">
        <v>1107</v>
      </c>
      <c r="C298" s="102">
        <v>166575</v>
      </c>
      <c r="D298" s="102" t="s">
        <v>1310</v>
      </c>
      <c r="E298" s="102"/>
    </row>
    <row r="299" spans="1:5" x14ac:dyDescent="0.15">
      <c r="A299" s="102" t="s">
        <v>1311</v>
      </c>
      <c r="B299" s="102" t="s">
        <v>1104</v>
      </c>
      <c r="C299" s="102">
        <v>172605</v>
      </c>
      <c r="D299" s="102" t="s">
        <v>1312</v>
      </c>
      <c r="E299" s="102"/>
    </row>
    <row r="300" spans="1:5" x14ac:dyDescent="0.15">
      <c r="A300" s="102" t="s">
        <v>2014</v>
      </c>
      <c r="B300" s="102" t="s">
        <v>2015</v>
      </c>
      <c r="C300" s="102">
        <v>243867</v>
      </c>
      <c r="D300" s="102" t="s">
        <v>2014</v>
      </c>
      <c r="E300" s="102"/>
    </row>
    <row r="301" spans="1:5" x14ac:dyDescent="0.15">
      <c r="A301" s="102" t="s">
        <v>2016</v>
      </c>
      <c r="B301" s="102" t="s">
        <v>2017</v>
      </c>
      <c r="C301" s="102">
        <v>216250</v>
      </c>
      <c r="D301" s="102" t="s">
        <v>2016</v>
      </c>
      <c r="E301" s="102"/>
    </row>
    <row r="302" spans="1:5" x14ac:dyDescent="0.15">
      <c r="A302" s="102" t="s">
        <v>1313</v>
      </c>
      <c r="B302" s="102" t="s">
        <v>1107</v>
      </c>
      <c r="C302" s="102">
        <v>166630</v>
      </c>
      <c r="D302" s="102" t="s">
        <v>1314</v>
      </c>
      <c r="E302" s="102"/>
    </row>
    <row r="303" spans="1:5" x14ac:dyDescent="0.15">
      <c r="A303" s="102" t="s">
        <v>2018</v>
      </c>
      <c r="B303" s="102" t="s">
        <v>2019</v>
      </c>
      <c r="C303" s="102">
        <v>247310</v>
      </c>
      <c r="D303" s="102" t="s">
        <v>2018</v>
      </c>
      <c r="E303" s="102"/>
    </row>
    <row r="304" spans="1:5" x14ac:dyDescent="0.15">
      <c r="A304" s="102" t="s">
        <v>1315</v>
      </c>
      <c r="B304" s="102" t="s">
        <v>1107</v>
      </c>
      <c r="C304" s="102">
        <v>166632</v>
      </c>
      <c r="D304" s="102" t="s">
        <v>1315</v>
      </c>
      <c r="E304" s="102"/>
    </row>
    <row r="305" spans="1:5" x14ac:dyDescent="0.15">
      <c r="A305" s="102" t="s">
        <v>2020</v>
      </c>
      <c r="B305" s="102" t="s">
        <v>1928</v>
      </c>
      <c r="C305" s="102">
        <v>162871</v>
      </c>
      <c r="D305" s="102" t="s">
        <v>2020</v>
      </c>
      <c r="E305" s="102"/>
    </row>
    <row r="306" spans="1:5" x14ac:dyDescent="0.15">
      <c r="A306" s="102" t="s">
        <v>2021</v>
      </c>
      <c r="B306" s="102" t="s">
        <v>2022</v>
      </c>
      <c r="C306" s="102">
        <v>244638</v>
      </c>
      <c r="D306" s="102" t="s">
        <v>2021</v>
      </c>
      <c r="E306" s="102"/>
    </row>
    <row r="307" spans="1:5" x14ac:dyDescent="0.15">
      <c r="A307" s="102" t="s">
        <v>2023</v>
      </c>
      <c r="B307" s="102" t="s">
        <v>1823</v>
      </c>
      <c r="C307" s="102">
        <v>103275</v>
      </c>
      <c r="D307" s="102" t="s">
        <v>2024</v>
      </c>
      <c r="E307" s="102"/>
    </row>
    <row r="308" spans="1:5" x14ac:dyDescent="0.15">
      <c r="A308" s="102" t="s">
        <v>2025</v>
      </c>
      <c r="B308" s="102" t="s">
        <v>2026</v>
      </c>
      <c r="C308" s="102">
        <v>217000</v>
      </c>
      <c r="D308" s="102" t="s">
        <v>2025</v>
      </c>
      <c r="E308" s="102"/>
    </row>
    <row r="309" spans="1:5" x14ac:dyDescent="0.15">
      <c r="A309" s="102" t="s">
        <v>2027</v>
      </c>
      <c r="B309" s="102" t="s">
        <v>2028</v>
      </c>
      <c r="C309" s="102">
        <v>216998</v>
      </c>
      <c r="D309" s="102" t="s">
        <v>2027</v>
      </c>
      <c r="E309" s="102"/>
    </row>
    <row r="310" spans="1:5" x14ac:dyDescent="0.15">
      <c r="A310" s="102" t="s">
        <v>2029</v>
      </c>
      <c r="B310" s="102" t="s">
        <v>2019</v>
      </c>
      <c r="C310" s="102">
        <v>247311</v>
      </c>
      <c r="D310" s="102" t="s">
        <v>2029</v>
      </c>
      <c r="E310" s="102"/>
    </row>
    <row r="311" spans="1:5" x14ac:dyDescent="0.15">
      <c r="A311" s="102" t="s">
        <v>2030</v>
      </c>
      <c r="B311" s="102" t="s">
        <v>2031</v>
      </c>
      <c r="C311" s="102">
        <v>247733</v>
      </c>
      <c r="D311" s="102" t="s">
        <v>2030</v>
      </c>
      <c r="E311" s="102"/>
    </row>
    <row r="312" spans="1:5" x14ac:dyDescent="0.15">
      <c r="A312" s="102" t="s">
        <v>2032</v>
      </c>
      <c r="B312" s="102" t="s">
        <v>1896</v>
      </c>
      <c r="C312" s="102">
        <v>246980</v>
      </c>
      <c r="D312" s="102" t="s">
        <v>2032</v>
      </c>
      <c r="E312" s="102"/>
    </row>
    <row r="313" spans="1:5" x14ac:dyDescent="0.15">
      <c r="A313" s="102" t="s">
        <v>2033</v>
      </c>
      <c r="B313" s="102" t="s">
        <v>2034</v>
      </c>
      <c r="C313" s="102">
        <v>218403</v>
      </c>
      <c r="D313" s="102" t="s">
        <v>2033</v>
      </c>
      <c r="E313" s="102"/>
    </row>
    <row r="314" spans="1:5" x14ac:dyDescent="0.15">
      <c r="A314" s="102" t="s">
        <v>1316</v>
      </c>
      <c r="B314" s="102" t="s">
        <v>1107</v>
      </c>
      <c r="C314" s="102">
        <v>166635</v>
      </c>
      <c r="D314" s="102" t="s">
        <v>1316</v>
      </c>
      <c r="E314" s="102"/>
    </row>
    <row r="315" spans="1:5" x14ac:dyDescent="0.15">
      <c r="A315" s="102" t="s">
        <v>1317</v>
      </c>
      <c r="B315" s="102" t="s">
        <v>1101</v>
      </c>
      <c r="C315" s="102">
        <v>166530</v>
      </c>
      <c r="D315" s="102" t="s">
        <v>1317</v>
      </c>
      <c r="E315" s="102"/>
    </row>
    <row r="316" spans="1:5" x14ac:dyDescent="0.15">
      <c r="A316" s="102" t="s">
        <v>1318</v>
      </c>
      <c r="B316" s="102" t="s">
        <v>1107</v>
      </c>
      <c r="C316" s="102">
        <v>166636</v>
      </c>
      <c r="D316" s="102" t="s">
        <v>1318</v>
      </c>
      <c r="E316" s="102"/>
    </row>
    <row r="317" spans="1:5" x14ac:dyDescent="0.15">
      <c r="A317" s="102" t="s">
        <v>1319</v>
      </c>
      <c r="B317" s="102" t="s">
        <v>1107</v>
      </c>
      <c r="C317" s="102">
        <v>166633</v>
      </c>
      <c r="D317" s="102" t="s">
        <v>1319</v>
      </c>
      <c r="E317" s="102"/>
    </row>
    <row r="318" spans="1:5" x14ac:dyDescent="0.15">
      <c r="A318" s="102" t="s">
        <v>2035</v>
      </c>
      <c r="B318" s="102" t="s">
        <v>1825</v>
      </c>
      <c r="C318" s="102">
        <v>164722</v>
      </c>
      <c r="D318" s="102" t="s">
        <v>2035</v>
      </c>
      <c r="E318" s="102"/>
    </row>
    <row r="319" spans="1:5" x14ac:dyDescent="0.15">
      <c r="A319" s="102" t="s">
        <v>2036</v>
      </c>
      <c r="B319" s="102" t="s">
        <v>1823</v>
      </c>
      <c r="C319" s="102">
        <v>98985</v>
      </c>
      <c r="D319" s="102" t="s">
        <v>2036</v>
      </c>
      <c r="E319" s="102"/>
    </row>
    <row r="320" spans="1:5" x14ac:dyDescent="0.15">
      <c r="A320" s="102" t="s">
        <v>2037</v>
      </c>
      <c r="B320" s="102" t="s">
        <v>1823</v>
      </c>
      <c r="C320" s="102">
        <v>111928</v>
      </c>
      <c r="D320" s="102" t="s">
        <v>2037</v>
      </c>
      <c r="E320" s="102"/>
    </row>
    <row r="321" spans="1:5" x14ac:dyDescent="0.15">
      <c r="A321" s="102" t="s">
        <v>2038</v>
      </c>
      <c r="B321" s="102" t="s">
        <v>1928</v>
      </c>
      <c r="C321" s="102">
        <v>178153</v>
      </c>
      <c r="D321" s="102" t="s">
        <v>2038</v>
      </c>
      <c r="E321" s="102"/>
    </row>
    <row r="322" spans="1:5" x14ac:dyDescent="0.15">
      <c r="A322" s="102" t="s">
        <v>2039</v>
      </c>
      <c r="B322" s="102" t="s">
        <v>1823</v>
      </c>
      <c r="C322" s="102">
        <v>121315</v>
      </c>
      <c r="D322" s="102" t="s">
        <v>2039</v>
      </c>
      <c r="E322" s="102"/>
    </row>
    <row r="323" spans="1:5" x14ac:dyDescent="0.15">
      <c r="A323" s="102" t="s">
        <v>1320</v>
      </c>
      <c r="B323" s="102" t="s">
        <v>1107</v>
      </c>
      <c r="C323" s="102">
        <v>166573</v>
      </c>
      <c r="D323" s="102" t="s">
        <v>1320</v>
      </c>
      <c r="E323" s="102"/>
    </row>
    <row r="324" spans="1:5" x14ac:dyDescent="0.15">
      <c r="A324" s="102" t="s">
        <v>1321</v>
      </c>
      <c r="B324" s="102" t="s">
        <v>1107</v>
      </c>
      <c r="C324" s="102">
        <v>166640</v>
      </c>
      <c r="D324" s="102" t="s">
        <v>1322</v>
      </c>
      <c r="E324" s="102"/>
    </row>
    <row r="325" spans="1:5" x14ac:dyDescent="0.15">
      <c r="A325" s="102" t="s">
        <v>2040</v>
      </c>
      <c r="B325" s="102" t="s">
        <v>1823</v>
      </c>
      <c r="C325" s="102">
        <v>120245</v>
      </c>
      <c r="D325" s="102" t="s">
        <v>2040</v>
      </c>
      <c r="E325" s="102"/>
    </row>
    <row r="326" spans="1:5" x14ac:dyDescent="0.15">
      <c r="A326" s="102" t="s">
        <v>2041</v>
      </c>
      <c r="B326" s="102" t="s">
        <v>1825</v>
      </c>
      <c r="C326" s="102">
        <v>202453</v>
      </c>
      <c r="D326" s="102" t="s">
        <v>2041</v>
      </c>
      <c r="E326" s="102"/>
    </row>
    <row r="327" spans="1:5" x14ac:dyDescent="0.15">
      <c r="A327" s="102" t="s">
        <v>2042</v>
      </c>
      <c r="B327" s="102" t="s">
        <v>2043</v>
      </c>
      <c r="C327" s="102">
        <v>232981</v>
      </c>
      <c r="D327" s="102" t="s">
        <v>2042</v>
      </c>
      <c r="E327" s="102"/>
    </row>
    <row r="328" spans="1:5" x14ac:dyDescent="0.15">
      <c r="A328" s="102" t="s">
        <v>2044</v>
      </c>
      <c r="B328" s="102" t="s">
        <v>2045</v>
      </c>
      <c r="C328" s="102">
        <v>235785</v>
      </c>
      <c r="D328" s="102" t="s">
        <v>2044</v>
      </c>
      <c r="E328" s="102"/>
    </row>
    <row r="329" spans="1:5" x14ac:dyDescent="0.15">
      <c r="A329" s="102" t="s">
        <v>1323</v>
      </c>
      <c r="B329" s="102" t="s">
        <v>1107</v>
      </c>
      <c r="C329" s="102">
        <v>166641</v>
      </c>
      <c r="D329" s="102" t="s">
        <v>1323</v>
      </c>
      <c r="E329" s="102"/>
    </row>
    <row r="330" spans="1:5" x14ac:dyDescent="0.15">
      <c r="A330" s="102" t="s">
        <v>1324</v>
      </c>
      <c r="B330" s="102" t="s">
        <v>1104</v>
      </c>
      <c r="C330" s="102">
        <v>172790</v>
      </c>
      <c r="D330" s="102" t="s">
        <v>1325</v>
      </c>
      <c r="E330" s="102"/>
    </row>
    <row r="331" spans="1:5" x14ac:dyDescent="0.15">
      <c r="A331" s="102" t="s">
        <v>2046</v>
      </c>
      <c r="B331" s="102" t="s">
        <v>2047</v>
      </c>
      <c r="C331" s="102">
        <v>223036</v>
      </c>
      <c r="D331" s="102" t="s">
        <v>2046</v>
      </c>
      <c r="E331" s="102"/>
    </row>
    <row r="332" spans="1:5" x14ac:dyDescent="0.15">
      <c r="A332" s="102" t="s">
        <v>2048</v>
      </c>
      <c r="B332" s="102" t="s">
        <v>2049</v>
      </c>
      <c r="C332" s="102">
        <v>215431</v>
      </c>
      <c r="D332" s="102" t="s">
        <v>2048</v>
      </c>
      <c r="E332" s="102"/>
    </row>
    <row r="333" spans="1:5" x14ac:dyDescent="0.15">
      <c r="A333" s="102" t="s">
        <v>2050</v>
      </c>
      <c r="B333" s="102" t="s">
        <v>1823</v>
      </c>
      <c r="C333" s="102">
        <v>121244</v>
      </c>
      <c r="D333" s="102" t="s">
        <v>2050</v>
      </c>
      <c r="E333" s="102"/>
    </row>
    <row r="334" spans="1:5" x14ac:dyDescent="0.15">
      <c r="A334" s="102" t="s">
        <v>2051</v>
      </c>
      <c r="B334" s="102" t="s">
        <v>1825</v>
      </c>
      <c r="C334" s="102">
        <v>205125</v>
      </c>
      <c r="D334" s="102" t="s">
        <v>2051</v>
      </c>
      <c r="E334" s="102"/>
    </row>
    <row r="335" spans="1:5" x14ac:dyDescent="0.15">
      <c r="A335" s="102" t="s">
        <v>2052</v>
      </c>
      <c r="B335" s="102" t="s">
        <v>1823</v>
      </c>
      <c r="C335" s="102">
        <v>98872</v>
      </c>
      <c r="D335" s="102" t="s">
        <v>2052</v>
      </c>
      <c r="E335" s="102"/>
    </row>
    <row r="336" spans="1:5" x14ac:dyDescent="0.15">
      <c r="A336" s="102" t="s">
        <v>1326</v>
      </c>
      <c r="B336" s="102" t="s">
        <v>1122</v>
      </c>
      <c r="C336" s="102">
        <v>228640</v>
      </c>
      <c r="D336" s="102" t="s">
        <v>1326</v>
      </c>
      <c r="E336" s="102"/>
    </row>
    <row r="337" spans="1:5" x14ac:dyDescent="0.15">
      <c r="A337" s="102" t="s">
        <v>2053</v>
      </c>
      <c r="B337" s="102" t="s">
        <v>2054</v>
      </c>
      <c r="C337" s="102">
        <v>218404</v>
      </c>
      <c r="D337" s="102" t="s">
        <v>2053</v>
      </c>
      <c r="E337" s="102"/>
    </row>
    <row r="338" spans="1:5" x14ac:dyDescent="0.15">
      <c r="A338" s="102" t="s">
        <v>1327</v>
      </c>
      <c r="B338" s="102" t="s">
        <v>1122</v>
      </c>
      <c r="C338" s="102">
        <v>207043</v>
      </c>
      <c r="D338" s="102" t="s">
        <v>1327</v>
      </c>
      <c r="E338" s="102"/>
    </row>
    <row r="339" spans="1:5" x14ac:dyDescent="0.15">
      <c r="A339" s="102" t="s">
        <v>2055</v>
      </c>
      <c r="B339" s="102" t="s">
        <v>2056</v>
      </c>
      <c r="C339" s="102">
        <v>224140</v>
      </c>
      <c r="D339" s="102" t="s">
        <v>2055</v>
      </c>
      <c r="E339" s="102"/>
    </row>
    <row r="340" spans="1:5" x14ac:dyDescent="0.15">
      <c r="A340" s="102" t="s">
        <v>2057</v>
      </c>
      <c r="B340" s="102" t="s">
        <v>2058</v>
      </c>
      <c r="C340" s="102">
        <v>243696</v>
      </c>
      <c r="D340" s="102" t="s">
        <v>2057</v>
      </c>
      <c r="E340" s="102"/>
    </row>
    <row r="341" spans="1:5" x14ac:dyDescent="0.15">
      <c r="A341" s="102" t="s">
        <v>2059</v>
      </c>
      <c r="B341" s="102" t="s">
        <v>1928</v>
      </c>
      <c r="C341" s="102">
        <v>202457</v>
      </c>
      <c r="D341" s="102" t="s">
        <v>2059</v>
      </c>
      <c r="E341" s="102"/>
    </row>
    <row r="342" spans="1:5" x14ac:dyDescent="0.15">
      <c r="A342" s="102" t="s">
        <v>1328</v>
      </c>
      <c r="B342" s="102" t="s">
        <v>1122</v>
      </c>
      <c r="C342" s="102">
        <v>209987</v>
      </c>
      <c r="D342" s="102" t="s">
        <v>1328</v>
      </c>
      <c r="E342" s="102"/>
    </row>
    <row r="343" spans="1:5" x14ac:dyDescent="0.15">
      <c r="A343" s="102" t="s">
        <v>2060</v>
      </c>
      <c r="B343" s="102" t="s">
        <v>2061</v>
      </c>
      <c r="C343" s="102">
        <v>245833</v>
      </c>
      <c r="D343" s="102" t="s">
        <v>2060</v>
      </c>
      <c r="E343" s="102"/>
    </row>
    <row r="344" spans="1:5" x14ac:dyDescent="0.15">
      <c r="A344" s="102" t="s">
        <v>1329</v>
      </c>
      <c r="B344" s="102" t="s">
        <v>1330</v>
      </c>
      <c r="C344" s="102">
        <v>249559</v>
      </c>
      <c r="D344" s="102" t="s">
        <v>1329</v>
      </c>
      <c r="E344" s="102"/>
    </row>
    <row r="345" spans="1:5" x14ac:dyDescent="0.15">
      <c r="A345" s="102" t="s">
        <v>2062</v>
      </c>
      <c r="B345" s="102" t="s">
        <v>1823</v>
      </c>
      <c r="C345" s="102">
        <v>98464</v>
      </c>
      <c r="D345" s="102" t="s">
        <v>2062</v>
      </c>
      <c r="E345" s="102"/>
    </row>
    <row r="346" spans="1:5" x14ac:dyDescent="0.15">
      <c r="A346" s="102" t="s">
        <v>1331</v>
      </c>
      <c r="B346" s="102" t="s">
        <v>1122</v>
      </c>
      <c r="C346" s="102">
        <v>235806</v>
      </c>
      <c r="D346" s="102" t="s">
        <v>1331</v>
      </c>
      <c r="E346" s="102"/>
    </row>
    <row r="347" spans="1:5" x14ac:dyDescent="0.15">
      <c r="A347" s="102" t="s">
        <v>2063</v>
      </c>
      <c r="B347" s="102" t="s">
        <v>2064</v>
      </c>
      <c r="C347" s="102">
        <v>228141</v>
      </c>
      <c r="D347" s="102" t="s">
        <v>2063</v>
      </c>
      <c r="E347" s="102"/>
    </row>
    <row r="348" spans="1:5" x14ac:dyDescent="0.15">
      <c r="A348" s="102" t="s">
        <v>2065</v>
      </c>
      <c r="B348" s="102" t="s">
        <v>2066</v>
      </c>
      <c r="C348" s="102">
        <v>245789</v>
      </c>
      <c r="D348" s="102" t="s">
        <v>2065</v>
      </c>
      <c r="E348" s="102"/>
    </row>
    <row r="349" spans="1:5" x14ac:dyDescent="0.15">
      <c r="A349" s="102" t="s">
        <v>2067</v>
      </c>
      <c r="B349" s="102" t="s">
        <v>2068</v>
      </c>
      <c r="C349" s="102">
        <v>243665</v>
      </c>
      <c r="D349" s="102" t="s">
        <v>2067</v>
      </c>
      <c r="E349" s="102"/>
    </row>
    <row r="350" spans="1:5" x14ac:dyDescent="0.15">
      <c r="A350" s="102" t="s">
        <v>1332</v>
      </c>
      <c r="B350" s="102" t="s">
        <v>1107</v>
      </c>
      <c r="C350" s="102">
        <v>166717</v>
      </c>
      <c r="D350" s="102" t="s">
        <v>1333</v>
      </c>
      <c r="E350" s="102"/>
    </row>
    <row r="351" spans="1:5" x14ac:dyDescent="0.15">
      <c r="A351" s="102" t="s">
        <v>2069</v>
      </c>
      <c r="B351" s="102" t="s">
        <v>1825</v>
      </c>
      <c r="C351" s="102">
        <v>160582</v>
      </c>
      <c r="D351" s="102" t="s">
        <v>2069</v>
      </c>
      <c r="E351" s="102"/>
    </row>
    <row r="352" spans="1:5" x14ac:dyDescent="0.15">
      <c r="A352" s="102" t="s">
        <v>1334</v>
      </c>
      <c r="B352" s="102" t="s">
        <v>1107</v>
      </c>
      <c r="C352" s="102">
        <v>166718</v>
      </c>
      <c r="D352" s="102" t="s">
        <v>1334</v>
      </c>
      <c r="E352" s="102"/>
    </row>
    <row r="353" spans="1:5" x14ac:dyDescent="0.15">
      <c r="A353" s="102" t="s">
        <v>2070</v>
      </c>
      <c r="B353" s="102" t="s">
        <v>2071</v>
      </c>
      <c r="C353" s="102">
        <v>233203</v>
      </c>
      <c r="D353" s="102" t="s">
        <v>2070</v>
      </c>
      <c r="E353" s="102"/>
    </row>
    <row r="354" spans="1:5" x14ac:dyDescent="0.15">
      <c r="A354" s="102" t="s">
        <v>2072</v>
      </c>
      <c r="B354" s="102" t="s">
        <v>1825</v>
      </c>
      <c r="C354" s="102">
        <v>214152</v>
      </c>
      <c r="D354" s="102" t="s">
        <v>2072</v>
      </c>
      <c r="E354" s="102"/>
    </row>
    <row r="355" spans="1:5" x14ac:dyDescent="0.15">
      <c r="A355" s="102" t="s">
        <v>1335</v>
      </c>
      <c r="B355" s="102" t="s">
        <v>1107</v>
      </c>
      <c r="C355" s="102">
        <v>166720</v>
      </c>
      <c r="D355" s="102" t="s">
        <v>1335</v>
      </c>
      <c r="E355" s="102"/>
    </row>
    <row r="356" spans="1:5" x14ac:dyDescent="0.15">
      <c r="A356" s="102" t="s">
        <v>2073</v>
      </c>
      <c r="B356" s="102" t="s">
        <v>2074</v>
      </c>
      <c r="C356" s="102">
        <v>246723</v>
      </c>
      <c r="D356" s="102" t="s">
        <v>2073</v>
      </c>
      <c r="E356" s="102"/>
    </row>
    <row r="357" spans="1:5" x14ac:dyDescent="0.15">
      <c r="A357" s="102" t="s">
        <v>1336</v>
      </c>
      <c r="B357" s="102" t="s">
        <v>1122</v>
      </c>
      <c r="C357" s="102">
        <v>231899</v>
      </c>
      <c r="D357" s="102" t="s">
        <v>1336</v>
      </c>
      <c r="E357" s="102"/>
    </row>
    <row r="358" spans="1:5" x14ac:dyDescent="0.15">
      <c r="A358" s="102" t="s">
        <v>1337</v>
      </c>
      <c r="B358" s="102" t="s">
        <v>1338</v>
      </c>
      <c r="C358" s="102">
        <v>242831</v>
      </c>
      <c r="D358" s="102" t="s">
        <v>1337</v>
      </c>
      <c r="E358" s="102"/>
    </row>
    <row r="359" spans="1:5" x14ac:dyDescent="0.15">
      <c r="A359" s="102" t="s">
        <v>1339</v>
      </c>
      <c r="B359" s="102" t="s">
        <v>1107</v>
      </c>
      <c r="C359" s="102">
        <v>166721</v>
      </c>
      <c r="D359" s="102" t="s">
        <v>1339</v>
      </c>
      <c r="E359" s="102"/>
    </row>
    <row r="360" spans="1:5" x14ac:dyDescent="0.15">
      <c r="A360" s="102" t="s">
        <v>1340</v>
      </c>
      <c r="B360" s="102" t="s">
        <v>1122</v>
      </c>
      <c r="C360" s="102">
        <v>218791</v>
      </c>
      <c r="D360" s="102" t="s">
        <v>1340</v>
      </c>
      <c r="E360" s="102"/>
    </row>
    <row r="361" spans="1:5" x14ac:dyDescent="0.15">
      <c r="A361" s="102" t="s">
        <v>1341</v>
      </c>
      <c r="B361" s="102" t="s">
        <v>1122</v>
      </c>
      <c r="C361" s="102">
        <v>219703</v>
      </c>
      <c r="D361" s="102" t="s">
        <v>1341</v>
      </c>
      <c r="E361" s="102"/>
    </row>
    <row r="362" spans="1:5" x14ac:dyDescent="0.15">
      <c r="A362" s="102" t="s">
        <v>1342</v>
      </c>
      <c r="B362" s="102" t="s">
        <v>1107</v>
      </c>
      <c r="C362" s="102">
        <v>166724</v>
      </c>
      <c r="D362" s="102" t="s">
        <v>1342</v>
      </c>
      <c r="E362" s="102"/>
    </row>
    <row r="363" spans="1:5" x14ac:dyDescent="0.15">
      <c r="A363" s="102" t="s">
        <v>1343</v>
      </c>
      <c r="B363" s="102" t="s">
        <v>1344</v>
      </c>
      <c r="C363" s="102">
        <v>199549</v>
      </c>
      <c r="D363" s="102" t="s">
        <v>1343</v>
      </c>
      <c r="E363" s="102"/>
    </row>
    <row r="364" spans="1:5" x14ac:dyDescent="0.15">
      <c r="A364" s="102" t="s">
        <v>2075</v>
      </c>
      <c r="B364" s="102" t="s">
        <v>1825</v>
      </c>
      <c r="C364" s="102">
        <v>182799</v>
      </c>
      <c r="D364" s="102" t="s">
        <v>2075</v>
      </c>
      <c r="E364" s="102"/>
    </row>
    <row r="365" spans="1:5" x14ac:dyDescent="0.15">
      <c r="A365" s="102" t="s">
        <v>2076</v>
      </c>
      <c r="B365" s="102" t="s">
        <v>2077</v>
      </c>
      <c r="C365" s="102">
        <v>243669</v>
      </c>
      <c r="D365" s="102" t="s">
        <v>2076</v>
      </c>
      <c r="E365" s="102"/>
    </row>
    <row r="366" spans="1:5" x14ac:dyDescent="0.15">
      <c r="A366" s="102" t="s">
        <v>1345</v>
      </c>
      <c r="B366" s="102" t="s">
        <v>1107</v>
      </c>
      <c r="C366" s="102">
        <v>166725</v>
      </c>
      <c r="D366" s="102" t="s">
        <v>1345</v>
      </c>
      <c r="E366" s="102"/>
    </row>
    <row r="367" spans="1:5" x14ac:dyDescent="0.15">
      <c r="A367" s="102" t="s">
        <v>1346</v>
      </c>
      <c r="B367" s="102" t="s">
        <v>1107</v>
      </c>
      <c r="C367" s="102">
        <v>166726</v>
      </c>
      <c r="D367" s="102" t="s">
        <v>1346</v>
      </c>
      <c r="E367" s="102"/>
    </row>
    <row r="368" spans="1:5" x14ac:dyDescent="0.15">
      <c r="A368" s="102" t="s">
        <v>2078</v>
      </c>
      <c r="B368" s="102" t="s">
        <v>2079</v>
      </c>
      <c r="C368" s="102">
        <v>248971</v>
      </c>
      <c r="D368" s="102" t="s">
        <v>2078</v>
      </c>
      <c r="E368" s="102"/>
    </row>
    <row r="369" spans="1:5" x14ac:dyDescent="0.15">
      <c r="A369" s="102" t="s">
        <v>1347</v>
      </c>
      <c r="B369" s="102" t="s">
        <v>1101</v>
      </c>
      <c r="C369" s="102">
        <v>166727</v>
      </c>
      <c r="D369" s="102" t="s">
        <v>1347</v>
      </c>
      <c r="E369" s="102"/>
    </row>
    <row r="370" spans="1:5" x14ac:dyDescent="0.15">
      <c r="A370" s="102" t="s">
        <v>1348</v>
      </c>
      <c r="B370" s="102" t="s">
        <v>1107</v>
      </c>
      <c r="C370" s="102">
        <v>166728</v>
      </c>
      <c r="D370" s="102" t="s">
        <v>1348</v>
      </c>
      <c r="E370" s="102"/>
    </row>
    <row r="371" spans="1:5" x14ac:dyDescent="0.15">
      <c r="A371" s="102" t="s">
        <v>2080</v>
      </c>
      <c r="B371" s="102" t="s">
        <v>1825</v>
      </c>
      <c r="C371" s="102">
        <v>163053</v>
      </c>
      <c r="D371" s="102" t="s">
        <v>2080</v>
      </c>
      <c r="E371" s="102"/>
    </row>
    <row r="372" spans="1:5" x14ac:dyDescent="0.15">
      <c r="A372" s="102" t="s">
        <v>2081</v>
      </c>
      <c r="B372" s="102" t="s">
        <v>1823</v>
      </c>
      <c r="C372" s="102">
        <v>155841</v>
      </c>
      <c r="D372" s="102" t="s">
        <v>2081</v>
      </c>
      <c r="E372" s="102"/>
    </row>
    <row r="373" spans="1:5" x14ac:dyDescent="0.15">
      <c r="A373" s="102" t="s">
        <v>1349</v>
      </c>
      <c r="B373" s="102" t="s">
        <v>1104</v>
      </c>
      <c r="C373" s="102">
        <v>172996</v>
      </c>
      <c r="D373" s="102" t="s">
        <v>1349</v>
      </c>
      <c r="E373" s="102"/>
    </row>
    <row r="374" spans="1:5" x14ac:dyDescent="0.15">
      <c r="A374" s="102" t="s">
        <v>1350</v>
      </c>
      <c r="B374" s="102" t="s">
        <v>1107</v>
      </c>
      <c r="C374" s="102">
        <v>166729</v>
      </c>
      <c r="D374" s="102" t="s">
        <v>1351</v>
      </c>
      <c r="E374" s="102"/>
    </row>
    <row r="375" spans="1:5" x14ac:dyDescent="0.15">
      <c r="A375" s="102" t="s">
        <v>2082</v>
      </c>
      <c r="B375" s="102" t="s">
        <v>2083</v>
      </c>
      <c r="C375" s="102">
        <v>230107</v>
      </c>
      <c r="D375" s="102" t="s">
        <v>2082</v>
      </c>
      <c r="E375" s="102"/>
    </row>
    <row r="376" spans="1:5" x14ac:dyDescent="0.15">
      <c r="A376" s="102" t="s">
        <v>2084</v>
      </c>
      <c r="B376" s="102" t="s">
        <v>1823</v>
      </c>
      <c r="C376" s="102">
        <v>119975</v>
      </c>
      <c r="D376" s="102" t="s">
        <v>2084</v>
      </c>
      <c r="E376" s="102"/>
    </row>
    <row r="377" spans="1:5" x14ac:dyDescent="0.15">
      <c r="A377" s="102" t="s">
        <v>2085</v>
      </c>
      <c r="B377" s="102" t="s">
        <v>2086</v>
      </c>
      <c r="C377" s="102">
        <v>241086</v>
      </c>
      <c r="D377" s="102" t="s">
        <v>2085</v>
      </c>
      <c r="E377" s="102"/>
    </row>
    <row r="378" spans="1:5" x14ac:dyDescent="0.15">
      <c r="A378" s="102" t="s">
        <v>2087</v>
      </c>
      <c r="B378" s="102" t="s">
        <v>2088</v>
      </c>
      <c r="C378" s="102">
        <v>241087</v>
      </c>
      <c r="D378" s="102" t="s">
        <v>2087</v>
      </c>
      <c r="E378" s="102"/>
    </row>
    <row r="379" spans="1:5" x14ac:dyDescent="0.15">
      <c r="A379" s="102" t="s">
        <v>1352</v>
      </c>
      <c r="B379" s="102" t="s">
        <v>1104</v>
      </c>
      <c r="C379" s="102">
        <v>178010</v>
      </c>
      <c r="D379" s="102" t="s">
        <v>1352</v>
      </c>
      <c r="E379" s="102"/>
    </row>
    <row r="380" spans="1:5" x14ac:dyDescent="0.15">
      <c r="A380" s="102" t="s">
        <v>2089</v>
      </c>
      <c r="B380" s="102" t="s">
        <v>1823</v>
      </c>
      <c r="C380" s="102">
        <v>155839</v>
      </c>
      <c r="D380" s="102" t="s">
        <v>2089</v>
      </c>
      <c r="E380" s="102"/>
    </row>
    <row r="381" spans="1:5" x14ac:dyDescent="0.15">
      <c r="A381" s="102" t="s">
        <v>2090</v>
      </c>
      <c r="B381" s="102" t="s">
        <v>2091</v>
      </c>
      <c r="C381" s="102">
        <v>215887</v>
      </c>
      <c r="D381" s="102" t="s">
        <v>2090</v>
      </c>
      <c r="E381" s="102"/>
    </row>
    <row r="382" spans="1:5" x14ac:dyDescent="0.15">
      <c r="A382" s="102" t="s">
        <v>2092</v>
      </c>
      <c r="B382" s="102" t="s">
        <v>1825</v>
      </c>
      <c r="C382" s="102">
        <v>162920</v>
      </c>
      <c r="D382" s="102" t="s">
        <v>2092</v>
      </c>
      <c r="E382" s="102"/>
    </row>
    <row r="383" spans="1:5" x14ac:dyDescent="0.15">
      <c r="A383" s="102" t="s">
        <v>2093</v>
      </c>
      <c r="B383" s="102" t="s">
        <v>1823</v>
      </c>
      <c r="C383" s="102">
        <v>111932</v>
      </c>
      <c r="D383" s="102" t="s">
        <v>2093</v>
      </c>
      <c r="E383" s="102"/>
    </row>
    <row r="384" spans="1:5" x14ac:dyDescent="0.15">
      <c r="A384" s="102" t="s">
        <v>2094</v>
      </c>
      <c r="B384" s="102" t="s">
        <v>2095</v>
      </c>
      <c r="C384" s="102">
        <v>243868</v>
      </c>
      <c r="D384" s="102" t="s">
        <v>2094</v>
      </c>
      <c r="E384" s="102"/>
    </row>
    <row r="385" spans="1:5" x14ac:dyDescent="0.15">
      <c r="A385" s="102" t="s">
        <v>2096</v>
      </c>
      <c r="B385" s="102" t="s">
        <v>1825</v>
      </c>
      <c r="C385" s="102">
        <v>158043</v>
      </c>
      <c r="D385" s="102" t="s">
        <v>2096</v>
      </c>
      <c r="E385" s="102"/>
    </row>
    <row r="386" spans="1:5" x14ac:dyDescent="0.15">
      <c r="A386" s="102" t="s">
        <v>2097</v>
      </c>
      <c r="B386" s="102" t="s">
        <v>1825</v>
      </c>
      <c r="C386" s="102">
        <v>182796</v>
      </c>
      <c r="D386" s="102" t="s">
        <v>2097</v>
      </c>
      <c r="E386" s="102"/>
    </row>
    <row r="387" spans="1:5" x14ac:dyDescent="0.15">
      <c r="A387" s="102" t="s">
        <v>1353</v>
      </c>
      <c r="B387" s="102" t="s">
        <v>1107</v>
      </c>
      <c r="C387" s="102">
        <v>166730</v>
      </c>
      <c r="D387" s="102" t="s">
        <v>1353</v>
      </c>
      <c r="E387" s="102"/>
    </row>
    <row r="388" spans="1:5" x14ac:dyDescent="0.15">
      <c r="A388" s="102" t="s">
        <v>2098</v>
      </c>
      <c r="B388" s="102" t="s">
        <v>1825</v>
      </c>
      <c r="C388" s="102">
        <v>207493</v>
      </c>
      <c r="D388" s="102" t="s">
        <v>2098</v>
      </c>
      <c r="E388" s="102"/>
    </row>
    <row r="389" spans="1:5" x14ac:dyDescent="0.15">
      <c r="A389" s="102" t="s">
        <v>1354</v>
      </c>
      <c r="B389" s="102" t="s">
        <v>1104</v>
      </c>
      <c r="C389" s="102">
        <v>172711</v>
      </c>
      <c r="D389" s="102" t="s">
        <v>1354</v>
      </c>
      <c r="E389" s="102"/>
    </row>
    <row r="390" spans="1:5" x14ac:dyDescent="0.15">
      <c r="A390" s="102" t="s">
        <v>1355</v>
      </c>
      <c r="B390" s="102" t="s">
        <v>1107</v>
      </c>
      <c r="C390" s="102">
        <v>166731</v>
      </c>
      <c r="D390" s="102" t="s">
        <v>1356</v>
      </c>
      <c r="E390" s="102"/>
    </row>
    <row r="391" spans="1:5" x14ac:dyDescent="0.15">
      <c r="A391" s="102" t="s">
        <v>2099</v>
      </c>
      <c r="B391" s="102" t="s">
        <v>2100</v>
      </c>
      <c r="C391" s="102">
        <v>222846</v>
      </c>
      <c r="D391" s="102" t="s">
        <v>2099</v>
      </c>
      <c r="E391" s="102"/>
    </row>
    <row r="392" spans="1:5" x14ac:dyDescent="0.15">
      <c r="A392" s="102" t="s">
        <v>2101</v>
      </c>
      <c r="B392" s="102" t="s">
        <v>1825</v>
      </c>
      <c r="C392" s="102">
        <v>166298</v>
      </c>
      <c r="D392" s="102" t="s">
        <v>2101</v>
      </c>
      <c r="E392" s="102"/>
    </row>
    <row r="393" spans="1:5" x14ac:dyDescent="0.15">
      <c r="A393" s="102" t="s">
        <v>2102</v>
      </c>
      <c r="B393" s="102" t="s">
        <v>1823</v>
      </c>
      <c r="C393" s="102">
        <v>120246</v>
      </c>
      <c r="D393" s="102" t="s">
        <v>2102</v>
      </c>
      <c r="E393" s="102"/>
    </row>
    <row r="394" spans="1:5" x14ac:dyDescent="0.15">
      <c r="A394" s="102" t="s">
        <v>1357</v>
      </c>
      <c r="B394" s="102" t="s">
        <v>1107</v>
      </c>
      <c r="C394" s="102">
        <v>166732</v>
      </c>
      <c r="D394" s="102" t="s">
        <v>1357</v>
      </c>
      <c r="E394" s="102"/>
    </row>
    <row r="395" spans="1:5" x14ac:dyDescent="0.15">
      <c r="A395" s="102" t="s">
        <v>1358</v>
      </c>
      <c r="B395" s="102" t="s">
        <v>1107</v>
      </c>
      <c r="C395" s="102">
        <v>166733</v>
      </c>
      <c r="D395" s="102" t="s">
        <v>1359</v>
      </c>
      <c r="E395" s="102"/>
    </row>
    <row r="396" spans="1:5" x14ac:dyDescent="0.15">
      <c r="A396" s="102" t="s">
        <v>1360</v>
      </c>
      <c r="B396" s="102" t="s">
        <v>1107</v>
      </c>
      <c r="C396" s="102">
        <v>166734</v>
      </c>
      <c r="D396" s="102" t="s">
        <v>1361</v>
      </c>
      <c r="E396" s="102"/>
    </row>
    <row r="397" spans="1:5" x14ac:dyDescent="0.15">
      <c r="A397" s="102" t="s">
        <v>2103</v>
      </c>
      <c r="B397" s="102" t="s">
        <v>2104</v>
      </c>
      <c r="C397" s="102">
        <v>245787</v>
      </c>
      <c r="D397" s="102" t="s">
        <v>2103</v>
      </c>
      <c r="E397" s="102"/>
    </row>
    <row r="398" spans="1:5" x14ac:dyDescent="0.15">
      <c r="A398" s="102" t="s">
        <v>2105</v>
      </c>
      <c r="B398" s="102" t="s">
        <v>2106</v>
      </c>
      <c r="C398" s="102">
        <v>233807</v>
      </c>
      <c r="D398" s="102" t="s">
        <v>2105</v>
      </c>
      <c r="E398" s="102"/>
    </row>
    <row r="399" spans="1:5" x14ac:dyDescent="0.15">
      <c r="A399" s="102" t="s">
        <v>2107</v>
      </c>
      <c r="B399" s="102" t="s">
        <v>1825</v>
      </c>
      <c r="C399" s="102">
        <v>202823</v>
      </c>
      <c r="D399" s="102" t="s">
        <v>2107</v>
      </c>
      <c r="E399" s="102"/>
    </row>
    <row r="400" spans="1:5" x14ac:dyDescent="0.15">
      <c r="A400" s="102" t="s">
        <v>2108</v>
      </c>
      <c r="B400" s="102" t="s">
        <v>1823</v>
      </c>
      <c r="C400" s="102">
        <v>155325</v>
      </c>
      <c r="D400" s="102" t="s">
        <v>2108</v>
      </c>
      <c r="E400" s="102"/>
    </row>
    <row r="401" spans="1:5" x14ac:dyDescent="0.15">
      <c r="A401" s="102" t="s">
        <v>1362</v>
      </c>
      <c r="B401" s="102" t="s">
        <v>1107</v>
      </c>
      <c r="C401" s="102">
        <v>166735</v>
      </c>
      <c r="D401" s="102" t="s">
        <v>1362</v>
      </c>
      <c r="E401" s="102"/>
    </row>
    <row r="402" spans="1:5" x14ac:dyDescent="0.15">
      <c r="A402" s="102" t="s">
        <v>2109</v>
      </c>
      <c r="B402" s="102" t="s">
        <v>2110</v>
      </c>
      <c r="C402" s="102">
        <v>225761</v>
      </c>
      <c r="D402" s="102" t="s">
        <v>2109</v>
      </c>
      <c r="E402" s="102"/>
    </row>
    <row r="403" spans="1:5" x14ac:dyDescent="0.15">
      <c r="A403" s="102" t="s">
        <v>2111</v>
      </c>
      <c r="B403" s="102" t="s">
        <v>1823</v>
      </c>
      <c r="C403" s="102">
        <v>103364</v>
      </c>
      <c r="D403" s="102" t="s">
        <v>2111</v>
      </c>
      <c r="E403" s="102"/>
    </row>
    <row r="404" spans="1:5" x14ac:dyDescent="0.15">
      <c r="A404" s="102" t="s">
        <v>1363</v>
      </c>
      <c r="B404" s="102" t="s">
        <v>1107</v>
      </c>
      <c r="C404" s="102">
        <v>166736</v>
      </c>
      <c r="D404" s="102" t="s">
        <v>1364</v>
      </c>
      <c r="E404" s="102"/>
    </row>
    <row r="405" spans="1:5" x14ac:dyDescent="0.15">
      <c r="A405" s="102" t="s">
        <v>1365</v>
      </c>
      <c r="B405" s="102" t="s">
        <v>1107</v>
      </c>
      <c r="C405" s="102">
        <v>166737</v>
      </c>
      <c r="D405" s="102" t="s">
        <v>1365</v>
      </c>
      <c r="E405" s="102"/>
    </row>
    <row r="406" spans="1:5" x14ac:dyDescent="0.15">
      <c r="A406" s="102" t="s">
        <v>2112</v>
      </c>
      <c r="B406" s="102" t="s">
        <v>1825</v>
      </c>
      <c r="C406" s="102">
        <v>178591</v>
      </c>
      <c r="D406" s="102" t="s">
        <v>2112</v>
      </c>
      <c r="E406" s="102"/>
    </row>
    <row r="407" spans="1:5" x14ac:dyDescent="0.15">
      <c r="A407" s="102" t="s">
        <v>1366</v>
      </c>
      <c r="B407" s="102" t="s">
        <v>1122</v>
      </c>
      <c r="C407" s="102">
        <v>229124</v>
      </c>
      <c r="D407" s="102" t="s">
        <v>1366</v>
      </c>
      <c r="E407" s="102"/>
    </row>
    <row r="408" spans="1:5" x14ac:dyDescent="0.15">
      <c r="A408" s="102" t="s">
        <v>2113</v>
      </c>
      <c r="B408" s="102" t="s">
        <v>1825</v>
      </c>
      <c r="C408" s="102">
        <v>160603</v>
      </c>
      <c r="D408" s="102" t="s">
        <v>2113</v>
      </c>
      <c r="E408" s="102"/>
    </row>
    <row r="409" spans="1:5" x14ac:dyDescent="0.15">
      <c r="A409" s="102" t="s">
        <v>2114</v>
      </c>
      <c r="B409" s="102" t="s">
        <v>1823</v>
      </c>
      <c r="C409" s="102">
        <v>103250</v>
      </c>
      <c r="D409" s="102" t="s">
        <v>2114</v>
      </c>
      <c r="E409" s="102"/>
    </row>
    <row r="410" spans="1:5" x14ac:dyDescent="0.15">
      <c r="A410" s="102" t="s">
        <v>2115</v>
      </c>
      <c r="B410" s="102" t="s">
        <v>2116</v>
      </c>
      <c r="C410" s="102">
        <v>218416</v>
      </c>
      <c r="D410" s="102" t="s">
        <v>2115</v>
      </c>
      <c r="E410" s="102"/>
    </row>
    <row r="411" spans="1:5" x14ac:dyDescent="0.15">
      <c r="A411" s="102" t="s">
        <v>2117</v>
      </c>
      <c r="B411" s="102" t="s">
        <v>2118</v>
      </c>
      <c r="C411" s="102">
        <v>218412</v>
      </c>
      <c r="D411" s="102" t="s">
        <v>2117</v>
      </c>
      <c r="E411" s="102"/>
    </row>
    <row r="412" spans="1:5" x14ac:dyDescent="0.15">
      <c r="A412" s="102" t="s">
        <v>1367</v>
      </c>
      <c r="B412" s="102" t="s">
        <v>1368</v>
      </c>
      <c r="C412" s="102">
        <v>242868</v>
      </c>
      <c r="D412" s="102" t="s">
        <v>1367</v>
      </c>
      <c r="E412" s="102"/>
    </row>
    <row r="413" spans="1:5" x14ac:dyDescent="0.15">
      <c r="A413" s="102" t="s">
        <v>1369</v>
      </c>
      <c r="B413" s="102" t="s">
        <v>1107</v>
      </c>
      <c r="C413" s="102">
        <v>166738</v>
      </c>
      <c r="D413" s="102" t="s">
        <v>1370</v>
      </c>
      <c r="E413" s="102"/>
    </row>
    <row r="414" spans="1:5" x14ac:dyDescent="0.15">
      <c r="A414" s="102" t="s">
        <v>2119</v>
      </c>
      <c r="B414" s="102" t="s">
        <v>1825</v>
      </c>
      <c r="C414" s="102">
        <v>172629</v>
      </c>
      <c r="D414" s="102" t="s">
        <v>2119</v>
      </c>
      <c r="E414" s="102"/>
    </row>
    <row r="415" spans="1:5" x14ac:dyDescent="0.15">
      <c r="A415" s="102" t="s">
        <v>1371</v>
      </c>
      <c r="B415" s="102" t="s">
        <v>1104</v>
      </c>
      <c r="C415" s="102">
        <v>171509</v>
      </c>
      <c r="D415" s="102" t="s">
        <v>1371</v>
      </c>
      <c r="E415" s="102"/>
    </row>
    <row r="416" spans="1:5" x14ac:dyDescent="0.15">
      <c r="A416" s="102" t="s">
        <v>2120</v>
      </c>
      <c r="B416" s="102" t="s">
        <v>2121</v>
      </c>
      <c r="C416" s="102">
        <v>231963</v>
      </c>
      <c r="D416" s="102" t="s">
        <v>2120</v>
      </c>
      <c r="E416" s="102"/>
    </row>
    <row r="417" spans="1:5" x14ac:dyDescent="0.15">
      <c r="A417" s="102" t="s">
        <v>1372</v>
      </c>
      <c r="B417" s="102" t="s">
        <v>1104</v>
      </c>
      <c r="C417" s="102">
        <v>172847</v>
      </c>
      <c r="D417" s="102" t="s">
        <v>1373</v>
      </c>
      <c r="E417" s="102"/>
    </row>
    <row r="418" spans="1:5" x14ac:dyDescent="0.15">
      <c r="A418" s="102" t="s">
        <v>1374</v>
      </c>
      <c r="B418" s="102" t="s">
        <v>1107</v>
      </c>
      <c r="C418" s="102">
        <v>171141</v>
      </c>
      <c r="D418" s="102" t="s">
        <v>1374</v>
      </c>
      <c r="E418" s="102"/>
    </row>
    <row r="419" spans="1:5" x14ac:dyDescent="0.15">
      <c r="A419" s="102" t="s">
        <v>1375</v>
      </c>
      <c r="B419" s="102" t="s">
        <v>1107</v>
      </c>
      <c r="C419" s="102">
        <v>171073</v>
      </c>
      <c r="D419" s="102" t="s">
        <v>1375</v>
      </c>
      <c r="E419" s="102"/>
    </row>
    <row r="420" spans="1:5" x14ac:dyDescent="0.15">
      <c r="A420" s="102" t="s">
        <v>1376</v>
      </c>
      <c r="B420" s="102" t="s">
        <v>1377</v>
      </c>
      <c r="C420" s="102">
        <v>171135</v>
      </c>
      <c r="D420" s="102" t="s">
        <v>1376</v>
      </c>
      <c r="E420" s="102"/>
    </row>
    <row r="421" spans="1:5" x14ac:dyDescent="0.15">
      <c r="A421" s="102" t="s">
        <v>1378</v>
      </c>
      <c r="B421" s="102" t="s">
        <v>1379</v>
      </c>
      <c r="C421" s="102">
        <v>242813</v>
      </c>
      <c r="D421" s="102" t="s">
        <v>1378</v>
      </c>
      <c r="E421" s="102"/>
    </row>
    <row r="422" spans="1:5" x14ac:dyDescent="0.15">
      <c r="A422" s="102" t="s">
        <v>1380</v>
      </c>
      <c r="B422" s="102" t="s">
        <v>1104</v>
      </c>
      <c r="C422" s="102">
        <v>172598</v>
      </c>
      <c r="D422" s="102" t="s">
        <v>1380</v>
      </c>
      <c r="E422" s="102"/>
    </row>
    <row r="423" spans="1:5" x14ac:dyDescent="0.15">
      <c r="A423" s="102" t="s">
        <v>1381</v>
      </c>
      <c r="B423" s="102" t="s">
        <v>1107</v>
      </c>
      <c r="C423" s="102">
        <v>171075</v>
      </c>
      <c r="D423" s="102" t="s">
        <v>1381</v>
      </c>
      <c r="E423" s="102"/>
    </row>
    <row r="424" spans="1:5" x14ac:dyDescent="0.15">
      <c r="A424" s="102" t="s">
        <v>1382</v>
      </c>
      <c r="B424" s="102" t="s">
        <v>1107</v>
      </c>
      <c r="C424" s="102">
        <v>171076</v>
      </c>
      <c r="D424" s="102" t="s">
        <v>1382</v>
      </c>
      <c r="E424" s="102"/>
    </row>
    <row r="425" spans="1:5" x14ac:dyDescent="0.15">
      <c r="A425" s="102" t="s">
        <v>1383</v>
      </c>
      <c r="B425" s="102" t="s">
        <v>1107</v>
      </c>
      <c r="C425" s="102">
        <v>171074</v>
      </c>
      <c r="D425" s="102" t="s">
        <v>1384</v>
      </c>
      <c r="E425" s="102"/>
    </row>
    <row r="426" spans="1:5" x14ac:dyDescent="0.15">
      <c r="A426" s="102" t="s">
        <v>2122</v>
      </c>
      <c r="B426" s="102" t="s">
        <v>2123</v>
      </c>
      <c r="C426" s="102">
        <v>110466</v>
      </c>
      <c r="D426" s="102" t="s">
        <v>2122</v>
      </c>
      <c r="E426" s="102"/>
    </row>
    <row r="427" spans="1:5" x14ac:dyDescent="0.15">
      <c r="A427" s="102" t="s">
        <v>2124</v>
      </c>
      <c r="B427" s="102" t="s">
        <v>1823</v>
      </c>
      <c r="C427" s="102">
        <v>103260</v>
      </c>
      <c r="D427" s="102" t="s">
        <v>2124</v>
      </c>
      <c r="E427" s="102"/>
    </row>
    <row r="428" spans="1:5" x14ac:dyDescent="0.15">
      <c r="A428" s="102" t="s">
        <v>1385</v>
      </c>
      <c r="B428" s="102" t="s">
        <v>1107</v>
      </c>
      <c r="C428" s="102">
        <v>171077</v>
      </c>
      <c r="D428" s="102" t="s">
        <v>1386</v>
      </c>
      <c r="E428" s="102"/>
    </row>
    <row r="429" spans="1:5" x14ac:dyDescent="0.15">
      <c r="A429" s="102" t="s">
        <v>2125</v>
      </c>
      <c r="B429" s="102" t="s">
        <v>1825</v>
      </c>
      <c r="C429" s="102">
        <v>162916</v>
      </c>
      <c r="D429" s="102" t="s">
        <v>2125</v>
      </c>
      <c r="E429" s="102"/>
    </row>
    <row r="430" spans="1:5" x14ac:dyDescent="0.15">
      <c r="A430" s="102" t="s">
        <v>2126</v>
      </c>
      <c r="B430" s="102" t="s">
        <v>2127</v>
      </c>
      <c r="C430" s="102">
        <v>218047</v>
      </c>
      <c r="D430" s="102" t="s">
        <v>2126</v>
      </c>
      <c r="E430" s="102"/>
    </row>
    <row r="431" spans="1:5" x14ac:dyDescent="0.15">
      <c r="A431" s="102" t="s">
        <v>2128</v>
      </c>
      <c r="B431" s="102" t="s">
        <v>1823</v>
      </c>
      <c r="C431" s="102">
        <v>110764</v>
      </c>
      <c r="D431" s="102" t="s">
        <v>2128</v>
      </c>
      <c r="E431" s="102"/>
    </row>
    <row r="432" spans="1:5" x14ac:dyDescent="0.15">
      <c r="A432" s="102" t="s">
        <v>2129</v>
      </c>
      <c r="B432" s="102" t="s">
        <v>1825</v>
      </c>
      <c r="C432" s="102">
        <v>160606</v>
      </c>
      <c r="D432" s="102" t="s">
        <v>2129</v>
      </c>
      <c r="E432" s="102"/>
    </row>
    <row r="433" spans="1:5" x14ac:dyDescent="0.15">
      <c r="A433" s="102" t="s">
        <v>1387</v>
      </c>
      <c r="B433" s="102" t="s">
        <v>1107</v>
      </c>
      <c r="C433" s="102">
        <v>171071</v>
      </c>
      <c r="D433" s="102" t="s">
        <v>1387</v>
      </c>
      <c r="E433" s="102"/>
    </row>
    <row r="434" spans="1:5" x14ac:dyDescent="0.15">
      <c r="A434" s="102" t="s">
        <v>1388</v>
      </c>
      <c r="B434" s="102" t="s">
        <v>1104</v>
      </c>
      <c r="C434" s="102">
        <v>202235</v>
      </c>
      <c r="D434" s="102" t="s">
        <v>1388</v>
      </c>
      <c r="E434" s="102"/>
    </row>
    <row r="435" spans="1:5" x14ac:dyDescent="0.15">
      <c r="A435" s="102" t="s">
        <v>2130</v>
      </c>
      <c r="B435" s="102" t="s">
        <v>1825</v>
      </c>
      <c r="C435" s="102">
        <v>165391</v>
      </c>
      <c r="D435" s="102" t="s">
        <v>2130</v>
      </c>
      <c r="E435" s="102"/>
    </row>
    <row r="436" spans="1:5" x14ac:dyDescent="0.15">
      <c r="A436" s="102" t="s">
        <v>2131</v>
      </c>
      <c r="B436" s="102" t="s">
        <v>1823</v>
      </c>
      <c r="C436" s="102">
        <v>112300</v>
      </c>
      <c r="D436" s="102" t="s">
        <v>2131</v>
      </c>
      <c r="E436" s="102"/>
    </row>
    <row r="437" spans="1:5" x14ac:dyDescent="0.15">
      <c r="A437" s="102" t="s">
        <v>2132</v>
      </c>
      <c r="B437" s="102" t="s">
        <v>2133</v>
      </c>
      <c r="C437" s="102">
        <v>240270</v>
      </c>
      <c r="D437" s="102" t="s">
        <v>2132</v>
      </c>
      <c r="E437" s="102"/>
    </row>
    <row r="438" spans="1:5" x14ac:dyDescent="0.15">
      <c r="A438" s="102" t="s">
        <v>2134</v>
      </c>
      <c r="B438" s="102" t="s">
        <v>2135</v>
      </c>
      <c r="C438" s="102">
        <v>246978</v>
      </c>
      <c r="D438" s="102" t="s">
        <v>2134</v>
      </c>
      <c r="E438" s="102"/>
    </row>
    <row r="439" spans="1:5" x14ac:dyDescent="0.15">
      <c r="A439" s="102" t="s">
        <v>1389</v>
      </c>
      <c r="B439" s="102" t="s">
        <v>1107</v>
      </c>
      <c r="C439" s="102">
        <v>171079</v>
      </c>
      <c r="D439" s="102" t="s">
        <v>1390</v>
      </c>
      <c r="E439" s="102"/>
    </row>
    <row r="440" spans="1:5" x14ac:dyDescent="0.15">
      <c r="A440" s="102" t="s">
        <v>1391</v>
      </c>
      <c r="B440" s="102" t="s">
        <v>1392</v>
      </c>
      <c r="C440" s="102">
        <v>171080</v>
      </c>
      <c r="D440" s="102" t="s">
        <v>1393</v>
      </c>
      <c r="E440" s="102"/>
    </row>
    <row r="441" spans="1:5" x14ac:dyDescent="0.15">
      <c r="A441" s="102" t="s">
        <v>1394</v>
      </c>
      <c r="B441" s="102" t="s">
        <v>1104</v>
      </c>
      <c r="C441" s="102">
        <v>172684</v>
      </c>
      <c r="D441" s="102" t="s">
        <v>1394</v>
      </c>
      <c r="E441" s="102"/>
    </row>
    <row r="442" spans="1:5" x14ac:dyDescent="0.15">
      <c r="A442" s="102" t="s">
        <v>1395</v>
      </c>
      <c r="B442" s="102" t="s">
        <v>1107</v>
      </c>
      <c r="C442" s="102">
        <v>171081</v>
      </c>
      <c r="D442" s="102" t="s">
        <v>1396</v>
      </c>
      <c r="E442" s="102"/>
    </row>
    <row r="443" spans="1:5" x14ac:dyDescent="0.15">
      <c r="A443" s="102" t="s">
        <v>2136</v>
      </c>
      <c r="B443" s="102" t="s">
        <v>1823</v>
      </c>
      <c r="C443" s="102">
        <v>155837</v>
      </c>
      <c r="D443" s="102" t="s">
        <v>2136</v>
      </c>
      <c r="E443" s="102"/>
    </row>
    <row r="444" spans="1:5" x14ac:dyDescent="0.15">
      <c r="A444" s="102" t="s">
        <v>1397</v>
      </c>
      <c r="B444" s="102" t="s">
        <v>1107</v>
      </c>
      <c r="C444" s="102">
        <v>171082</v>
      </c>
      <c r="D444" s="102" t="s">
        <v>1397</v>
      </c>
      <c r="E444" s="102"/>
    </row>
    <row r="445" spans="1:5" x14ac:dyDescent="0.15">
      <c r="A445" s="102" t="s">
        <v>1398</v>
      </c>
      <c r="B445" s="102" t="s">
        <v>1107</v>
      </c>
      <c r="C445" s="102">
        <v>171083</v>
      </c>
      <c r="D445" s="102" t="s">
        <v>1398</v>
      </c>
      <c r="E445" s="102"/>
    </row>
    <row r="446" spans="1:5" x14ac:dyDescent="0.15">
      <c r="A446" s="102" t="s">
        <v>2137</v>
      </c>
      <c r="B446" s="102" t="s">
        <v>1825</v>
      </c>
      <c r="C446" s="102">
        <v>178580</v>
      </c>
      <c r="D446" s="102" t="s">
        <v>2137</v>
      </c>
      <c r="E446" s="102"/>
    </row>
    <row r="447" spans="1:5" x14ac:dyDescent="0.15">
      <c r="A447" s="102" t="s">
        <v>2138</v>
      </c>
      <c r="B447" s="102" t="s">
        <v>2139</v>
      </c>
      <c r="C447" s="102">
        <v>240269</v>
      </c>
      <c r="D447" s="102" t="s">
        <v>2138</v>
      </c>
      <c r="E447" s="102"/>
    </row>
    <row r="448" spans="1:5" x14ac:dyDescent="0.15">
      <c r="A448" s="102" t="s">
        <v>2140</v>
      </c>
      <c r="B448" s="102" t="s">
        <v>1825</v>
      </c>
      <c r="C448" s="102">
        <v>164727</v>
      </c>
      <c r="D448" s="102" t="s">
        <v>2140</v>
      </c>
      <c r="E448" s="102"/>
    </row>
    <row r="449" spans="1:5" x14ac:dyDescent="0.15">
      <c r="A449" s="102" t="s">
        <v>2141</v>
      </c>
      <c r="B449" s="102" t="s">
        <v>1823</v>
      </c>
      <c r="C449" s="102">
        <v>120139</v>
      </c>
      <c r="D449" s="102" t="s">
        <v>2141</v>
      </c>
      <c r="E449" s="102"/>
    </row>
    <row r="450" spans="1:5" x14ac:dyDescent="0.15">
      <c r="A450" s="102" t="s">
        <v>2142</v>
      </c>
      <c r="B450" s="102" t="s">
        <v>2143</v>
      </c>
      <c r="C450" s="102">
        <v>246267</v>
      </c>
      <c r="D450" s="102" t="s">
        <v>2142</v>
      </c>
      <c r="E450" s="102"/>
    </row>
    <row r="451" spans="1:5" x14ac:dyDescent="0.15">
      <c r="A451" s="102" t="s">
        <v>1399</v>
      </c>
      <c r="B451" s="102" t="s">
        <v>1825</v>
      </c>
      <c r="C451" s="102">
        <v>192377</v>
      </c>
      <c r="D451" s="102" t="s">
        <v>1399</v>
      </c>
      <c r="E451" s="102"/>
    </row>
    <row r="452" spans="1:5" x14ac:dyDescent="0.15">
      <c r="A452" s="102" t="s">
        <v>1399</v>
      </c>
      <c r="B452" s="102" t="s">
        <v>1122</v>
      </c>
      <c r="C452" s="102">
        <v>229017</v>
      </c>
      <c r="D452" s="102" t="s">
        <v>1399</v>
      </c>
      <c r="E452" s="102"/>
    </row>
    <row r="453" spans="1:5" x14ac:dyDescent="0.15">
      <c r="A453" s="102" t="s">
        <v>1400</v>
      </c>
      <c r="B453" s="102" t="s">
        <v>1107</v>
      </c>
      <c r="C453" s="102">
        <v>171084</v>
      </c>
      <c r="D453" s="102" t="s">
        <v>1401</v>
      </c>
      <c r="E453" s="102"/>
    </row>
    <row r="454" spans="1:5" x14ac:dyDescent="0.15">
      <c r="A454" s="102" t="s">
        <v>2144</v>
      </c>
      <c r="B454" s="102" t="s">
        <v>1825</v>
      </c>
      <c r="C454" s="102">
        <v>204511</v>
      </c>
      <c r="D454" s="102" t="s">
        <v>2144</v>
      </c>
      <c r="E454" s="102"/>
    </row>
    <row r="455" spans="1:5" x14ac:dyDescent="0.15">
      <c r="A455" s="102" t="s">
        <v>1402</v>
      </c>
      <c r="B455" s="102" t="s">
        <v>1107</v>
      </c>
      <c r="C455" s="102">
        <v>171086</v>
      </c>
      <c r="D455" s="102" t="s">
        <v>1403</v>
      </c>
      <c r="E455" s="102"/>
    </row>
    <row r="456" spans="1:5" x14ac:dyDescent="0.15">
      <c r="A456" s="102" t="s">
        <v>2145</v>
      </c>
      <c r="B456" s="102" t="s">
        <v>2146</v>
      </c>
      <c r="C456" s="102">
        <v>243126</v>
      </c>
      <c r="D456" s="102" t="s">
        <v>2145</v>
      </c>
      <c r="E456" s="102"/>
    </row>
    <row r="457" spans="1:5" x14ac:dyDescent="0.15">
      <c r="A457" s="102" t="s">
        <v>2147</v>
      </c>
      <c r="B457" s="102" t="s">
        <v>2148</v>
      </c>
      <c r="C457" s="102">
        <v>242773</v>
      </c>
      <c r="D457" s="102" t="s">
        <v>2147</v>
      </c>
      <c r="E457" s="102"/>
    </row>
    <row r="458" spans="1:5" x14ac:dyDescent="0.15">
      <c r="A458" s="102" t="s">
        <v>2149</v>
      </c>
      <c r="B458" s="102" t="s">
        <v>1825</v>
      </c>
      <c r="C458" s="102">
        <v>162859</v>
      </c>
      <c r="D458" s="102" t="s">
        <v>2149</v>
      </c>
      <c r="E458" s="102"/>
    </row>
    <row r="459" spans="1:5" x14ac:dyDescent="0.15">
      <c r="A459" s="102" t="s">
        <v>1404</v>
      </c>
      <c r="B459" s="102" t="s">
        <v>1104</v>
      </c>
      <c r="C459" s="102">
        <v>172665</v>
      </c>
      <c r="D459" s="102" t="s">
        <v>1405</v>
      </c>
      <c r="E459" s="102"/>
    </row>
    <row r="460" spans="1:5" x14ac:dyDescent="0.15">
      <c r="A460" s="102" t="s">
        <v>2150</v>
      </c>
      <c r="B460" s="102" t="s">
        <v>1825</v>
      </c>
      <c r="C460" s="102">
        <v>157573</v>
      </c>
      <c r="D460" s="102" t="s">
        <v>2151</v>
      </c>
      <c r="E460" s="102"/>
    </row>
    <row r="461" spans="1:5" x14ac:dyDescent="0.15">
      <c r="A461" s="102" t="s">
        <v>2152</v>
      </c>
      <c r="B461" s="102" t="s">
        <v>1825</v>
      </c>
      <c r="C461" s="102">
        <v>157568</v>
      </c>
      <c r="D461" s="102" t="s">
        <v>2152</v>
      </c>
      <c r="E461" s="102"/>
    </row>
    <row r="462" spans="1:5" x14ac:dyDescent="0.15">
      <c r="A462" s="102" t="s">
        <v>2153</v>
      </c>
      <c r="B462" s="102" t="s">
        <v>2154</v>
      </c>
      <c r="C462" s="102">
        <v>228147</v>
      </c>
      <c r="D462" s="102" t="s">
        <v>2153</v>
      </c>
      <c r="E462" s="102"/>
    </row>
    <row r="463" spans="1:5" x14ac:dyDescent="0.15">
      <c r="A463" s="102" t="s">
        <v>1406</v>
      </c>
      <c r="B463" s="102" t="s">
        <v>1107</v>
      </c>
      <c r="C463" s="102">
        <v>171087</v>
      </c>
      <c r="D463" s="102" t="s">
        <v>1406</v>
      </c>
      <c r="E463" s="102"/>
    </row>
    <row r="464" spans="1:5" x14ac:dyDescent="0.15">
      <c r="A464" s="102" t="s">
        <v>1407</v>
      </c>
      <c r="B464" s="102" t="s">
        <v>1107</v>
      </c>
      <c r="C464" s="102">
        <v>171088</v>
      </c>
      <c r="D464" s="102" t="s">
        <v>1407</v>
      </c>
      <c r="E464" s="102"/>
    </row>
    <row r="465" spans="1:5" x14ac:dyDescent="0.15">
      <c r="A465" s="102" t="s">
        <v>1408</v>
      </c>
      <c r="B465" s="102" t="s">
        <v>1409</v>
      </c>
      <c r="C465" s="102">
        <v>244003</v>
      </c>
      <c r="D465" s="102" t="s">
        <v>1408</v>
      </c>
      <c r="E465" s="102"/>
    </row>
    <row r="466" spans="1:5" x14ac:dyDescent="0.15">
      <c r="A466" s="102" t="s">
        <v>1410</v>
      </c>
      <c r="B466" s="102" t="s">
        <v>1107</v>
      </c>
      <c r="C466" s="102">
        <v>171089</v>
      </c>
      <c r="D466" s="102" t="s">
        <v>1411</v>
      </c>
      <c r="E466" s="102"/>
    </row>
    <row r="467" spans="1:5" x14ac:dyDescent="0.15">
      <c r="A467" s="102" t="s">
        <v>2155</v>
      </c>
      <c r="B467" s="102" t="s">
        <v>2156</v>
      </c>
      <c r="C467" s="102">
        <v>225259</v>
      </c>
      <c r="D467" s="102" t="s">
        <v>2155</v>
      </c>
      <c r="E467" s="102"/>
    </row>
    <row r="468" spans="1:5" x14ac:dyDescent="0.15">
      <c r="A468" s="102" t="s">
        <v>2157</v>
      </c>
      <c r="B468" s="102" t="s">
        <v>1825</v>
      </c>
      <c r="C468" s="102">
        <v>172954</v>
      </c>
      <c r="D468" s="102" t="s">
        <v>2157</v>
      </c>
      <c r="E468" s="102"/>
    </row>
    <row r="469" spans="1:5" x14ac:dyDescent="0.15">
      <c r="A469" s="102" t="s">
        <v>1412</v>
      </c>
      <c r="B469" s="102" t="s">
        <v>1107</v>
      </c>
      <c r="C469" s="102">
        <v>171090</v>
      </c>
      <c r="D469" s="102" t="s">
        <v>1413</v>
      </c>
      <c r="E469" s="102"/>
    </row>
    <row r="470" spans="1:5" x14ac:dyDescent="0.15">
      <c r="A470" s="102" t="s">
        <v>1414</v>
      </c>
      <c r="B470" s="102" t="s">
        <v>1415</v>
      </c>
      <c r="C470" s="102">
        <v>249016</v>
      </c>
      <c r="D470" s="102" t="s">
        <v>1414</v>
      </c>
      <c r="E470" s="102"/>
    </row>
    <row r="471" spans="1:5" x14ac:dyDescent="0.15">
      <c r="A471" s="102" t="s">
        <v>1416</v>
      </c>
      <c r="B471" s="102" t="s">
        <v>1107</v>
      </c>
      <c r="C471" s="102">
        <v>171092</v>
      </c>
      <c r="D471" s="102" t="s">
        <v>1416</v>
      </c>
      <c r="E471" s="102"/>
    </row>
    <row r="472" spans="1:5" x14ac:dyDescent="0.15">
      <c r="A472" s="102" t="s">
        <v>1417</v>
      </c>
      <c r="B472" s="102" t="s">
        <v>1107</v>
      </c>
      <c r="C472" s="102">
        <v>171094</v>
      </c>
      <c r="D472" s="102" t="s">
        <v>1418</v>
      </c>
      <c r="E472" s="102"/>
    </row>
    <row r="473" spans="1:5" x14ac:dyDescent="0.15">
      <c r="A473" s="102" t="s">
        <v>1419</v>
      </c>
      <c r="B473" s="102" t="s">
        <v>1104</v>
      </c>
      <c r="C473" s="102">
        <v>200496</v>
      </c>
      <c r="D473" s="102" t="s">
        <v>1419</v>
      </c>
      <c r="E473" s="102"/>
    </row>
    <row r="474" spans="1:5" x14ac:dyDescent="0.15">
      <c r="A474" s="102" t="s">
        <v>2158</v>
      </c>
      <c r="B474" s="102" t="s">
        <v>2159</v>
      </c>
      <c r="C474" s="102">
        <v>245537</v>
      </c>
      <c r="D474" s="102" t="s">
        <v>2158</v>
      </c>
      <c r="E474" s="102"/>
    </row>
    <row r="475" spans="1:5" x14ac:dyDescent="0.15">
      <c r="A475" s="102" t="s">
        <v>1420</v>
      </c>
      <c r="B475" s="102" t="s">
        <v>1107</v>
      </c>
      <c r="C475" s="102">
        <v>171136</v>
      </c>
      <c r="D475" s="102" t="s">
        <v>1420</v>
      </c>
      <c r="E475" s="102"/>
    </row>
    <row r="476" spans="1:5" x14ac:dyDescent="0.15">
      <c r="A476" s="102" t="s">
        <v>2160</v>
      </c>
      <c r="B476" s="102" t="s">
        <v>1825</v>
      </c>
      <c r="C476" s="102">
        <v>204306</v>
      </c>
      <c r="D476" s="102" t="s">
        <v>2160</v>
      </c>
      <c r="E476" s="102"/>
    </row>
    <row r="477" spans="1:5" x14ac:dyDescent="0.15">
      <c r="A477" s="102" t="s">
        <v>2161</v>
      </c>
      <c r="B477" s="102" t="s">
        <v>1825</v>
      </c>
      <c r="C477" s="102">
        <v>158133</v>
      </c>
      <c r="D477" s="102" t="s">
        <v>2161</v>
      </c>
      <c r="E477" s="102"/>
    </row>
    <row r="478" spans="1:5" x14ac:dyDescent="0.15">
      <c r="A478" s="102" t="s">
        <v>2162</v>
      </c>
      <c r="B478" s="102" t="s">
        <v>2163</v>
      </c>
      <c r="C478" s="102">
        <v>224141</v>
      </c>
      <c r="D478" s="102" t="s">
        <v>2162</v>
      </c>
      <c r="E478" s="102"/>
    </row>
    <row r="479" spans="1:5" x14ac:dyDescent="0.15">
      <c r="A479" s="102" t="s">
        <v>2164</v>
      </c>
      <c r="B479" s="102" t="s">
        <v>2165</v>
      </c>
      <c r="C479" s="102">
        <v>213267</v>
      </c>
      <c r="D479" s="102" t="s">
        <v>2164</v>
      </c>
      <c r="E479" s="102"/>
    </row>
    <row r="480" spans="1:5" x14ac:dyDescent="0.15">
      <c r="A480" s="102" t="s">
        <v>2166</v>
      </c>
      <c r="B480" s="102" t="s">
        <v>2167</v>
      </c>
      <c r="C480" s="102">
        <v>248373</v>
      </c>
      <c r="D480" s="102" t="s">
        <v>2166</v>
      </c>
      <c r="E480" s="102"/>
    </row>
    <row r="481" spans="1:5" x14ac:dyDescent="0.15">
      <c r="A481" s="102" t="s">
        <v>2168</v>
      </c>
      <c r="B481" s="102" t="s">
        <v>1825</v>
      </c>
      <c r="C481" s="102">
        <v>162892</v>
      </c>
      <c r="D481" s="102" t="s">
        <v>2168</v>
      </c>
      <c r="E481" s="102"/>
    </row>
    <row r="482" spans="1:5" x14ac:dyDescent="0.15">
      <c r="A482" s="102" t="s">
        <v>1421</v>
      </c>
      <c r="B482" s="102" t="s">
        <v>1107</v>
      </c>
      <c r="C482" s="102">
        <v>171072</v>
      </c>
      <c r="D482" s="102" t="s">
        <v>1421</v>
      </c>
      <c r="E482" s="102"/>
    </row>
    <row r="483" spans="1:5" x14ac:dyDescent="0.15">
      <c r="A483" s="102" t="s">
        <v>2169</v>
      </c>
      <c r="B483" s="102" t="s">
        <v>1823</v>
      </c>
      <c r="C483" s="102">
        <v>155840</v>
      </c>
      <c r="D483" s="102" t="s">
        <v>2169</v>
      </c>
      <c r="E483" s="102"/>
    </row>
    <row r="484" spans="1:5" x14ac:dyDescent="0.15">
      <c r="A484" s="102" t="s">
        <v>1422</v>
      </c>
      <c r="B484" s="102" t="s">
        <v>1423</v>
      </c>
      <c r="C484" s="102">
        <v>171138</v>
      </c>
      <c r="D484" s="102" t="s">
        <v>1422</v>
      </c>
      <c r="E484" s="102"/>
    </row>
    <row r="485" spans="1:5" x14ac:dyDescent="0.15">
      <c r="A485" s="102" t="s">
        <v>1424</v>
      </c>
      <c r="B485" s="102" t="s">
        <v>1104</v>
      </c>
      <c r="C485" s="102">
        <v>172584</v>
      </c>
      <c r="D485" s="102" t="s">
        <v>1425</v>
      </c>
      <c r="E485" s="102"/>
    </row>
    <row r="486" spans="1:5" x14ac:dyDescent="0.15">
      <c r="A486" s="102" t="s">
        <v>1426</v>
      </c>
      <c r="B486" s="102" t="s">
        <v>1101</v>
      </c>
      <c r="C486" s="102">
        <v>172898</v>
      </c>
      <c r="D486" s="102" t="s">
        <v>1426</v>
      </c>
      <c r="E486" s="102"/>
    </row>
    <row r="487" spans="1:5" x14ac:dyDescent="0.15">
      <c r="A487" s="102" t="s">
        <v>1427</v>
      </c>
      <c r="B487" s="102" t="s">
        <v>1107</v>
      </c>
      <c r="C487" s="102">
        <v>171140</v>
      </c>
      <c r="D487" s="102" t="s">
        <v>1428</v>
      </c>
      <c r="E487" s="102"/>
    </row>
    <row r="488" spans="1:5" x14ac:dyDescent="0.15">
      <c r="A488" s="102" t="s">
        <v>1429</v>
      </c>
      <c r="B488" s="102" t="s">
        <v>1107</v>
      </c>
      <c r="C488" s="102">
        <v>171142</v>
      </c>
      <c r="D488" s="102" t="s">
        <v>1429</v>
      </c>
      <c r="E488" s="102"/>
    </row>
    <row r="489" spans="1:5" x14ac:dyDescent="0.15">
      <c r="A489" s="102" t="s">
        <v>1430</v>
      </c>
      <c r="B489" s="102" t="s">
        <v>1122</v>
      </c>
      <c r="C489" s="102">
        <v>210154</v>
      </c>
      <c r="D489" s="102" t="s">
        <v>1430</v>
      </c>
      <c r="E489" s="102"/>
    </row>
    <row r="490" spans="1:5" x14ac:dyDescent="0.15">
      <c r="A490" s="102" t="s">
        <v>2170</v>
      </c>
      <c r="B490" s="102" t="s">
        <v>1825</v>
      </c>
      <c r="C490" s="102">
        <v>178213</v>
      </c>
      <c r="D490" s="102" t="s">
        <v>2170</v>
      </c>
      <c r="E490" s="102"/>
    </row>
    <row r="491" spans="1:5" x14ac:dyDescent="0.15">
      <c r="A491" s="102" t="s">
        <v>2171</v>
      </c>
      <c r="B491" s="102" t="s">
        <v>1825</v>
      </c>
      <c r="C491" s="102">
        <v>182981</v>
      </c>
      <c r="D491" s="102" t="s">
        <v>2171</v>
      </c>
      <c r="E491" s="102"/>
    </row>
    <row r="492" spans="1:5" x14ac:dyDescent="0.15">
      <c r="A492" s="102" t="s">
        <v>1431</v>
      </c>
      <c r="B492" s="102" t="s">
        <v>1107</v>
      </c>
      <c r="C492" s="102">
        <v>171148</v>
      </c>
      <c r="D492" s="102" t="s">
        <v>1431</v>
      </c>
      <c r="E492" s="102"/>
    </row>
    <row r="493" spans="1:5" x14ac:dyDescent="0.15">
      <c r="A493" s="102" t="s">
        <v>2172</v>
      </c>
      <c r="B493" s="102" t="s">
        <v>1928</v>
      </c>
      <c r="C493" s="102">
        <v>181046</v>
      </c>
      <c r="D493" s="102" t="s">
        <v>2172</v>
      </c>
      <c r="E493" s="102"/>
    </row>
    <row r="494" spans="1:5" x14ac:dyDescent="0.15">
      <c r="A494" s="102" t="s">
        <v>1432</v>
      </c>
      <c r="B494" s="102" t="s">
        <v>1122</v>
      </c>
      <c r="C494" s="102">
        <v>232354</v>
      </c>
      <c r="D494" s="102" t="s">
        <v>1432</v>
      </c>
      <c r="E494" s="102"/>
    </row>
    <row r="495" spans="1:5" x14ac:dyDescent="0.15">
      <c r="A495" s="102" t="s">
        <v>1433</v>
      </c>
      <c r="B495" s="102" t="s">
        <v>1107</v>
      </c>
      <c r="C495" s="102">
        <v>171144</v>
      </c>
      <c r="D495" s="102" t="s">
        <v>1433</v>
      </c>
      <c r="E495" s="102"/>
    </row>
    <row r="496" spans="1:5" x14ac:dyDescent="0.15">
      <c r="A496" s="102" t="s">
        <v>1434</v>
      </c>
      <c r="B496" s="102" t="s">
        <v>1435</v>
      </c>
      <c r="C496" s="102">
        <v>247502</v>
      </c>
      <c r="D496" s="102" t="s">
        <v>1434</v>
      </c>
      <c r="E496" s="102"/>
    </row>
    <row r="497" spans="1:5" x14ac:dyDescent="0.15">
      <c r="A497" s="102" t="s">
        <v>2173</v>
      </c>
      <c r="B497" s="102" t="s">
        <v>1825</v>
      </c>
      <c r="C497" s="102">
        <v>198981</v>
      </c>
      <c r="D497" s="102" t="s">
        <v>2173</v>
      </c>
      <c r="E497" s="102"/>
    </row>
    <row r="498" spans="1:5" x14ac:dyDescent="0.15">
      <c r="A498" s="102" t="s">
        <v>2174</v>
      </c>
      <c r="B498" s="102" t="s">
        <v>2175</v>
      </c>
      <c r="C498" s="102">
        <v>245832</v>
      </c>
      <c r="D498" s="102" t="s">
        <v>2174</v>
      </c>
      <c r="E498" s="102"/>
    </row>
    <row r="499" spans="1:5" x14ac:dyDescent="0.15">
      <c r="A499" s="102" t="s">
        <v>2176</v>
      </c>
      <c r="B499" s="102" t="s">
        <v>1825</v>
      </c>
      <c r="C499" s="102">
        <v>160572</v>
      </c>
      <c r="D499" s="102" t="s">
        <v>2176</v>
      </c>
      <c r="E499" s="102"/>
    </row>
    <row r="500" spans="1:5" x14ac:dyDescent="0.15">
      <c r="A500" s="102" t="s">
        <v>2177</v>
      </c>
      <c r="B500" s="102" t="s">
        <v>1825</v>
      </c>
      <c r="C500" s="102">
        <v>160569</v>
      </c>
      <c r="D500" s="102" t="s">
        <v>2177</v>
      </c>
      <c r="E500" s="102"/>
    </row>
    <row r="501" spans="1:5" x14ac:dyDescent="0.15">
      <c r="A501" s="102" t="s">
        <v>1436</v>
      </c>
      <c r="B501" s="102" t="s">
        <v>1107</v>
      </c>
      <c r="C501" s="102">
        <v>171146</v>
      </c>
      <c r="D501" s="102" t="s">
        <v>1436</v>
      </c>
      <c r="E501" s="102"/>
    </row>
    <row r="502" spans="1:5" x14ac:dyDescent="0.15">
      <c r="A502" s="102" t="s">
        <v>2178</v>
      </c>
      <c r="B502" s="102" t="s">
        <v>2179</v>
      </c>
      <c r="C502" s="102">
        <v>249381</v>
      </c>
      <c r="D502" s="102" t="s">
        <v>2178</v>
      </c>
      <c r="E502" s="102"/>
    </row>
    <row r="503" spans="1:5" x14ac:dyDescent="0.15">
      <c r="A503" s="102" t="s">
        <v>2180</v>
      </c>
      <c r="B503" s="102" t="s">
        <v>2181</v>
      </c>
      <c r="C503" s="102">
        <v>241091</v>
      </c>
      <c r="D503" s="102" t="s">
        <v>2180</v>
      </c>
      <c r="E503" s="102"/>
    </row>
    <row r="504" spans="1:5" x14ac:dyDescent="0.15">
      <c r="A504" s="102" t="s">
        <v>2182</v>
      </c>
      <c r="B504" s="102" t="s">
        <v>1823</v>
      </c>
      <c r="C504" s="102">
        <v>155960</v>
      </c>
      <c r="D504" s="102" t="s">
        <v>2182</v>
      </c>
      <c r="E504" s="102"/>
    </row>
    <row r="505" spans="1:5" x14ac:dyDescent="0.15">
      <c r="A505" s="102" t="s">
        <v>2183</v>
      </c>
      <c r="B505" s="102" t="s">
        <v>1823</v>
      </c>
      <c r="C505" s="102">
        <v>101080</v>
      </c>
      <c r="D505" s="102" t="s">
        <v>2183</v>
      </c>
      <c r="E505" s="102"/>
    </row>
    <row r="506" spans="1:5" x14ac:dyDescent="0.15">
      <c r="A506" s="102" t="s">
        <v>2184</v>
      </c>
      <c r="B506" s="102" t="s">
        <v>1823</v>
      </c>
      <c r="C506" s="102">
        <v>110995</v>
      </c>
      <c r="D506" s="102" t="s">
        <v>2184</v>
      </c>
      <c r="E506" s="102"/>
    </row>
    <row r="507" spans="1:5" x14ac:dyDescent="0.15">
      <c r="A507" s="102" t="s">
        <v>2185</v>
      </c>
      <c r="B507" s="102" t="s">
        <v>1823</v>
      </c>
      <c r="C507" s="102">
        <v>103278</v>
      </c>
      <c r="D507" s="102" t="s">
        <v>2185</v>
      </c>
      <c r="E507" s="102"/>
    </row>
    <row r="508" spans="1:5" x14ac:dyDescent="0.15">
      <c r="A508" s="102" t="s">
        <v>2186</v>
      </c>
      <c r="B508" s="102" t="s">
        <v>1823</v>
      </c>
      <c r="C508" s="102">
        <v>121096</v>
      </c>
      <c r="D508" s="102" t="s">
        <v>2186</v>
      </c>
      <c r="E508" s="102"/>
    </row>
    <row r="509" spans="1:5" x14ac:dyDescent="0.15">
      <c r="A509" s="102" t="s">
        <v>2187</v>
      </c>
      <c r="B509" s="102" t="s">
        <v>2188</v>
      </c>
      <c r="C509" s="102">
        <v>214726</v>
      </c>
      <c r="D509" s="102" t="s">
        <v>2187</v>
      </c>
      <c r="E509" s="102"/>
    </row>
    <row r="510" spans="1:5" x14ac:dyDescent="0.15">
      <c r="A510" s="102" t="s">
        <v>2189</v>
      </c>
      <c r="B510" s="102" t="s">
        <v>1825</v>
      </c>
      <c r="C510" s="102">
        <v>209552</v>
      </c>
      <c r="D510" s="102" t="s">
        <v>2189</v>
      </c>
      <c r="E510" s="102"/>
    </row>
    <row r="511" spans="1:5" x14ac:dyDescent="0.15">
      <c r="A511" s="102" t="s">
        <v>1437</v>
      </c>
      <c r="B511" s="102" t="s">
        <v>1107</v>
      </c>
      <c r="C511" s="102">
        <v>171147</v>
      </c>
      <c r="D511" s="102" t="s">
        <v>1438</v>
      </c>
      <c r="E511" s="102"/>
    </row>
    <row r="512" spans="1:5" x14ac:dyDescent="0.15">
      <c r="A512" s="102" t="s">
        <v>2190</v>
      </c>
      <c r="B512" s="102" t="s">
        <v>1823</v>
      </c>
      <c r="C512" s="102">
        <v>110753</v>
      </c>
      <c r="D512" s="102" t="s">
        <v>2190</v>
      </c>
      <c r="E512" s="102"/>
    </row>
    <row r="513" spans="1:5" x14ac:dyDescent="0.15">
      <c r="A513" s="102" t="s">
        <v>2191</v>
      </c>
      <c r="B513" s="102" t="s">
        <v>1823</v>
      </c>
      <c r="C513" s="102">
        <v>102852</v>
      </c>
      <c r="D513" s="102" t="s">
        <v>2192</v>
      </c>
      <c r="E513" s="102"/>
    </row>
    <row r="514" spans="1:5" x14ac:dyDescent="0.15">
      <c r="A514" s="102" t="s">
        <v>1439</v>
      </c>
      <c r="B514" s="102" t="s">
        <v>1122</v>
      </c>
      <c r="C514" s="102">
        <v>228971</v>
      </c>
      <c r="D514" s="102" t="s">
        <v>1440</v>
      </c>
      <c r="E514" s="102"/>
    </row>
    <row r="515" spans="1:5" x14ac:dyDescent="0.15">
      <c r="A515" s="102" t="s">
        <v>2193</v>
      </c>
      <c r="B515" s="102" t="s">
        <v>2194</v>
      </c>
      <c r="C515" s="102">
        <v>245783</v>
      </c>
      <c r="D515" s="102" t="s">
        <v>2193</v>
      </c>
      <c r="E515" s="102"/>
    </row>
    <row r="516" spans="1:5" x14ac:dyDescent="0.15">
      <c r="A516" s="102" t="s">
        <v>2195</v>
      </c>
      <c r="B516" s="102" t="s">
        <v>1825</v>
      </c>
      <c r="C516" s="102">
        <v>178211</v>
      </c>
      <c r="D516" s="102" t="s">
        <v>2195</v>
      </c>
      <c r="E516" s="102"/>
    </row>
    <row r="517" spans="1:5" x14ac:dyDescent="0.15">
      <c r="A517" s="102" t="s">
        <v>2196</v>
      </c>
      <c r="B517" s="102" t="s">
        <v>1823</v>
      </c>
      <c r="C517" s="102">
        <v>121092</v>
      </c>
      <c r="D517" s="102" t="s">
        <v>2197</v>
      </c>
      <c r="E517" s="102"/>
    </row>
    <row r="518" spans="1:5" x14ac:dyDescent="0.15">
      <c r="A518" s="102" t="s">
        <v>2198</v>
      </c>
      <c r="B518" s="102" t="s">
        <v>1823</v>
      </c>
      <c r="C518" s="102">
        <v>103188</v>
      </c>
      <c r="D518" s="102" t="s">
        <v>2198</v>
      </c>
      <c r="E518" s="102"/>
    </row>
    <row r="519" spans="1:5" x14ac:dyDescent="0.15">
      <c r="A519" s="102" t="s">
        <v>2199</v>
      </c>
      <c r="B519" s="102" t="s">
        <v>2200</v>
      </c>
      <c r="C519" s="102">
        <v>240271</v>
      </c>
      <c r="D519" s="102" t="s">
        <v>2199</v>
      </c>
      <c r="E519" s="102"/>
    </row>
    <row r="520" spans="1:5" x14ac:dyDescent="0.15">
      <c r="A520" s="102" t="s">
        <v>2201</v>
      </c>
      <c r="B520" s="102" t="s">
        <v>1825</v>
      </c>
      <c r="C520" s="102">
        <v>164238</v>
      </c>
      <c r="D520" s="102" t="s">
        <v>2201</v>
      </c>
      <c r="E520" s="102"/>
    </row>
    <row r="521" spans="1:5" x14ac:dyDescent="0.15">
      <c r="A521" s="102" t="s">
        <v>1441</v>
      </c>
      <c r="B521" s="102" t="s">
        <v>1442</v>
      </c>
      <c r="C521" s="102">
        <v>171487</v>
      </c>
      <c r="D521" s="102" t="s">
        <v>1441</v>
      </c>
      <c r="E521" s="102"/>
    </row>
    <row r="522" spans="1:5" x14ac:dyDescent="0.15">
      <c r="A522" s="102" t="s">
        <v>2202</v>
      </c>
      <c r="B522" s="102" t="s">
        <v>1825</v>
      </c>
      <c r="C522" s="102">
        <v>178212</v>
      </c>
      <c r="D522" s="102" t="s">
        <v>2202</v>
      </c>
      <c r="E522" s="102"/>
    </row>
    <row r="523" spans="1:5" x14ac:dyDescent="0.15">
      <c r="A523" s="102" t="s">
        <v>1443</v>
      </c>
      <c r="B523" s="102" t="s">
        <v>1107</v>
      </c>
      <c r="C523" s="102">
        <v>171149</v>
      </c>
      <c r="D523" s="102" t="s">
        <v>1443</v>
      </c>
      <c r="E523" s="102"/>
    </row>
    <row r="524" spans="1:5" x14ac:dyDescent="0.15">
      <c r="A524" s="102" t="s">
        <v>2203</v>
      </c>
      <c r="B524" s="102" t="s">
        <v>1823</v>
      </c>
      <c r="C524" s="102">
        <v>155835</v>
      </c>
      <c r="D524" s="102" t="s">
        <v>2203</v>
      </c>
      <c r="E524" s="102"/>
    </row>
    <row r="525" spans="1:5" x14ac:dyDescent="0.15">
      <c r="A525" s="102" t="s">
        <v>2204</v>
      </c>
      <c r="B525" s="102" t="s">
        <v>1823</v>
      </c>
      <c r="C525" s="102">
        <v>119775</v>
      </c>
      <c r="D525" s="102" t="s">
        <v>2204</v>
      </c>
      <c r="E525" s="102"/>
    </row>
    <row r="526" spans="1:5" x14ac:dyDescent="0.15">
      <c r="A526" s="102" t="s">
        <v>2205</v>
      </c>
      <c r="B526" s="102" t="s">
        <v>1825</v>
      </c>
      <c r="C526" s="102">
        <v>158195</v>
      </c>
      <c r="D526" s="102" t="s">
        <v>2205</v>
      </c>
      <c r="E526" s="102"/>
    </row>
    <row r="527" spans="1:5" x14ac:dyDescent="0.15">
      <c r="A527" s="102" t="s">
        <v>2206</v>
      </c>
      <c r="B527" s="102" t="s">
        <v>1825</v>
      </c>
      <c r="C527" s="102">
        <v>158201</v>
      </c>
      <c r="D527" s="102" t="s">
        <v>2206</v>
      </c>
      <c r="E527" s="102"/>
    </row>
    <row r="528" spans="1:5" x14ac:dyDescent="0.15">
      <c r="A528" s="102" t="s">
        <v>1444</v>
      </c>
      <c r="B528" s="102" t="s">
        <v>1107</v>
      </c>
      <c r="C528" s="102">
        <v>171150</v>
      </c>
      <c r="D528" s="102" t="s">
        <v>1444</v>
      </c>
      <c r="E528" s="102"/>
    </row>
    <row r="529" spans="1:5" x14ac:dyDescent="0.15">
      <c r="A529" s="102" t="s">
        <v>1445</v>
      </c>
      <c r="B529" s="102" t="s">
        <v>1107</v>
      </c>
      <c r="C529" s="102">
        <v>171152</v>
      </c>
      <c r="D529" s="102" t="s">
        <v>1446</v>
      </c>
      <c r="E529" s="102"/>
    </row>
    <row r="530" spans="1:5" x14ac:dyDescent="0.15">
      <c r="A530" s="102" t="s">
        <v>1447</v>
      </c>
      <c r="B530" s="102" t="s">
        <v>1107</v>
      </c>
      <c r="C530" s="102">
        <v>171151</v>
      </c>
      <c r="D530" s="102" t="s">
        <v>1447</v>
      </c>
      <c r="E530" s="102"/>
    </row>
    <row r="531" spans="1:5" x14ac:dyDescent="0.15">
      <c r="A531" s="102" t="s">
        <v>1448</v>
      </c>
      <c r="B531" s="102" t="s">
        <v>1107</v>
      </c>
      <c r="C531" s="102">
        <v>171154</v>
      </c>
      <c r="D531" s="102" t="s">
        <v>1448</v>
      </c>
      <c r="E531" s="102"/>
    </row>
    <row r="532" spans="1:5" x14ac:dyDescent="0.15">
      <c r="A532" s="102" t="s">
        <v>1449</v>
      </c>
      <c r="B532" s="102" t="s">
        <v>1107</v>
      </c>
      <c r="C532" s="102">
        <v>171153</v>
      </c>
      <c r="D532" s="102" t="s">
        <v>1450</v>
      </c>
      <c r="E532" s="102"/>
    </row>
    <row r="533" spans="1:5" x14ac:dyDescent="0.15">
      <c r="A533" s="102" t="s">
        <v>1451</v>
      </c>
      <c r="B533" s="102" t="s">
        <v>1107</v>
      </c>
      <c r="C533" s="102">
        <v>171155</v>
      </c>
      <c r="D533" s="102" t="s">
        <v>1451</v>
      </c>
      <c r="E533" s="102"/>
    </row>
    <row r="534" spans="1:5" x14ac:dyDescent="0.15">
      <c r="A534" s="102" t="s">
        <v>2207</v>
      </c>
      <c r="B534" s="102" t="s">
        <v>2208</v>
      </c>
      <c r="C534" s="102">
        <v>215940</v>
      </c>
      <c r="D534" s="102" t="s">
        <v>2207</v>
      </c>
      <c r="E534" s="102"/>
    </row>
    <row r="535" spans="1:5" x14ac:dyDescent="0.15">
      <c r="A535" s="102" t="s">
        <v>2209</v>
      </c>
      <c r="B535" s="102" t="s">
        <v>1825</v>
      </c>
      <c r="C535" s="102">
        <v>177643</v>
      </c>
      <c r="D535" s="102" t="s">
        <v>2209</v>
      </c>
      <c r="E535" s="102"/>
    </row>
    <row r="536" spans="1:5" x14ac:dyDescent="0.15">
      <c r="A536" s="102" t="s">
        <v>2210</v>
      </c>
      <c r="B536" s="102" t="s">
        <v>1825</v>
      </c>
      <c r="C536" s="102">
        <v>207495</v>
      </c>
      <c r="D536" s="102" t="s">
        <v>2210</v>
      </c>
      <c r="E536" s="102"/>
    </row>
    <row r="537" spans="1:5" x14ac:dyDescent="0.15">
      <c r="A537" s="102" t="s">
        <v>2211</v>
      </c>
      <c r="B537" s="102" t="s">
        <v>2212</v>
      </c>
      <c r="C537" s="102">
        <v>232345</v>
      </c>
      <c r="D537" s="102" t="s">
        <v>2211</v>
      </c>
      <c r="E537" s="102"/>
    </row>
    <row r="538" spans="1:5" x14ac:dyDescent="0.15">
      <c r="A538" s="102" t="s">
        <v>1452</v>
      </c>
      <c r="B538" s="102" t="s">
        <v>1104</v>
      </c>
      <c r="C538" s="102">
        <v>200495</v>
      </c>
      <c r="D538" s="102" t="s">
        <v>1452</v>
      </c>
      <c r="E538" s="102"/>
    </row>
    <row r="539" spans="1:5" x14ac:dyDescent="0.15">
      <c r="A539" s="102" t="s">
        <v>2213</v>
      </c>
      <c r="B539" s="102" t="s">
        <v>2214</v>
      </c>
      <c r="C539" s="102">
        <v>230174</v>
      </c>
      <c r="D539" s="102" t="s">
        <v>2213</v>
      </c>
      <c r="E539" s="102"/>
    </row>
    <row r="540" spans="1:5" x14ac:dyDescent="0.15">
      <c r="A540" s="102" t="s">
        <v>2215</v>
      </c>
      <c r="B540" s="102" t="s">
        <v>2216</v>
      </c>
      <c r="C540" s="102">
        <v>247287</v>
      </c>
      <c r="D540" s="102" t="s">
        <v>2215</v>
      </c>
      <c r="E540" s="102"/>
    </row>
    <row r="541" spans="1:5" x14ac:dyDescent="0.15">
      <c r="A541" s="102" t="s">
        <v>1453</v>
      </c>
      <c r="B541" s="102" t="s">
        <v>1104</v>
      </c>
      <c r="C541" s="102">
        <v>173253</v>
      </c>
      <c r="D541" s="102" t="s">
        <v>1454</v>
      </c>
      <c r="E541" s="102"/>
    </row>
    <row r="542" spans="1:5" x14ac:dyDescent="0.15">
      <c r="A542" s="102" t="s">
        <v>2217</v>
      </c>
      <c r="B542" s="102" t="s">
        <v>1825</v>
      </c>
      <c r="C542" s="102">
        <v>202820</v>
      </c>
      <c r="D542" s="102" t="s">
        <v>2217</v>
      </c>
      <c r="E542" s="102"/>
    </row>
    <row r="543" spans="1:5" x14ac:dyDescent="0.15">
      <c r="A543" s="102" t="s">
        <v>1455</v>
      </c>
      <c r="B543" s="102" t="s">
        <v>1122</v>
      </c>
      <c r="C543" s="102">
        <v>214510</v>
      </c>
      <c r="D543" s="102" t="s">
        <v>1455</v>
      </c>
      <c r="E543" s="102"/>
    </row>
    <row r="544" spans="1:5" x14ac:dyDescent="0.15">
      <c r="A544" s="102" t="s">
        <v>2218</v>
      </c>
      <c r="B544" s="102" t="s">
        <v>2219</v>
      </c>
      <c r="C544" s="102">
        <v>228972</v>
      </c>
      <c r="D544" s="102" t="s">
        <v>2218</v>
      </c>
      <c r="E544" s="102"/>
    </row>
    <row r="545" spans="1:5" x14ac:dyDescent="0.15">
      <c r="A545" s="102" t="s">
        <v>2220</v>
      </c>
      <c r="B545" s="102" t="s">
        <v>1823</v>
      </c>
      <c r="C545" s="102">
        <v>98982</v>
      </c>
      <c r="D545" s="102" t="s">
        <v>2220</v>
      </c>
      <c r="E545" s="102"/>
    </row>
    <row r="546" spans="1:5" x14ac:dyDescent="0.15">
      <c r="A546" s="102" t="s">
        <v>1456</v>
      </c>
      <c r="B546" s="102" t="s">
        <v>1104</v>
      </c>
      <c r="C546" s="102">
        <v>171824</v>
      </c>
      <c r="D546" s="102" t="s">
        <v>1457</v>
      </c>
      <c r="E546" s="102"/>
    </row>
    <row r="547" spans="1:5" x14ac:dyDescent="0.15">
      <c r="A547" s="102" t="s">
        <v>1458</v>
      </c>
      <c r="B547" s="102" t="s">
        <v>1104</v>
      </c>
      <c r="C547" s="102">
        <v>171823</v>
      </c>
      <c r="D547" s="102" t="s">
        <v>1458</v>
      </c>
      <c r="E547" s="102"/>
    </row>
    <row r="548" spans="1:5" x14ac:dyDescent="0.15">
      <c r="A548" s="102" t="s">
        <v>2221</v>
      </c>
      <c r="B548" s="102" t="s">
        <v>1825</v>
      </c>
      <c r="C548" s="102">
        <v>160688</v>
      </c>
      <c r="D548" s="102" t="s">
        <v>2221</v>
      </c>
      <c r="E548" s="102"/>
    </row>
    <row r="549" spans="1:5" x14ac:dyDescent="0.15">
      <c r="A549" s="102" t="s">
        <v>2222</v>
      </c>
      <c r="B549" s="102" t="s">
        <v>1825</v>
      </c>
      <c r="C549" s="102">
        <v>157879</v>
      </c>
      <c r="D549" s="102" t="s">
        <v>2222</v>
      </c>
      <c r="E549" s="102"/>
    </row>
    <row r="550" spans="1:5" x14ac:dyDescent="0.15">
      <c r="A550" s="102" t="s">
        <v>2223</v>
      </c>
      <c r="B550" s="102" t="s">
        <v>1825</v>
      </c>
      <c r="C550" s="102">
        <v>157878</v>
      </c>
      <c r="D550" s="102" t="s">
        <v>2223</v>
      </c>
      <c r="E550" s="102"/>
    </row>
    <row r="551" spans="1:5" x14ac:dyDescent="0.15">
      <c r="A551" s="102" t="s">
        <v>1459</v>
      </c>
      <c r="B551" s="102" t="s">
        <v>1104</v>
      </c>
      <c r="C551" s="102">
        <v>171822</v>
      </c>
      <c r="D551" s="102" t="s">
        <v>1459</v>
      </c>
      <c r="E551" s="102"/>
    </row>
    <row r="552" spans="1:5" x14ac:dyDescent="0.15">
      <c r="A552" s="102" t="s">
        <v>1460</v>
      </c>
      <c r="B552" s="102" t="s">
        <v>1461</v>
      </c>
      <c r="C552" s="102">
        <v>247308</v>
      </c>
      <c r="D552" s="102" t="s">
        <v>1460</v>
      </c>
      <c r="E552" s="102"/>
    </row>
    <row r="553" spans="1:5" x14ac:dyDescent="0.15">
      <c r="A553" s="102" t="s">
        <v>2224</v>
      </c>
      <c r="B553" s="102" t="s">
        <v>1825</v>
      </c>
      <c r="C553" s="102">
        <v>205124</v>
      </c>
      <c r="D553" s="102" t="s">
        <v>2224</v>
      </c>
      <c r="E553" s="102"/>
    </row>
    <row r="554" spans="1:5" x14ac:dyDescent="0.15">
      <c r="A554" s="102" t="s">
        <v>2225</v>
      </c>
      <c r="B554" s="102" t="s">
        <v>1825</v>
      </c>
      <c r="C554" s="102">
        <v>160592</v>
      </c>
      <c r="D554" s="102" t="s">
        <v>2225</v>
      </c>
      <c r="E554" s="102"/>
    </row>
    <row r="555" spans="1:5" x14ac:dyDescent="0.15">
      <c r="A555" s="102" t="s">
        <v>1462</v>
      </c>
      <c r="B555" s="102" t="s">
        <v>1122</v>
      </c>
      <c r="C555" s="102">
        <v>233829</v>
      </c>
      <c r="D555" s="102" t="s">
        <v>1462</v>
      </c>
      <c r="E555" s="102"/>
    </row>
    <row r="556" spans="1:5" x14ac:dyDescent="0.15">
      <c r="A556" s="102" t="s">
        <v>1463</v>
      </c>
      <c r="B556" s="102" t="s">
        <v>1104</v>
      </c>
      <c r="C556" s="102">
        <v>172671</v>
      </c>
      <c r="D556" s="102" t="s">
        <v>1463</v>
      </c>
      <c r="E556" s="102"/>
    </row>
    <row r="557" spans="1:5" x14ac:dyDescent="0.15">
      <c r="A557" s="102" t="s">
        <v>1464</v>
      </c>
      <c r="B557" s="102" t="s">
        <v>1101</v>
      </c>
      <c r="C557" s="102">
        <v>171826</v>
      </c>
      <c r="D557" s="102" t="s">
        <v>1464</v>
      </c>
      <c r="E557" s="102"/>
    </row>
    <row r="558" spans="1:5" x14ac:dyDescent="0.15">
      <c r="A558" s="102" t="s">
        <v>1465</v>
      </c>
      <c r="B558" s="102" t="s">
        <v>1122</v>
      </c>
      <c r="C558" s="102">
        <v>227234</v>
      </c>
      <c r="D558" s="102" t="s">
        <v>1465</v>
      </c>
      <c r="E558" s="102"/>
    </row>
    <row r="559" spans="1:5" x14ac:dyDescent="0.15">
      <c r="A559" s="102" t="s">
        <v>1466</v>
      </c>
      <c r="B559" s="102" t="s">
        <v>1122</v>
      </c>
      <c r="C559" s="102">
        <v>215756</v>
      </c>
      <c r="D559" s="102" t="s">
        <v>1466</v>
      </c>
      <c r="E559" s="102"/>
    </row>
    <row r="560" spans="1:5" x14ac:dyDescent="0.15">
      <c r="A560" s="102" t="s">
        <v>1467</v>
      </c>
      <c r="B560" s="102" t="s">
        <v>1122</v>
      </c>
      <c r="C560" s="102">
        <v>229864</v>
      </c>
      <c r="D560" s="102" t="s">
        <v>1467</v>
      </c>
      <c r="E560" s="102"/>
    </row>
    <row r="561" spans="1:5" x14ac:dyDescent="0.15">
      <c r="A561" s="102" t="s">
        <v>2226</v>
      </c>
      <c r="B561" s="102" t="s">
        <v>2227</v>
      </c>
      <c r="C561" s="102">
        <v>155178</v>
      </c>
      <c r="D561" s="102" t="s">
        <v>2228</v>
      </c>
      <c r="E561" s="102"/>
    </row>
    <row r="562" spans="1:5" x14ac:dyDescent="0.15">
      <c r="A562" s="102" t="s">
        <v>2229</v>
      </c>
      <c r="B562" s="102" t="s">
        <v>2230</v>
      </c>
      <c r="C562" s="102">
        <v>215429</v>
      </c>
      <c r="D562" s="102" t="s">
        <v>2229</v>
      </c>
      <c r="E562" s="102"/>
    </row>
    <row r="563" spans="1:5" x14ac:dyDescent="0.15">
      <c r="A563" s="102" t="s">
        <v>1468</v>
      </c>
      <c r="B563" s="102" t="s">
        <v>1104</v>
      </c>
      <c r="C563" s="102">
        <v>171820</v>
      </c>
      <c r="D563" s="102" t="s">
        <v>1468</v>
      </c>
      <c r="E563" s="102"/>
    </row>
    <row r="564" spans="1:5" x14ac:dyDescent="0.15">
      <c r="A564" s="102" t="s">
        <v>1469</v>
      </c>
      <c r="B564" s="102" t="s">
        <v>1470</v>
      </c>
      <c r="C564" s="102">
        <v>171603</v>
      </c>
      <c r="D564" s="102" t="s">
        <v>1469</v>
      </c>
      <c r="E564" s="102"/>
    </row>
    <row r="565" spans="1:5" x14ac:dyDescent="0.15">
      <c r="A565" s="102" t="s">
        <v>2231</v>
      </c>
      <c r="B565" s="102" t="s">
        <v>1823</v>
      </c>
      <c r="C565" s="102">
        <v>120019</v>
      </c>
      <c r="D565" s="102" t="s">
        <v>2231</v>
      </c>
      <c r="E565" s="102"/>
    </row>
    <row r="566" spans="1:5" x14ac:dyDescent="0.15">
      <c r="A566" s="102" t="s">
        <v>2232</v>
      </c>
      <c r="B566" s="102" t="s">
        <v>1825</v>
      </c>
      <c r="C566" s="102">
        <v>209555</v>
      </c>
      <c r="D566" s="102" t="s">
        <v>2232</v>
      </c>
      <c r="E566" s="102"/>
    </row>
    <row r="567" spans="1:5" x14ac:dyDescent="0.15">
      <c r="A567" s="102" t="s">
        <v>2233</v>
      </c>
      <c r="B567" s="102" t="s">
        <v>2234</v>
      </c>
      <c r="C567" s="102">
        <v>247748</v>
      </c>
      <c r="D567" s="102" t="s">
        <v>2233</v>
      </c>
      <c r="E567" s="102"/>
    </row>
    <row r="568" spans="1:5" x14ac:dyDescent="0.15">
      <c r="A568" s="102" t="s">
        <v>2235</v>
      </c>
      <c r="B568" s="102" t="s">
        <v>2236</v>
      </c>
      <c r="C568" s="102">
        <v>215430</v>
      </c>
      <c r="D568" s="102" t="s">
        <v>2235</v>
      </c>
      <c r="E568" s="102"/>
    </row>
    <row r="569" spans="1:5" x14ac:dyDescent="0.15">
      <c r="A569" s="102" t="s">
        <v>1471</v>
      </c>
      <c r="B569" s="102" t="s">
        <v>1104</v>
      </c>
      <c r="C569" s="102">
        <v>171819</v>
      </c>
      <c r="D569" s="102" t="s">
        <v>1471</v>
      </c>
      <c r="E569" s="102"/>
    </row>
    <row r="570" spans="1:5" x14ac:dyDescent="0.15">
      <c r="A570" s="102" t="s">
        <v>1472</v>
      </c>
      <c r="B570" s="102" t="s">
        <v>1473</v>
      </c>
      <c r="C570" s="102">
        <v>245623</v>
      </c>
      <c r="D570" s="102" t="s">
        <v>1472</v>
      </c>
      <c r="E570" s="102"/>
    </row>
    <row r="571" spans="1:5" x14ac:dyDescent="0.15">
      <c r="A571" s="102" t="s">
        <v>2237</v>
      </c>
      <c r="B571" s="102" t="s">
        <v>1825</v>
      </c>
      <c r="C571" s="102">
        <v>163047</v>
      </c>
      <c r="D571" s="102" t="s">
        <v>2237</v>
      </c>
      <c r="E571" s="102"/>
    </row>
    <row r="572" spans="1:5" x14ac:dyDescent="0.15">
      <c r="A572" s="102" t="s">
        <v>2237</v>
      </c>
      <c r="B572" s="102" t="s">
        <v>1825</v>
      </c>
      <c r="C572" s="102">
        <v>165638</v>
      </c>
      <c r="D572" s="102" t="s">
        <v>2237</v>
      </c>
      <c r="E572" s="102"/>
    </row>
    <row r="573" spans="1:5" x14ac:dyDescent="0.15">
      <c r="A573" s="102" t="s">
        <v>2238</v>
      </c>
      <c r="B573" s="102" t="s">
        <v>2239</v>
      </c>
      <c r="C573" s="102">
        <v>228968</v>
      </c>
      <c r="D573" s="102" t="s">
        <v>2238</v>
      </c>
      <c r="E573" s="102"/>
    </row>
    <row r="574" spans="1:5" x14ac:dyDescent="0.15">
      <c r="A574" s="102" t="s">
        <v>2240</v>
      </c>
      <c r="B574" s="102" t="s">
        <v>1825</v>
      </c>
      <c r="C574" s="102">
        <v>158052</v>
      </c>
      <c r="D574" s="102" t="s">
        <v>2240</v>
      </c>
      <c r="E574" s="102"/>
    </row>
    <row r="575" spans="1:5" x14ac:dyDescent="0.15">
      <c r="A575" s="102" t="s">
        <v>2241</v>
      </c>
      <c r="B575" s="102" t="s">
        <v>1823</v>
      </c>
      <c r="C575" s="102">
        <v>120058</v>
      </c>
      <c r="D575" s="102" t="s">
        <v>2241</v>
      </c>
      <c r="E575" s="102"/>
    </row>
    <row r="576" spans="1:5" x14ac:dyDescent="0.15">
      <c r="A576" s="102" t="s">
        <v>2242</v>
      </c>
      <c r="B576" s="102" t="s">
        <v>1825</v>
      </c>
      <c r="C576" s="102">
        <v>158194</v>
      </c>
      <c r="D576" s="102" t="s">
        <v>2242</v>
      </c>
      <c r="E576" s="102"/>
    </row>
    <row r="577" spans="1:5" x14ac:dyDescent="0.15">
      <c r="A577" s="102" t="s">
        <v>2243</v>
      </c>
      <c r="B577" s="102" t="s">
        <v>1825</v>
      </c>
      <c r="C577" s="102">
        <v>208891</v>
      </c>
      <c r="D577" s="102" t="s">
        <v>2243</v>
      </c>
      <c r="E577" s="102"/>
    </row>
    <row r="578" spans="1:5" x14ac:dyDescent="0.15">
      <c r="A578" s="102" t="s">
        <v>2244</v>
      </c>
      <c r="B578" s="102" t="s">
        <v>1825</v>
      </c>
      <c r="C578" s="102">
        <v>158191</v>
      </c>
      <c r="D578" s="102" t="s">
        <v>2244</v>
      </c>
      <c r="E578" s="102"/>
    </row>
    <row r="579" spans="1:5" x14ac:dyDescent="0.15">
      <c r="A579" s="102" t="s">
        <v>1474</v>
      </c>
      <c r="B579" s="102" t="s">
        <v>1104</v>
      </c>
      <c r="C579" s="102">
        <v>171818</v>
      </c>
      <c r="D579" s="102" t="s">
        <v>1475</v>
      </c>
      <c r="E579" s="102"/>
    </row>
    <row r="580" spans="1:5" x14ac:dyDescent="0.15">
      <c r="A580" s="102" t="s">
        <v>1476</v>
      </c>
      <c r="B580" s="102" t="s">
        <v>1104</v>
      </c>
      <c r="C580" s="102">
        <v>171816</v>
      </c>
      <c r="D580" s="102" t="s">
        <v>1477</v>
      </c>
      <c r="E580" s="102"/>
    </row>
    <row r="581" spans="1:5" x14ac:dyDescent="0.15">
      <c r="A581" s="102" t="s">
        <v>2245</v>
      </c>
      <c r="B581" s="102" t="s">
        <v>1823</v>
      </c>
      <c r="C581" s="102">
        <v>112152</v>
      </c>
      <c r="D581" s="102" t="s">
        <v>2245</v>
      </c>
      <c r="E581" s="102"/>
    </row>
    <row r="582" spans="1:5" x14ac:dyDescent="0.15">
      <c r="A582" s="102" t="s">
        <v>2246</v>
      </c>
      <c r="B582" s="102" t="s">
        <v>1823</v>
      </c>
      <c r="C582" s="102">
        <v>155124</v>
      </c>
      <c r="D582" s="102" t="s">
        <v>2246</v>
      </c>
      <c r="E582" s="102"/>
    </row>
    <row r="583" spans="1:5" x14ac:dyDescent="0.15">
      <c r="A583" s="102" t="s">
        <v>2246</v>
      </c>
      <c r="B583" s="102" t="s">
        <v>1823</v>
      </c>
      <c r="C583" s="102">
        <v>155180</v>
      </c>
      <c r="D583" s="102" t="s">
        <v>2246</v>
      </c>
      <c r="E583" s="102"/>
    </row>
    <row r="584" spans="1:5" x14ac:dyDescent="0.15">
      <c r="A584" s="102" t="s">
        <v>1478</v>
      </c>
      <c r="B584" s="102" t="s">
        <v>1104</v>
      </c>
      <c r="C584" s="102">
        <v>171813</v>
      </c>
      <c r="D584" s="102" t="s">
        <v>1478</v>
      </c>
      <c r="E584" s="102"/>
    </row>
    <row r="585" spans="1:5" x14ac:dyDescent="0.15">
      <c r="A585" s="102" t="s">
        <v>2247</v>
      </c>
      <c r="B585" s="102" t="s">
        <v>1825</v>
      </c>
      <c r="C585" s="102">
        <v>214147</v>
      </c>
      <c r="D585" s="102" t="s">
        <v>2247</v>
      </c>
      <c r="E585" s="102"/>
    </row>
    <row r="586" spans="1:5" x14ac:dyDescent="0.15">
      <c r="A586" s="102" t="s">
        <v>2248</v>
      </c>
      <c r="B586" s="102" t="s">
        <v>1825</v>
      </c>
      <c r="C586" s="102">
        <v>163151</v>
      </c>
      <c r="D586" s="102" t="s">
        <v>2248</v>
      </c>
      <c r="E586" s="102"/>
    </row>
    <row r="587" spans="1:5" x14ac:dyDescent="0.15">
      <c r="A587" s="102" t="s">
        <v>2249</v>
      </c>
      <c r="B587" s="102" t="s">
        <v>1825</v>
      </c>
      <c r="C587" s="102">
        <v>165636</v>
      </c>
      <c r="D587" s="102" t="s">
        <v>2249</v>
      </c>
      <c r="E587" s="102"/>
    </row>
    <row r="588" spans="1:5" x14ac:dyDescent="0.15">
      <c r="A588" s="102" t="s">
        <v>2250</v>
      </c>
      <c r="B588" s="102" t="s">
        <v>1825</v>
      </c>
      <c r="C588" s="102">
        <v>163048</v>
      </c>
      <c r="D588" s="102" t="s">
        <v>2250</v>
      </c>
      <c r="E588" s="102"/>
    </row>
    <row r="589" spans="1:5" x14ac:dyDescent="0.15">
      <c r="A589" s="102" t="s">
        <v>2251</v>
      </c>
      <c r="B589" s="102" t="s">
        <v>2252</v>
      </c>
      <c r="C589" s="102">
        <v>214729</v>
      </c>
      <c r="D589" s="102" t="s">
        <v>2251</v>
      </c>
      <c r="E589" s="102"/>
    </row>
    <row r="590" spans="1:5" x14ac:dyDescent="0.15">
      <c r="A590" s="102" t="s">
        <v>1479</v>
      </c>
      <c r="B590" s="102" t="s">
        <v>1104</v>
      </c>
      <c r="C590" s="102">
        <v>171785</v>
      </c>
      <c r="D590" s="102" t="s">
        <v>1479</v>
      </c>
      <c r="E590" s="102"/>
    </row>
    <row r="591" spans="1:5" x14ac:dyDescent="0.15">
      <c r="A591" s="102" t="s">
        <v>2253</v>
      </c>
      <c r="B591" s="102" t="s">
        <v>2254</v>
      </c>
      <c r="C591" s="102">
        <v>232347</v>
      </c>
      <c r="D591" s="102" t="s">
        <v>2253</v>
      </c>
      <c r="E591" s="102"/>
    </row>
    <row r="592" spans="1:5" x14ac:dyDescent="0.15">
      <c r="A592" s="102" t="s">
        <v>2253</v>
      </c>
      <c r="B592" s="102" t="s">
        <v>2255</v>
      </c>
      <c r="C592" s="102">
        <v>232348</v>
      </c>
      <c r="D592" s="102" t="s">
        <v>2253</v>
      </c>
      <c r="E592" s="102"/>
    </row>
    <row r="593" spans="1:5" x14ac:dyDescent="0.15">
      <c r="A593" s="102" t="s">
        <v>2253</v>
      </c>
      <c r="B593" s="102" t="s">
        <v>2256</v>
      </c>
      <c r="C593" s="102">
        <v>232357</v>
      </c>
      <c r="D593" s="102" t="s">
        <v>2253</v>
      </c>
      <c r="E593" s="102"/>
    </row>
    <row r="594" spans="1:5" x14ac:dyDescent="0.15">
      <c r="A594" s="102" t="s">
        <v>2253</v>
      </c>
      <c r="B594" s="102" t="s">
        <v>2257</v>
      </c>
      <c r="C594" s="102">
        <v>247568</v>
      </c>
      <c r="D594" s="102" t="s">
        <v>2253</v>
      </c>
      <c r="E594" s="102"/>
    </row>
    <row r="595" spans="1:5" x14ac:dyDescent="0.15">
      <c r="A595" s="102" t="s">
        <v>2253</v>
      </c>
      <c r="B595" s="102" t="s">
        <v>2258</v>
      </c>
      <c r="C595" s="102">
        <v>247574</v>
      </c>
      <c r="D595" s="102" t="s">
        <v>2253</v>
      </c>
      <c r="E595" s="102"/>
    </row>
    <row r="596" spans="1:5" x14ac:dyDescent="0.15">
      <c r="A596" s="102" t="s">
        <v>2253</v>
      </c>
      <c r="B596" s="102" t="s">
        <v>2259</v>
      </c>
      <c r="C596" s="102">
        <v>247576</v>
      </c>
      <c r="D596" s="102" t="s">
        <v>2253</v>
      </c>
      <c r="E596" s="102"/>
    </row>
    <row r="597" spans="1:5" x14ac:dyDescent="0.15">
      <c r="A597" s="102" t="s">
        <v>2253</v>
      </c>
      <c r="B597" s="102" t="s">
        <v>2260</v>
      </c>
      <c r="C597" s="102">
        <v>247580</v>
      </c>
      <c r="D597" s="102" t="s">
        <v>2253</v>
      </c>
      <c r="E597" s="102"/>
    </row>
    <row r="598" spans="1:5" x14ac:dyDescent="0.15">
      <c r="A598" s="102" t="s">
        <v>2253</v>
      </c>
      <c r="B598" s="102" t="s">
        <v>2261</v>
      </c>
      <c r="C598" s="102">
        <v>247581</v>
      </c>
      <c r="D598" s="102" t="s">
        <v>2253</v>
      </c>
      <c r="E598" s="102"/>
    </row>
    <row r="599" spans="1:5" x14ac:dyDescent="0.15">
      <c r="A599" s="102" t="s">
        <v>2253</v>
      </c>
      <c r="B599" s="102" t="s">
        <v>2262</v>
      </c>
      <c r="C599" s="102">
        <v>248370</v>
      </c>
      <c r="D599" s="102" t="s">
        <v>2253</v>
      </c>
      <c r="E599" s="102"/>
    </row>
    <row r="600" spans="1:5" x14ac:dyDescent="0.15">
      <c r="A600" s="102" t="s">
        <v>2253</v>
      </c>
      <c r="B600" s="102" t="s">
        <v>2263</v>
      </c>
      <c r="C600" s="102">
        <v>249382</v>
      </c>
      <c r="D600" s="102" t="s">
        <v>2253</v>
      </c>
      <c r="E600" s="102"/>
    </row>
    <row r="601" spans="1:5" x14ac:dyDescent="0.15">
      <c r="A601" s="102" t="s">
        <v>2264</v>
      </c>
      <c r="B601" s="102" t="s">
        <v>2265</v>
      </c>
      <c r="C601" s="102">
        <v>212106</v>
      </c>
      <c r="D601" s="102" t="s">
        <v>2264</v>
      </c>
      <c r="E601" s="102"/>
    </row>
    <row r="602" spans="1:5" x14ac:dyDescent="0.15">
      <c r="A602" s="102" t="s">
        <v>1480</v>
      </c>
      <c r="B602" s="102" t="s">
        <v>1104</v>
      </c>
      <c r="C602" s="102">
        <v>171783</v>
      </c>
      <c r="D602" s="102" t="s">
        <v>1480</v>
      </c>
      <c r="E602" s="102"/>
    </row>
    <row r="603" spans="1:5" x14ac:dyDescent="0.15">
      <c r="A603" s="102" t="s">
        <v>1481</v>
      </c>
      <c r="B603" s="102" t="s">
        <v>1104</v>
      </c>
      <c r="C603" s="102">
        <v>171782</v>
      </c>
      <c r="D603" s="102" t="s">
        <v>1481</v>
      </c>
      <c r="E603" s="102"/>
    </row>
    <row r="604" spans="1:5" x14ac:dyDescent="0.15">
      <c r="A604" s="102" t="s">
        <v>2266</v>
      </c>
      <c r="B604" s="102" t="s">
        <v>2267</v>
      </c>
      <c r="C604" s="102">
        <v>217042</v>
      </c>
      <c r="D604" s="102" t="s">
        <v>2266</v>
      </c>
      <c r="E604" s="102"/>
    </row>
    <row r="605" spans="1:5" x14ac:dyDescent="0.15">
      <c r="A605" s="102" t="s">
        <v>2268</v>
      </c>
      <c r="B605" s="102" t="s">
        <v>1823</v>
      </c>
      <c r="C605" s="102">
        <v>112307</v>
      </c>
      <c r="D605" s="102" t="s">
        <v>2268</v>
      </c>
      <c r="E605" s="102"/>
    </row>
    <row r="606" spans="1:5" x14ac:dyDescent="0.15">
      <c r="A606" s="102" t="s">
        <v>2269</v>
      </c>
      <c r="B606" s="102" t="s">
        <v>1825</v>
      </c>
      <c r="C606" s="102">
        <v>157560</v>
      </c>
      <c r="D606" s="102" t="s">
        <v>2269</v>
      </c>
      <c r="E606" s="102"/>
    </row>
    <row r="607" spans="1:5" x14ac:dyDescent="0.15">
      <c r="A607" s="102" t="s">
        <v>2269</v>
      </c>
      <c r="B607" s="102" t="s">
        <v>1825</v>
      </c>
      <c r="C607" s="102">
        <v>157561</v>
      </c>
      <c r="D607" s="102" t="s">
        <v>2269</v>
      </c>
      <c r="E607" s="102"/>
    </row>
    <row r="608" spans="1:5" x14ac:dyDescent="0.15">
      <c r="A608" s="102" t="s">
        <v>2270</v>
      </c>
      <c r="B608" s="102" t="s">
        <v>2271</v>
      </c>
      <c r="C608" s="102">
        <v>216994</v>
      </c>
      <c r="D608" s="102" t="s">
        <v>2270</v>
      </c>
      <c r="E608" s="102"/>
    </row>
    <row r="609" spans="1:5" x14ac:dyDescent="0.15">
      <c r="A609" s="102" t="s">
        <v>1482</v>
      </c>
      <c r="B609" s="102" t="s">
        <v>1104</v>
      </c>
      <c r="C609" s="102">
        <v>171825</v>
      </c>
      <c r="D609" s="102" t="s">
        <v>1483</v>
      </c>
      <c r="E609" s="102"/>
    </row>
    <row r="610" spans="1:5" x14ac:dyDescent="0.15">
      <c r="A610" s="102" t="s">
        <v>1484</v>
      </c>
      <c r="B610" s="102" t="s">
        <v>1104</v>
      </c>
      <c r="C610" s="102">
        <v>173040</v>
      </c>
      <c r="D610" s="102" t="s">
        <v>1484</v>
      </c>
      <c r="E610" s="102"/>
    </row>
    <row r="611" spans="1:5" x14ac:dyDescent="0.15">
      <c r="A611" s="102" t="s">
        <v>1485</v>
      </c>
      <c r="B611" s="102" t="s">
        <v>1104</v>
      </c>
      <c r="C611" s="102">
        <v>171781</v>
      </c>
      <c r="D611" s="102" t="s">
        <v>1485</v>
      </c>
      <c r="E611" s="102"/>
    </row>
    <row r="612" spans="1:5" x14ac:dyDescent="0.15">
      <c r="A612" s="102" t="s">
        <v>1486</v>
      </c>
      <c r="B612" s="102" t="s">
        <v>1104</v>
      </c>
      <c r="C612" s="102">
        <v>171780</v>
      </c>
      <c r="D612" s="102" t="s">
        <v>1487</v>
      </c>
      <c r="E612" s="102"/>
    </row>
    <row r="613" spans="1:5" x14ac:dyDescent="0.15">
      <c r="A613" s="102" t="s">
        <v>1488</v>
      </c>
      <c r="B613" s="102" t="s">
        <v>1104</v>
      </c>
      <c r="C613" s="102">
        <v>172648</v>
      </c>
      <c r="D613" s="102" t="s">
        <v>1489</v>
      </c>
      <c r="E613" s="102"/>
    </row>
    <row r="614" spans="1:5" x14ac:dyDescent="0.15">
      <c r="A614" s="102" t="s">
        <v>2272</v>
      </c>
      <c r="B614" s="102" t="s">
        <v>1823</v>
      </c>
      <c r="C614" s="102">
        <v>103160</v>
      </c>
      <c r="D614" s="102" t="s">
        <v>2272</v>
      </c>
      <c r="E614" s="102"/>
    </row>
    <row r="615" spans="1:5" x14ac:dyDescent="0.15">
      <c r="A615" s="102" t="s">
        <v>2273</v>
      </c>
      <c r="B615" s="102" t="s">
        <v>1825</v>
      </c>
      <c r="C615" s="102">
        <v>158200</v>
      </c>
      <c r="D615" s="102" t="s">
        <v>2273</v>
      </c>
      <c r="E615" s="102"/>
    </row>
    <row r="616" spans="1:5" x14ac:dyDescent="0.15">
      <c r="A616" s="102" t="s">
        <v>2274</v>
      </c>
      <c r="B616" s="102" t="s">
        <v>1823</v>
      </c>
      <c r="C616" s="102">
        <v>155932</v>
      </c>
      <c r="D616" s="102" t="s">
        <v>2274</v>
      </c>
      <c r="E616" s="102"/>
    </row>
    <row r="617" spans="1:5" x14ac:dyDescent="0.15">
      <c r="A617" s="102" t="s">
        <v>2275</v>
      </c>
      <c r="B617" s="102" t="s">
        <v>2276</v>
      </c>
      <c r="C617" s="102">
        <v>155929</v>
      </c>
      <c r="D617" s="102" t="s">
        <v>2275</v>
      </c>
      <c r="E617" s="102"/>
    </row>
    <row r="618" spans="1:5" x14ac:dyDescent="0.15">
      <c r="A618" s="102" t="s">
        <v>1490</v>
      </c>
      <c r="B618" s="102" t="s">
        <v>1104</v>
      </c>
      <c r="C618" s="102">
        <v>171779</v>
      </c>
      <c r="D618" s="102" t="s">
        <v>1490</v>
      </c>
      <c r="E618" s="102"/>
    </row>
    <row r="619" spans="1:5" x14ac:dyDescent="0.15">
      <c r="A619" s="102" t="s">
        <v>1491</v>
      </c>
      <c r="B619" s="102" t="s">
        <v>1492</v>
      </c>
      <c r="C619" s="102">
        <v>243552</v>
      </c>
      <c r="D619" s="102" t="s">
        <v>1491</v>
      </c>
      <c r="E619" s="102"/>
    </row>
    <row r="620" spans="1:5" x14ac:dyDescent="0.15">
      <c r="A620" s="102" t="s">
        <v>1493</v>
      </c>
      <c r="B620" s="102" t="s">
        <v>1104</v>
      </c>
      <c r="C620" s="102">
        <v>171778</v>
      </c>
      <c r="D620" s="102" t="s">
        <v>1494</v>
      </c>
      <c r="E620" s="102"/>
    </row>
    <row r="621" spans="1:5" x14ac:dyDescent="0.15">
      <c r="A621" s="102" t="s">
        <v>1495</v>
      </c>
      <c r="B621" s="102" t="s">
        <v>1122</v>
      </c>
      <c r="C621" s="102">
        <v>216490</v>
      </c>
      <c r="D621" s="102" t="s">
        <v>1495</v>
      </c>
      <c r="E621" s="102"/>
    </row>
    <row r="622" spans="1:5" x14ac:dyDescent="0.15">
      <c r="A622" s="102" t="s">
        <v>1496</v>
      </c>
      <c r="B622" s="102" t="s">
        <v>1104</v>
      </c>
      <c r="C622" s="102">
        <v>171777</v>
      </c>
      <c r="D622" s="102" t="s">
        <v>1496</v>
      </c>
      <c r="E622" s="102"/>
    </row>
    <row r="623" spans="1:5" x14ac:dyDescent="0.15">
      <c r="A623" s="102" t="s">
        <v>1497</v>
      </c>
      <c r="B623" s="102" t="s">
        <v>1122</v>
      </c>
      <c r="C623" s="102">
        <v>215574</v>
      </c>
      <c r="D623" s="102" t="s">
        <v>1497</v>
      </c>
      <c r="E623" s="102"/>
    </row>
    <row r="624" spans="1:5" x14ac:dyDescent="0.15">
      <c r="A624" s="102" t="s">
        <v>1498</v>
      </c>
      <c r="B624" s="102" t="s">
        <v>1499</v>
      </c>
      <c r="C624" s="102">
        <v>249528</v>
      </c>
      <c r="D624" s="102" t="s">
        <v>1498</v>
      </c>
      <c r="E624" s="102"/>
    </row>
    <row r="625" spans="1:5" x14ac:dyDescent="0.15">
      <c r="A625" s="102" t="s">
        <v>1500</v>
      </c>
      <c r="B625" s="102" t="s">
        <v>1104</v>
      </c>
      <c r="C625" s="102">
        <v>171773</v>
      </c>
      <c r="D625" s="102" t="s">
        <v>1500</v>
      </c>
      <c r="E625" s="102"/>
    </row>
    <row r="626" spans="1:5" x14ac:dyDescent="0.15">
      <c r="A626" s="102" t="s">
        <v>1501</v>
      </c>
      <c r="B626" s="102" t="s">
        <v>1104</v>
      </c>
      <c r="C626" s="102">
        <v>171724</v>
      </c>
      <c r="D626" s="102" t="s">
        <v>1501</v>
      </c>
      <c r="E626" s="102"/>
    </row>
    <row r="627" spans="1:5" x14ac:dyDescent="0.15">
      <c r="A627" s="102" t="s">
        <v>1502</v>
      </c>
      <c r="B627" s="102" t="s">
        <v>1104</v>
      </c>
      <c r="C627" s="102">
        <v>171719</v>
      </c>
      <c r="D627" s="102" t="s">
        <v>1502</v>
      </c>
      <c r="E627" s="102"/>
    </row>
    <row r="628" spans="1:5" x14ac:dyDescent="0.15">
      <c r="A628" s="102" t="s">
        <v>1503</v>
      </c>
      <c r="B628" s="102" t="s">
        <v>1104</v>
      </c>
      <c r="C628" s="102">
        <v>171734</v>
      </c>
      <c r="D628" s="102" t="s">
        <v>1503</v>
      </c>
      <c r="E628" s="102"/>
    </row>
    <row r="629" spans="1:5" x14ac:dyDescent="0.15">
      <c r="A629" s="102" t="s">
        <v>2277</v>
      </c>
      <c r="B629" s="102" t="s">
        <v>2278</v>
      </c>
      <c r="C629" s="102">
        <v>214836</v>
      </c>
      <c r="D629" s="102" t="s">
        <v>2277</v>
      </c>
      <c r="E629" s="102"/>
    </row>
    <row r="630" spans="1:5" x14ac:dyDescent="0.15">
      <c r="A630" s="102" t="s">
        <v>1504</v>
      </c>
      <c r="B630" s="102" t="s">
        <v>1505</v>
      </c>
      <c r="C630" s="102">
        <v>243880</v>
      </c>
      <c r="D630" s="102" t="s">
        <v>1504</v>
      </c>
      <c r="E630" s="102"/>
    </row>
    <row r="631" spans="1:5" x14ac:dyDescent="0.15">
      <c r="A631" s="102" t="s">
        <v>2279</v>
      </c>
      <c r="B631" s="102" t="s">
        <v>2280</v>
      </c>
      <c r="C631" s="102">
        <v>243866</v>
      </c>
      <c r="D631" s="102" t="s">
        <v>2279</v>
      </c>
      <c r="E631" s="102"/>
    </row>
    <row r="632" spans="1:5" x14ac:dyDescent="0.15">
      <c r="A632" s="102" t="s">
        <v>2281</v>
      </c>
      <c r="B632" s="102" t="s">
        <v>2282</v>
      </c>
      <c r="C632" s="102">
        <v>215015</v>
      </c>
      <c r="D632" s="102" t="s">
        <v>2281</v>
      </c>
      <c r="E632" s="102"/>
    </row>
    <row r="633" spans="1:5" x14ac:dyDescent="0.15">
      <c r="A633" s="102" t="s">
        <v>2283</v>
      </c>
      <c r="B633" s="102" t="s">
        <v>1825</v>
      </c>
      <c r="C633" s="102">
        <v>160593</v>
      </c>
      <c r="D633" s="102" t="s">
        <v>2283</v>
      </c>
      <c r="E633" s="102"/>
    </row>
    <row r="634" spans="1:5" x14ac:dyDescent="0.15">
      <c r="A634" s="102" t="s">
        <v>2284</v>
      </c>
      <c r="B634" s="102" t="s">
        <v>1825</v>
      </c>
      <c r="C634" s="102">
        <v>178588</v>
      </c>
      <c r="D634" s="102" t="s">
        <v>2284</v>
      </c>
      <c r="E634" s="102"/>
    </row>
    <row r="635" spans="1:5" x14ac:dyDescent="0.15">
      <c r="A635" s="102" t="s">
        <v>1506</v>
      </c>
      <c r="B635" s="102" t="s">
        <v>1104</v>
      </c>
      <c r="C635" s="102">
        <v>171733</v>
      </c>
      <c r="D635" s="102" t="s">
        <v>1507</v>
      </c>
      <c r="E635" s="102"/>
    </row>
    <row r="636" spans="1:5" x14ac:dyDescent="0.15">
      <c r="A636" s="102" t="s">
        <v>1508</v>
      </c>
      <c r="B636" s="102" t="s">
        <v>1104</v>
      </c>
      <c r="C636" s="102">
        <v>172586</v>
      </c>
      <c r="D636" s="102" t="s">
        <v>1508</v>
      </c>
      <c r="E636" s="102"/>
    </row>
    <row r="637" spans="1:5" x14ac:dyDescent="0.15">
      <c r="A637" s="102" t="s">
        <v>1509</v>
      </c>
      <c r="B637" s="102" t="s">
        <v>1104</v>
      </c>
      <c r="C637" s="102">
        <v>171732</v>
      </c>
      <c r="D637" s="102" t="s">
        <v>1509</v>
      </c>
      <c r="E637" s="102"/>
    </row>
    <row r="638" spans="1:5" x14ac:dyDescent="0.15">
      <c r="A638" s="102" t="s">
        <v>1510</v>
      </c>
      <c r="B638" s="102" t="s">
        <v>1104</v>
      </c>
      <c r="C638" s="102">
        <v>171731</v>
      </c>
      <c r="D638" s="102" t="s">
        <v>1510</v>
      </c>
      <c r="E638" s="102"/>
    </row>
    <row r="639" spans="1:5" x14ac:dyDescent="0.15">
      <c r="A639" s="102" t="s">
        <v>2285</v>
      </c>
      <c r="B639" s="102" t="s">
        <v>2286</v>
      </c>
      <c r="C639" s="102">
        <v>247289</v>
      </c>
      <c r="D639" s="102" t="s">
        <v>2285</v>
      </c>
      <c r="E639" s="102"/>
    </row>
    <row r="640" spans="1:5" x14ac:dyDescent="0.15">
      <c r="A640" s="102" t="s">
        <v>2287</v>
      </c>
      <c r="B640" s="102" t="s">
        <v>2083</v>
      </c>
      <c r="C640" s="102">
        <v>230108</v>
      </c>
      <c r="D640" s="102" t="s">
        <v>2287</v>
      </c>
      <c r="E640" s="102"/>
    </row>
    <row r="641" spans="1:5" x14ac:dyDescent="0.15">
      <c r="A641" s="102" t="s">
        <v>2288</v>
      </c>
      <c r="B641" s="102" t="s">
        <v>1825</v>
      </c>
      <c r="C641" s="102">
        <v>202456</v>
      </c>
      <c r="D641" s="102" t="s">
        <v>2288</v>
      </c>
      <c r="E641" s="102"/>
    </row>
    <row r="642" spans="1:5" x14ac:dyDescent="0.15">
      <c r="A642" s="102" t="s">
        <v>1511</v>
      </c>
      <c r="B642" s="102" t="s">
        <v>1104</v>
      </c>
      <c r="C642" s="102">
        <v>171730</v>
      </c>
      <c r="D642" s="102" t="s">
        <v>1511</v>
      </c>
      <c r="E642" s="102"/>
    </row>
    <row r="643" spans="1:5" x14ac:dyDescent="0.15">
      <c r="A643" s="102" t="s">
        <v>1512</v>
      </c>
      <c r="B643" s="102" t="s">
        <v>1107</v>
      </c>
      <c r="C643" s="102">
        <v>166500</v>
      </c>
      <c r="D643" s="102" t="s">
        <v>1512</v>
      </c>
      <c r="E643" s="102"/>
    </row>
    <row r="644" spans="1:5" x14ac:dyDescent="0.15">
      <c r="A644" s="102" t="s">
        <v>1513</v>
      </c>
      <c r="B644" s="102" t="s">
        <v>1104</v>
      </c>
      <c r="C644" s="102">
        <v>172661</v>
      </c>
      <c r="D644" s="102" t="s">
        <v>1513</v>
      </c>
      <c r="E644" s="102"/>
    </row>
    <row r="645" spans="1:5" x14ac:dyDescent="0.15">
      <c r="A645" s="102" t="s">
        <v>1514</v>
      </c>
      <c r="B645" s="102" t="s">
        <v>1104</v>
      </c>
      <c r="C645" s="102">
        <v>171729</v>
      </c>
      <c r="D645" s="102" t="s">
        <v>1514</v>
      </c>
      <c r="E645" s="102"/>
    </row>
    <row r="646" spans="1:5" x14ac:dyDescent="0.15">
      <c r="A646" s="102" t="s">
        <v>1515</v>
      </c>
      <c r="B646" s="102" t="s">
        <v>1104</v>
      </c>
      <c r="C646" s="102">
        <v>171728</v>
      </c>
      <c r="D646" s="102" t="s">
        <v>1516</v>
      </c>
      <c r="E646" s="102"/>
    </row>
    <row r="647" spans="1:5" x14ac:dyDescent="0.15">
      <c r="A647" s="102" t="s">
        <v>1517</v>
      </c>
      <c r="B647" s="102" t="s">
        <v>1101</v>
      </c>
      <c r="C647" s="102">
        <v>171727</v>
      </c>
      <c r="D647" s="102" t="s">
        <v>1517</v>
      </c>
      <c r="E647" s="102"/>
    </row>
    <row r="648" spans="1:5" x14ac:dyDescent="0.15">
      <c r="A648" s="102" t="s">
        <v>1518</v>
      </c>
      <c r="B648" s="102" t="s">
        <v>1104</v>
      </c>
      <c r="C648" s="102">
        <v>171726</v>
      </c>
      <c r="D648" s="102" t="s">
        <v>1518</v>
      </c>
      <c r="E648" s="102"/>
    </row>
    <row r="649" spans="1:5" x14ac:dyDescent="0.15">
      <c r="A649" s="102" t="s">
        <v>1519</v>
      </c>
      <c r="B649" s="102" t="s">
        <v>1122</v>
      </c>
      <c r="C649" s="102">
        <v>230069</v>
      </c>
      <c r="D649" s="102" t="s">
        <v>1519</v>
      </c>
      <c r="E649" s="102"/>
    </row>
    <row r="650" spans="1:5" x14ac:dyDescent="0.15">
      <c r="A650" s="102" t="s">
        <v>1520</v>
      </c>
      <c r="B650" s="102" t="s">
        <v>1521</v>
      </c>
      <c r="C650" s="102">
        <v>241582</v>
      </c>
      <c r="D650" s="102" t="s">
        <v>1520</v>
      </c>
      <c r="E650" s="102"/>
    </row>
    <row r="651" spans="1:5" x14ac:dyDescent="0.15">
      <c r="A651" s="102" t="s">
        <v>1522</v>
      </c>
      <c r="B651" s="102" t="s">
        <v>1104</v>
      </c>
      <c r="C651" s="102">
        <v>171725</v>
      </c>
      <c r="D651" s="102" t="s">
        <v>1522</v>
      </c>
      <c r="E651" s="102"/>
    </row>
    <row r="652" spans="1:5" x14ac:dyDescent="0.15">
      <c r="A652" s="102" t="s">
        <v>1523</v>
      </c>
      <c r="B652" s="102" t="s">
        <v>1104</v>
      </c>
      <c r="C652" s="102">
        <v>171723</v>
      </c>
      <c r="D652" s="102" t="s">
        <v>1523</v>
      </c>
      <c r="E652" s="102"/>
    </row>
    <row r="653" spans="1:5" x14ac:dyDescent="0.15">
      <c r="A653" s="102" t="s">
        <v>1524</v>
      </c>
      <c r="B653" s="102" t="s">
        <v>1104</v>
      </c>
      <c r="C653" s="102">
        <v>171722</v>
      </c>
      <c r="D653" s="102" t="s">
        <v>1524</v>
      </c>
      <c r="E653" s="102"/>
    </row>
    <row r="654" spans="1:5" x14ac:dyDescent="0.15">
      <c r="A654" s="102" t="s">
        <v>1525</v>
      </c>
      <c r="B654" s="102" t="s">
        <v>1122</v>
      </c>
      <c r="C654" s="102">
        <v>202237</v>
      </c>
      <c r="D654" s="102" t="s">
        <v>1525</v>
      </c>
      <c r="E654" s="102"/>
    </row>
    <row r="655" spans="1:5" x14ac:dyDescent="0.15">
      <c r="A655" s="102" t="s">
        <v>1526</v>
      </c>
      <c r="B655" s="102" t="s">
        <v>1104</v>
      </c>
      <c r="C655" s="102">
        <v>171721</v>
      </c>
      <c r="D655" s="102" t="s">
        <v>1526</v>
      </c>
      <c r="E655" s="102"/>
    </row>
    <row r="656" spans="1:5" x14ac:dyDescent="0.15">
      <c r="A656" s="102" t="s">
        <v>1527</v>
      </c>
      <c r="B656" s="102" t="s">
        <v>1104</v>
      </c>
      <c r="C656" s="102">
        <v>171720</v>
      </c>
      <c r="D656" s="102" t="s">
        <v>1527</v>
      </c>
      <c r="E656" s="102"/>
    </row>
    <row r="657" spans="1:5" x14ac:dyDescent="0.15">
      <c r="A657" s="102" t="s">
        <v>1528</v>
      </c>
      <c r="B657" s="102" t="s">
        <v>1104</v>
      </c>
      <c r="C657" s="102">
        <v>171718</v>
      </c>
      <c r="D657" s="102" t="s">
        <v>1528</v>
      </c>
      <c r="E657" s="102"/>
    </row>
    <row r="658" spans="1:5" x14ac:dyDescent="0.15">
      <c r="A658" s="102" t="s">
        <v>1529</v>
      </c>
      <c r="B658" s="102" t="s">
        <v>1104</v>
      </c>
      <c r="C658" s="102">
        <v>171713</v>
      </c>
      <c r="D658" s="102" t="s">
        <v>1529</v>
      </c>
      <c r="E658" s="102"/>
    </row>
    <row r="659" spans="1:5" x14ac:dyDescent="0.15">
      <c r="A659" s="102" t="s">
        <v>1530</v>
      </c>
      <c r="B659" s="102" t="s">
        <v>1104</v>
      </c>
      <c r="C659" s="102">
        <v>171717</v>
      </c>
      <c r="D659" s="102" t="s">
        <v>1531</v>
      </c>
      <c r="E659" s="102"/>
    </row>
    <row r="660" spans="1:5" x14ac:dyDescent="0.15">
      <c r="A660" s="102" t="s">
        <v>1532</v>
      </c>
      <c r="B660" s="102" t="s">
        <v>1104</v>
      </c>
      <c r="C660" s="102">
        <v>171715</v>
      </c>
      <c r="D660" s="102" t="s">
        <v>1532</v>
      </c>
      <c r="E660" s="102"/>
    </row>
    <row r="661" spans="1:5" x14ac:dyDescent="0.15">
      <c r="A661" s="102" t="s">
        <v>1533</v>
      </c>
      <c r="B661" s="102" t="s">
        <v>1104</v>
      </c>
      <c r="C661" s="102">
        <v>171716</v>
      </c>
      <c r="D661" s="102" t="s">
        <v>1534</v>
      </c>
      <c r="E661" s="102"/>
    </row>
    <row r="662" spans="1:5" x14ac:dyDescent="0.15">
      <c r="A662" s="102" t="s">
        <v>2289</v>
      </c>
      <c r="B662" s="102" t="s">
        <v>1823</v>
      </c>
      <c r="C662" s="102">
        <v>103472</v>
      </c>
      <c r="D662" s="102" t="s">
        <v>2289</v>
      </c>
      <c r="E662" s="102"/>
    </row>
    <row r="663" spans="1:5" x14ac:dyDescent="0.15">
      <c r="A663" s="102" t="s">
        <v>1535</v>
      </c>
      <c r="B663" s="102" t="s">
        <v>1104</v>
      </c>
      <c r="C663" s="102">
        <v>171714</v>
      </c>
      <c r="D663" s="102" t="s">
        <v>1536</v>
      </c>
      <c r="E663" s="102"/>
    </row>
    <row r="664" spans="1:5" x14ac:dyDescent="0.15">
      <c r="A664" s="102" t="s">
        <v>1537</v>
      </c>
      <c r="B664" s="102" t="s">
        <v>1104</v>
      </c>
      <c r="C664" s="102">
        <v>171712</v>
      </c>
      <c r="D664" s="102" t="s">
        <v>1537</v>
      </c>
      <c r="E664" s="102"/>
    </row>
    <row r="665" spans="1:5" x14ac:dyDescent="0.15">
      <c r="A665" s="102" t="s">
        <v>2290</v>
      </c>
      <c r="B665" s="102" t="s">
        <v>2291</v>
      </c>
      <c r="C665" s="102">
        <v>243668</v>
      </c>
      <c r="D665" s="102" t="s">
        <v>2290</v>
      </c>
      <c r="E665" s="102"/>
    </row>
    <row r="666" spans="1:5" x14ac:dyDescent="0.15">
      <c r="A666" s="102" t="s">
        <v>1538</v>
      </c>
      <c r="B666" s="102" t="s">
        <v>1104</v>
      </c>
      <c r="C666" s="102">
        <v>171711</v>
      </c>
      <c r="D666" s="102" t="s">
        <v>1538</v>
      </c>
      <c r="E666" s="102"/>
    </row>
    <row r="667" spans="1:5" x14ac:dyDescent="0.15">
      <c r="A667" s="102" t="s">
        <v>1539</v>
      </c>
      <c r="B667" s="102" t="s">
        <v>1104</v>
      </c>
      <c r="C667" s="102">
        <v>171710</v>
      </c>
      <c r="D667" s="102" t="s">
        <v>1539</v>
      </c>
      <c r="E667" s="102"/>
    </row>
    <row r="668" spans="1:5" x14ac:dyDescent="0.15">
      <c r="A668" s="102" t="s">
        <v>2292</v>
      </c>
      <c r="B668" s="102" t="s">
        <v>2293</v>
      </c>
      <c r="C668" s="102">
        <v>246739</v>
      </c>
      <c r="D668" s="102" t="s">
        <v>2292</v>
      </c>
      <c r="E668" s="102"/>
    </row>
    <row r="669" spans="1:5" x14ac:dyDescent="0.15">
      <c r="A669" s="102" t="s">
        <v>2294</v>
      </c>
      <c r="B669" s="102" t="s">
        <v>1825</v>
      </c>
      <c r="C669" s="102">
        <v>162882</v>
      </c>
      <c r="D669" s="102" t="s">
        <v>2294</v>
      </c>
      <c r="E669" s="102"/>
    </row>
    <row r="670" spans="1:5" x14ac:dyDescent="0.15">
      <c r="A670" s="102" t="s">
        <v>1540</v>
      </c>
      <c r="B670" s="102" t="s">
        <v>1122</v>
      </c>
      <c r="C670" s="102">
        <v>231819</v>
      </c>
      <c r="D670" s="102" t="s">
        <v>1540</v>
      </c>
      <c r="E670" s="102"/>
    </row>
    <row r="671" spans="1:5" x14ac:dyDescent="0.15">
      <c r="A671" s="102" t="s">
        <v>2295</v>
      </c>
      <c r="B671" s="102" t="s">
        <v>1825</v>
      </c>
      <c r="C671" s="102">
        <v>157871</v>
      </c>
      <c r="D671" s="102" t="s">
        <v>2295</v>
      </c>
      <c r="E671" s="102"/>
    </row>
    <row r="672" spans="1:5" x14ac:dyDescent="0.15">
      <c r="A672" s="102" t="s">
        <v>2296</v>
      </c>
      <c r="B672" s="102" t="s">
        <v>1823</v>
      </c>
      <c r="C672" s="102">
        <v>121071</v>
      </c>
      <c r="D672" s="102" t="s">
        <v>2296</v>
      </c>
      <c r="E672" s="102"/>
    </row>
    <row r="673" spans="1:5" x14ac:dyDescent="0.15">
      <c r="A673" s="102" t="s">
        <v>1541</v>
      </c>
      <c r="B673" s="102" t="s">
        <v>1122</v>
      </c>
      <c r="C673" s="102">
        <v>219318</v>
      </c>
      <c r="D673" s="102" t="s">
        <v>1541</v>
      </c>
      <c r="E673" s="102"/>
    </row>
    <row r="674" spans="1:5" x14ac:dyDescent="0.15">
      <c r="A674" s="102" t="s">
        <v>1542</v>
      </c>
      <c r="B674" s="102" t="s">
        <v>1104</v>
      </c>
      <c r="C674" s="102">
        <v>171709</v>
      </c>
      <c r="D674" s="102" t="s">
        <v>1543</v>
      </c>
      <c r="E674" s="102"/>
    </row>
    <row r="675" spans="1:5" x14ac:dyDescent="0.15">
      <c r="A675" s="102" t="s">
        <v>2297</v>
      </c>
      <c r="B675" s="102" t="s">
        <v>1823</v>
      </c>
      <c r="C675" s="102">
        <v>103327</v>
      </c>
      <c r="D675" s="102" t="s">
        <v>2297</v>
      </c>
      <c r="E675" s="102"/>
    </row>
    <row r="676" spans="1:5" x14ac:dyDescent="0.15">
      <c r="A676" s="102" t="s">
        <v>1544</v>
      </c>
      <c r="B676" s="102" t="s">
        <v>1104</v>
      </c>
      <c r="C676" s="102">
        <v>171704</v>
      </c>
      <c r="D676" s="102" t="s">
        <v>1544</v>
      </c>
      <c r="E676" s="102"/>
    </row>
    <row r="677" spans="1:5" x14ac:dyDescent="0.15">
      <c r="A677" s="102" t="s">
        <v>1545</v>
      </c>
      <c r="B677" s="102" t="s">
        <v>1104</v>
      </c>
      <c r="C677" s="102">
        <v>172655</v>
      </c>
      <c r="D677" s="102" t="s">
        <v>1545</v>
      </c>
      <c r="E677" s="102"/>
    </row>
    <row r="678" spans="1:5" x14ac:dyDescent="0.15">
      <c r="A678" s="102" t="s">
        <v>1546</v>
      </c>
      <c r="B678" s="102" t="s">
        <v>1104</v>
      </c>
      <c r="C678" s="102">
        <v>171703</v>
      </c>
      <c r="D678" s="102" t="s">
        <v>1547</v>
      </c>
      <c r="E678" s="102"/>
    </row>
    <row r="679" spans="1:5" x14ac:dyDescent="0.15">
      <c r="A679" s="102" t="s">
        <v>1548</v>
      </c>
      <c r="B679" s="102" t="s">
        <v>1104</v>
      </c>
      <c r="C679" s="102">
        <v>171702</v>
      </c>
      <c r="D679" s="102" t="s">
        <v>1548</v>
      </c>
      <c r="E679" s="102"/>
    </row>
    <row r="680" spans="1:5" x14ac:dyDescent="0.15">
      <c r="A680" s="102" t="s">
        <v>1549</v>
      </c>
      <c r="B680" s="102" t="s">
        <v>1104</v>
      </c>
      <c r="C680" s="102">
        <v>185841</v>
      </c>
      <c r="D680" s="102" t="s">
        <v>1550</v>
      </c>
      <c r="E680" s="102"/>
    </row>
    <row r="681" spans="1:5" x14ac:dyDescent="0.15">
      <c r="A681" s="102" t="s">
        <v>2298</v>
      </c>
      <c r="B681" s="102" t="s">
        <v>1825</v>
      </c>
      <c r="C681" s="102">
        <v>157875</v>
      </c>
      <c r="D681" s="102" t="s">
        <v>2298</v>
      </c>
      <c r="E681" s="102"/>
    </row>
    <row r="682" spans="1:5" x14ac:dyDescent="0.15">
      <c r="A682" s="102" t="s">
        <v>1551</v>
      </c>
      <c r="B682" s="102" t="s">
        <v>1104</v>
      </c>
      <c r="C682" s="102">
        <v>171701</v>
      </c>
      <c r="D682" s="102" t="s">
        <v>1552</v>
      </c>
      <c r="E682" s="102"/>
    </row>
    <row r="683" spans="1:5" x14ac:dyDescent="0.15">
      <c r="A683" s="102" t="s">
        <v>2299</v>
      </c>
      <c r="B683" s="102" t="s">
        <v>2300</v>
      </c>
      <c r="C683" s="102">
        <v>228643</v>
      </c>
      <c r="D683" s="102" t="s">
        <v>2299</v>
      </c>
      <c r="E683" s="102"/>
    </row>
    <row r="684" spans="1:5" x14ac:dyDescent="0.15">
      <c r="A684" s="102" t="s">
        <v>2301</v>
      </c>
      <c r="B684" s="102" t="s">
        <v>1825</v>
      </c>
      <c r="C684" s="102">
        <v>192375</v>
      </c>
      <c r="D684" s="102" t="s">
        <v>2301</v>
      </c>
      <c r="E684" s="102"/>
    </row>
    <row r="685" spans="1:5" x14ac:dyDescent="0.15">
      <c r="A685" s="102" t="s">
        <v>1553</v>
      </c>
      <c r="B685" s="102" t="s">
        <v>1104</v>
      </c>
      <c r="C685" s="102">
        <v>171700</v>
      </c>
      <c r="D685" s="102" t="s">
        <v>1553</v>
      </c>
      <c r="E685" s="102"/>
    </row>
    <row r="686" spans="1:5" x14ac:dyDescent="0.15">
      <c r="A686" s="102" t="s">
        <v>1554</v>
      </c>
      <c r="B686" s="102" t="s">
        <v>1104</v>
      </c>
      <c r="C686" s="102">
        <v>171699</v>
      </c>
      <c r="D686" s="102" t="s">
        <v>1554</v>
      </c>
      <c r="E686" s="102"/>
    </row>
    <row r="687" spans="1:5" x14ac:dyDescent="0.15">
      <c r="A687" s="102" t="s">
        <v>1555</v>
      </c>
      <c r="B687" s="102" t="s">
        <v>1556</v>
      </c>
      <c r="C687" s="102">
        <v>245540</v>
      </c>
      <c r="D687" s="102" t="s">
        <v>1555</v>
      </c>
      <c r="E687" s="102"/>
    </row>
    <row r="688" spans="1:5" x14ac:dyDescent="0.15">
      <c r="A688" s="102" t="s">
        <v>2302</v>
      </c>
      <c r="B688" s="102" t="s">
        <v>1825</v>
      </c>
      <c r="C688" s="102">
        <v>207411</v>
      </c>
      <c r="D688" s="102" t="s">
        <v>2302</v>
      </c>
      <c r="E688" s="102"/>
    </row>
    <row r="689" spans="1:5" x14ac:dyDescent="0.15">
      <c r="A689" s="102" t="s">
        <v>1557</v>
      </c>
      <c r="B689" s="102" t="s">
        <v>1104</v>
      </c>
      <c r="C689" s="102">
        <v>181036</v>
      </c>
      <c r="D689" s="102" t="s">
        <v>1557</v>
      </c>
      <c r="E689" s="102"/>
    </row>
    <row r="690" spans="1:5" x14ac:dyDescent="0.15">
      <c r="A690" s="102" t="s">
        <v>1558</v>
      </c>
      <c r="B690" s="102" t="s">
        <v>1104</v>
      </c>
      <c r="C690" s="102">
        <v>172881</v>
      </c>
      <c r="D690" s="102" t="s">
        <v>1558</v>
      </c>
      <c r="E690" s="102"/>
    </row>
    <row r="691" spans="1:5" x14ac:dyDescent="0.15">
      <c r="A691" s="102" t="s">
        <v>2303</v>
      </c>
      <c r="B691" s="102" t="s">
        <v>1825</v>
      </c>
      <c r="C691" s="102">
        <v>178156</v>
      </c>
      <c r="D691" s="102" t="s">
        <v>2303</v>
      </c>
      <c r="E691" s="102"/>
    </row>
    <row r="692" spans="1:5" x14ac:dyDescent="0.15">
      <c r="A692" s="102" t="s">
        <v>2304</v>
      </c>
      <c r="B692" s="102" t="s">
        <v>2305</v>
      </c>
      <c r="C692" s="102">
        <v>232349</v>
      </c>
      <c r="D692" s="102" t="s">
        <v>2304</v>
      </c>
      <c r="E692" s="102"/>
    </row>
    <row r="693" spans="1:5" x14ac:dyDescent="0.15">
      <c r="A693" s="102" t="s">
        <v>2306</v>
      </c>
      <c r="B693" s="102" t="s">
        <v>2307</v>
      </c>
      <c r="C693" s="102">
        <v>228145</v>
      </c>
      <c r="D693" s="102" t="s">
        <v>2306</v>
      </c>
      <c r="E693" s="102"/>
    </row>
    <row r="694" spans="1:5" x14ac:dyDescent="0.15">
      <c r="A694" s="102" t="s">
        <v>2308</v>
      </c>
      <c r="B694" s="102" t="s">
        <v>1825</v>
      </c>
      <c r="C694" s="102">
        <v>162874</v>
      </c>
      <c r="D694" s="102" t="s">
        <v>2308</v>
      </c>
      <c r="E694" s="102"/>
    </row>
    <row r="695" spans="1:5" x14ac:dyDescent="0.15">
      <c r="A695" s="102" t="s">
        <v>2309</v>
      </c>
      <c r="B695" s="102" t="s">
        <v>1825</v>
      </c>
      <c r="C695" s="102">
        <v>182978</v>
      </c>
      <c r="D695" s="102" t="s">
        <v>2309</v>
      </c>
      <c r="E695" s="102"/>
    </row>
    <row r="696" spans="1:5" x14ac:dyDescent="0.15">
      <c r="A696" s="102" t="s">
        <v>2310</v>
      </c>
      <c r="B696" s="102" t="s">
        <v>1825</v>
      </c>
      <c r="C696" s="102">
        <v>203158</v>
      </c>
      <c r="D696" s="102" t="s">
        <v>2310</v>
      </c>
      <c r="E696" s="102"/>
    </row>
    <row r="697" spans="1:5" x14ac:dyDescent="0.15">
      <c r="A697" s="102" t="s">
        <v>1559</v>
      </c>
      <c r="B697" s="102" t="s">
        <v>1104</v>
      </c>
      <c r="C697" s="102">
        <v>171697</v>
      </c>
      <c r="D697" s="102" t="s">
        <v>1559</v>
      </c>
      <c r="E697" s="102"/>
    </row>
    <row r="698" spans="1:5" x14ac:dyDescent="0.15">
      <c r="A698" s="102" t="s">
        <v>1560</v>
      </c>
      <c r="B698" s="102" t="s">
        <v>1104</v>
      </c>
      <c r="C698" s="102">
        <v>178890</v>
      </c>
      <c r="D698" s="102" t="s">
        <v>1560</v>
      </c>
      <c r="E698" s="102"/>
    </row>
    <row r="699" spans="1:5" x14ac:dyDescent="0.15">
      <c r="A699" s="102" t="s">
        <v>1561</v>
      </c>
      <c r="B699" s="102" t="s">
        <v>1562</v>
      </c>
      <c r="C699" s="102">
        <v>243120</v>
      </c>
      <c r="D699" s="102" t="s">
        <v>1561</v>
      </c>
      <c r="E699" s="102"/>
    </row>
    <row r="700" spans="1:5" x14ac:dyDescent="0.15">
      <c r="A700" s="102" t="s">
        <v>1563</v>
      </c>
      <c r="B700" s="102" t="s">
        <v>1104</v>
      </c>
      <c r="C700" s="102">
        <v>171695</v>
      </c>
      <c r="D700" s="102" t="s">
        <v>1563</v>
      </c>
      <c r="E700" s="102"/>
    </row>
    <row r="701" spans="1:5" x14ac:dyDescent="0.15">
      <c r="A701" s="102" t="s">
        <v>2311</v>
      </c>
      <c r="B701" s="102" t="s">
        <v>1823</v>
      </c>
      <c r="C701" s="102">
        <v>110475</v>
      </c>
      <c r="D701" s="102" t="s">
        <v>2311</v>
      </c>
      <c r="E701" s="102"/>
    </row>
    <row r="702" spans="1:5" x14ac:dyDescent="0.15">
      <c r="A702" s="102" t="s">
        <v>2312</v>
      </c>
      <c r="B702" s="102" t="s">
        <v>2313</v>
      </c>
      <c r="C702" s="102">
        <v>236724</v>
      </c>
      <c r="D702" s="102" t="s">
        <v>2312</v>
      </c>
      <c r="E702" s="102"/>
    </row>
    <row r="703" spans="1:5" x14ac:dyDescent="0.15">
      <c r="A703" s="102" t="s">
        <v>2314</v>
      </c>
      <c r="B703" s="102" t="s">
        <v>1825</v>
      </c>
      <c r="C703" s="102">
        <v>204956</v>
      </c>
      <c r="D703" s="102" t="s">
        <v>2314</v>
      </c>
      <c r="E703" s="102"/>
    </row>
    <row r="704" spans="1:5" x14ac:dyDescent="0.15">
      <c r="A704" s="102" t="s">
        <v>2314</v>
      </c>
      <c r="B704" s="102" t="s">
        <v>1825</v>
      </c>
      <c r="C704" s="102">
        <v>204957</v>
      </c>
      <c r="D704" s="102" t="s">
        <v>2314</v>
      </c>
      <c r="E704" s="102"/>
    </row>
    <row r="705" spans="1:5" x14ac:dyDescent="0.15">
      <c r="A705" s="102" t="s">
        <v>1564</v>
      </c>
      <c r="B705" s="102" t="s">
        <v>1122</v>
      </c>
      <c r="C705" s="102">
        <v>205444</v>
      </c>
      <c r="D705" s="102" t="s">
        <v>1564</v>
      </c>
      <c r="E705" s="102"/>
    </row>
    <row r="706" spans="1:5" x14ac:dyDescent="0.15">
      <c r="A706" s="102" t="s">
        <v>2315</v>
      </c>
      <c r="B706" s="102" t="s">
        <v>1928</v>
      </c>
      <c r="C706" s="102">
        <v>181037</v>
      </c>
      <c r="D706" s="102" t="s">
        <v>2315</v>
      </c>
      <c r="E706" s="102"/>
    </row>
    <row r="707" spans="1:5" x14ac:dyDescent="0.15">
      <c r="A707" s="102" t="s">
        <v>1565</v>
      </c>
      <c r="B707" s="102" t="s">
        <v>1104</v>
      </c>
      <c r="C707" s="102">
        <v>171694</v>
      </c>
      <c r="D707" s="102" t="s">
        <v>1565</v>
      </c>
      <c r="E707" s="102"/>
    </row>
    <row r="708" spans="1:5" x14ac:dyDescent="0.15">
      <c r="A708" s="102" t="s">
        <v>1566</v>
      </c>
      <c r="B708" s="102" t="s">
        <v>1104</v>
      </c>
      <c r="C708" s="102">
        <v>171692</v>
      </c>
      <c r="D708" s="102" t="s">
        <v>1566</v>
      </c>
      <c r="E708" s="102"/>
    </row>
    <row r="709" spans="1:5" x14ac:dyDescent="0.15">
      <c r="A709" s="102" t="s">
        <v>2316</v>
      </c>
      <c r="B709" s="102" t="s">
        <v>2317</v>
      </c>
      <c r="C709" s="102">
        <v>215013</v>
      </c>
      <c r="D709" s="102" t="s">
        <v>2316</v>
      </c>
      <c r="E709" s="102"/>
    </row>
    <row r="710" spans="1:5" x14ac:dyDescent="0.15">
      <c r="A710" s="102" t="s">
        <v>2318</v>
      </c>
      <c r="B710" s="102" t="s">
        <v>2319</v>
      </c>
      <c r="C710" s="102">
        <v>246977</v>
      </c>
      <c r="D710" s="102" t="s">
        <v>2318</v>
      </c>
      <c r="E710" s="102"/>
    </row>
    <row r="711" spans="1:5" x14ac:dyDescent="0.15">
      <c r="A711" s="102" t="s">
        <v>2320</v>
      </c>
      <c r="B711" s="102" t="s">
        <v>2321</v>
      </c>
      <c r="C711" s="102">
        <v>247297</v>
      </c>
      <c r="D711" s="102" t="s">
        <v>2320</v>
      </c>
      <c r="E711" s="102"/>
    </row>
    <row r="712" spans="1:5" x14ac:dyDescent="0.15">
      <c r="A712" s="102" t="s">
        <v>2322</v>
      </c>
      <c r="B712" s="102" t="s">
        <v>1825</v>
      </c>
      <c r="C712" s="102">
        <v>160588</v>
      </c>
      <c r="D712" s="102" t="s">
        <v>2322</v>
      </c>
      <c r="E712" s="102"/>
    </row>
    <row r="713" spans="1:5" x14ac:dyDescent="0.15">
      <c r="A713" s="102" t="s">
        <v>2323</v>
      </c>
      <c r="B713" s="102" t="s">
        <v>1823</v>
      </c>
      <c r="C713" s="102">
        <v>155751</v>
      </c>
      <c r="D713" s="102" t="s">
        <v>2323</v>
      </c>
      <c r="E713" s="102"/>
    </row>
    <row r="714" spans="1:5" x14ac:dyDescent="0.15">
      <c r="A714" s="102" t="s">
        <v>1567</v>
      </c>
      <c r="B714" s="102" t="s">
        <v>1104</v>
      </c>
      <c r="C714" s="102">
        <v>171691</v>
      </c>
      <c r="D714" s="102" t="s">
        <v>1567</v>
      </c>
      <c r="E714" s="102"/>
    </row>
    <row r="715" spans="1:5" x14ac:dyDescent="0.15">
      <c r="A715" s="102" t="s">
        <v>1568</v>
      </c>
      <c r="B715" s="102" t="s">
        <v>1104</v>
      </c>
      <c r="C715" s="102">
        <v>171690</v>
      </c>
      <c r="D715" s="102" t="s">
        <v>1568</v>
      </c>
      <c r="E715" s="102"/>
    </row>
    <row r="716" spans="1:5" x14ac:dyDescent="0.15">
      <c r="A716" s="102" t="s">
        <v>2324</v>
      </c>
      <c r="B716" s="102" t="s">
        <v>1928</v>
      </c>
      <c r="C716" s="102">
        <v>162870</v>
      </c>
      <c r="D716" s="102" t="s">
        <v>2324</v>
      </c>
      <c r="E716" s="102"/>
    </row>
    <row r="717" spans="1:5" x14ac:dyDescent="0.15">
      <c r="A717" s="102" t="s">
        <v>1569</v>
      </c>
      <c r="B717" s="102" t="s">
        <v>1104</v>
      </c>
      <c r="C717" s="102">
        <v>171602</v>
      </c>
      <c r="D717" s="102" t="s">
        <v>1569</v>
      </c>
      <c r="E717" s="102"/>
    </row>
    <row r="718" spans="1:5" x14ac:dyDescent="0.15">
      <c r="A718" s="102" t="s">
        <v>1570</v>
      </c>
      <c r="B718" s="102" t="s">
        <v>1104</v>
      </c>
      <c r="C718" s="102">
        <v>173043</v>
      </c>
      <c r="D718" s="102" t="s">
        <v>1571</v>
      </c>
      <c r="E718" s="102"/>
    </row>
    <row r="719" spans="1:5" x14ac:dyDescent="0.15">
      <c r="A719" s="102" t="s">
        <v>2325</v>
      </c>
      <c r="B719" s="102" t="s">
        <v>1825</v>
      </c>
      <c r="C719" s="102">
        <v>214149</v>
      </c>
      <c r="D719" s="102" t="s">
        <v>2325</v>
      </c>
      <c r="E719" s="102"/>
    </row>
    <row r="720" spans="1:5" x14ac:dyDescent="0.15">
      <c r="A720" s="102" t="s">
        <v>2326</v>
      </c>
      <c r="B720" s="102" t="s">
        <v>1825</v>
      </c>
      <c r="C720" s="102">
        <v>162861</v>
      </c>
      <c r="D720" s="102" t="s">
        <v>2327</v>
      </c>
      <c r="E720" s="102"/>
    </row>
    <row r="721" spans="1:5" x14ac:dyDescent="0.15">
      <c r="A721" s="102" t="s">
        <v>2328</v>
      </c>
      <c r="B721" s="102" t="s">
        <v>1825</v>
      </c>
      <c r="C721" s="102">
        <v>162862</v>
      </c>
      <c r="D721" s="102" t="s">
        <v>2328</v>
      </c>
      <c r="E721" s="102"/>
    </row>
    <row r="722" spans="1:5" x14ac:dyDescent="0.15">
      <c r="A722" s="102" t="s">
        <v>1572</v>
      </c>
      <c r="B722" s="102" t="s">
        <v>1104</v>
      </c>
      <c r="C722" s="102">
        <v>171689</v>
      </c>
      <c r="D722" s="102" t="s">
        <v>1573</v>
      </c>
      <c r="E722" s="102"/>
    </row>
    <row r="723" spans="1:5" x14ac:dyDescent="0.15">
      <c r="A723" s="102" t="s">
        <v>1574</v>
      </c>
      <c r="B723" s="102" t="s">
        <v>1104</v>
      </c>
      <c r="C723" s="102">
        <v>171688</v>
      </c>
      <c r="D723" s="102" t="s">
        <v>1574</v>
      </c>
      <c r="E723" s="102"/>
    </row>
    <row r="724" spans="1:5" x14ac:dyDescent="0.15">
      <c r="A724" s="102" t="s">
        <v>1575</v>
      </c>
      <c r="B724" s="102" t="s">
        <v>1104</v>
      </c>
      <c r="C724" s="102">
        <v>186182</v>
      </c>
      <c r="D724" s="102" t="s">
        <v>1575</v>
      </c>
      <c r="E724" s="102"/>
    </row>
    <row r="725" spans="1:5" x14ac:dyDescent="0.15">
      <c r="A725" s="102" t="s">
        <v>1576</v>
      </c>
      <c r="B725" s="102" t="s">
        <v>1104</v>
      </c>
      <c r="C725" s="102">
        <v>172296</v>
      </c>
      <c r="D725" s="102" t="s">
        <v>1576</v>
      </c>
      <c r="E725" s="102"/>
    </row>
    <row r="726" spans="1:5" x14ac:dyDescent="0.15">
      <c r="A726" s="102" t="s">
        <v>2329</v>
      </c>
      <c r="B726" s="102" t="s">
        <v>1823</v>
      </c>
      <c r="C726" s="102">
        <v>110658</v>
      </c>
      <c r="D726" s="102" t="s">
        <v>2329</v>
      </c>
      <c r="E726" s="102"/>
    </row>
    <row r="727" spans="1:5" x14ac:dyDescent="0.15">
      <c r="A727" s="102" t="s">
        <v>1577</v>
      </c>
      <c r="B727" s="102" t="s">
        <v>1104</v>
      </c>
      <c r="C727" s="102">
        <v>192072</v>
      </c>
      <c r="D727" s="102" t="s">
        <v>1577</v>
      </c>
      <c r="E727" s="102"/>
    </row>
    <row r="728" spans="1:5" x14ac:dyDescent="0.15">
      <c r="A728" s="102" t="s">
        <v>2330</v>
      </c>
      <c r="B728" s="102" t="s">
        <v>2331</v>
      </c>
      <c r="C728" s="102">
        <v>224058</v>
      </c>
      <c r="D728" s="102" t="s">
        <v>2330</v>
      </c>
      <c r="E728" s="102"/>
    </row>
    <row r="729" spans="1:5" x14ac:dyDescent="0.15">
      <c r="A729" s="102" t="s">
        <v>1578</v>
      </c>
      <c r="B729" s="102" t="s">
        <v>1104</v>
      </c>
      <c r="C729" s="102">
        <v>171686</v>
      </c>
      <c r="D729" s="102" t="s">
        <v>1578</v>
      </c>
      <c r="E729" s="102"/>
    </row>
    <row r="730" spans="1:5" x14ac:dyDescent="0.15">
      <c r="A730" s="102" t="s">
        <v>1579</v>
      </c>
      <c r="B730" s="102" t="s">
        <v>1104</v>
      </c>
      <c r="C730" s="102">
        <v>171685</v>
      </c>
      <c r="D730" s="102" t="s">
        <v>1579</v>
      </c>
      <c r="E730" s="102"/>
    </row>
    <row r="731" spans="1:5" x14ac:dyDescent="0.15">
      <c r="A731" s="102" t="s">
        <v>2332</v>
      </c>
      <c r="B731" s="102" t="s">
        <v>1928</v>
      </c>
      <c r="C731" s="102">
        <v>97927</v>
      </c>
      <c r="D731" s="102" t="s">
        <v>2332</v>
      </c>
      <c r="E731" s="102"/>
    </row>
    <row r="732" spans="1:5" x14ac:dyDescent="0.15">
      <c r="A732" s="102" t="s">
        <v>2333</v>
      </c>
      <c r="B732" s="102" t="s">
        <v>1928</v>
      </c>
      <c r="C732" s="102">
        <v>155701</v>
      </c>
      <c r="D732" s="102" t="s">
        <v>2333</v>
      </c>
      <c r="E732" s="102"/>
    </row>
    <row r="733" spans="1:5" x14ac:dyDescent="0.15">
      <c r="A733" s="102" t="s">
        <v>2334</v>
      </c>
      <c r="B733" s="102" t="s">
        <v>2110</v>
      </c>
      <c r="C733" s="102">
        <v>225762</v>
      </c>
      <c r="D733" s="102" t="s">
        <v>2334</v>
      </c>
      <c r="E733" s="102"/>
    </row>
    <row r="734" spans="1:5" x14ac:dyDescent="0.15">
      <c r="A734" s="102" t="s">
        <v>2335</v>
      </c>
      <c r="B734" s="102" t="s">
        <v>1825</v>
      </c>
      <c r="C734" s="102">
        <v>157873</v>
      </c>
      <c r="D734" s="102" t="s">
        <v>2335</v>
      </c>
      <c r="E734" s="102"/>
    </row>
    <row r="735" spans="1:5" x14ac:dyDescent="0.15">
      <c r="A735" s="102" t="s">
        <v>2336</v>
      </c>
      <c r="B735" s="102" t="s">
        <v>1823</v>
      </c>
      <c r="C735" s="102">
        <v>112153</v>
      </c>
      <c r="D735" s="102" t="s">
        <v>2336</v>
      </c>
      <c r="E735" s="102"/>
    </row>
    <row r="736" spans="1:5" x14ac:dyDescent="0.15">
      <c r="A736" s="102" t="s">
        <v>2337</v>
      </c>
      <c r="B736" s="102" t="s">
        <v>1825</v>
      </c>
      <c r="C736" s="102">
        <v>191299</v>
      </c>
      <c r="D736" s="102" t="s">
        <v>2337</v>
      </c>
      <c r="E736" s="102"/>
    </row>
    <row r="737" spans="1:5" x14ac:dyDescent="0.15">
      <c r="A737" s="102" t="s">
        <v>2338</v>
      </c>
      <c r="B737" s="102" t="s">
        <v>2339</v>
      </c>
      <c r="C737" s="102">
        <v>178927</v>
      </c>
      <c r="D737" s="102" t="s">
        <v>2338</v>
      </c>
      <c r="E737" s="102"/>
    </row>
    <row r="738" spans="1:5" x14ac:dyDescent="0.15">
      <c r="A738" s="102" t="s">
        <v>1580</v>
      </c>
      <c r="B738" s="102" t="s">
        <v>1104</v>
      </c>
      <c r="C738" s="102">
        <v>178657</v>
      </c>
      <c r="D738" s="102" t="s">
        <v>1581</v>
      </c>
      <c r="E738" s="102"/>
    </row>
    <row r="739" spans="1:5" x14ac:dyDescent="0.15">
      <c r="A739" s="102" t="s">
        <v>1582</v>
      </c>
      <c r="B739" s="102" t="s">
        <v>1104</v>
      </c>
      <c r="C739" s="102">
        <v>171683</v>
      </c>
      <c r="D739" s="102" t="s">
        <v>1583</v>
      </c>
      <c r="E739" s="102"/>
    </row>
    <row r="740" spans="1:5" x14ac:dyDescent="0.15">
      <c r="A740" s="102" t="s">
        <v>2340</v>
      </c>
      <c r="B740" s="102" t="s">
        <v>1825</v>
      </c>
      <c r="C740" s="102">
        <v>178583</v>
      </c>
      <c r="D740" s="102" t="s">
        <v>2340</v>
      </c>
      <c r="E740" s="102"/>
    </row>
    <row r="741" spans="1:5" x14ac:dyDescent="0.15">
      <c r="A741" s="102" t="s">
        <v>1584</v>
      </c>
      <c r="B741" s="102" t="s">
        <v>1104</v>
      </c>
      <c r="C741" s="102">
        <v>171681</v>
      </c>
      <c r="D741" s="102" t="s">
        <v>1585</v>
      </c>
      <c r="E741" s="102"/>
    </row>
    <row r="742" spans="1:5" x14ac:dyDescent="0.15">
      <c r="A742" s="102" t="s">
        <v>2341</v>
      </c>
      <c r="B742" s="102" t="s">
        <v>2342</v>
      </c>
      <c r="C742" s="102">
        <v>247286</v>
      </c>
      <c r="D742" s="102" t="s">
        <v>2341</v>
      </c>
      <c r="E742" s="102"/>
    </row>
    <row r="743" spans="1:5" x14ac:dyDescent="0.15">
      <c r="A743" s="102" t="s">
        <v>1586</v>
      </c>
      <c r="B743" s="102" t="s">
        <v>1104</v>
      </c>
      <c r="C743" s="102">
        <v>171680</v>
      </c>
      <c r="D743" s="102" t="s">
        <v>1586</v>
      </c>
      <c r="E743" s="102"/>
    </row>
    <row r="744" spans="1:5" x14ac:dyDescent="0.15">
      <c r="A744" s="102" t="s">
        <v>1587</v>
      </c>
      <c r="B744" s="102" t="s">
        <v>1104</v>
      </c>
      <c r="C744" s="102">
        <v>171508</v>
      </c>
      <c r="D744" s="102" t="s">
        <v>1587</v>
      </c>
      <c r="E744" s="102"/>
    </row>
    <row r="745" spans="1:5" x14ac:dyDescent="0.15">
      <c r="A745" s="102" t="s">
        <v>1588</v>
      </c>
      <c r="B745" s="102" t="s">
        <v>1104</v>
      </c>
      <c r="C745" s="102">
        <v>171507</v>
      </c>
      <c r="D745" s="102" t="s">
        <v>1589</v>
      </c>
      <c r="E745" s="102"/>
    </row>
    <row r="746" spans="1:5" x14ac:dyDescent="0.15">
      <c r="A746" s="102" t="s">
        <v>2343</v>
      </c>
      <c r="B746" s="102" t="s">
        <v>1823</v>
      </c>
      <c r="C746" s="102">
        <v>110479</v>
      </c>
      <c r="D746" s="102" t="s">
        <v>2343</v>
      </c>
      <c r="E746" s="102"/>
    </row>
    <row r="747" spans="1:5" x14ac:dyDescent="0.15">
      <c r="A747" s="102" t="s">
        <v>2344</v>
      </c>
      <c r="B747" s="102" t="s">
        <v>1823</v>
      </c>
      <c r="C747" s="102">
        <v>103262</v>
      </c>
      <c r="D747" s="102" t="s">
        <v>2344</v>
      </c>
      <c r="E747" s="102"/>
    </row>
    <row r="748" spans="1:5" x14ac:dyDescent="0.15">
      <c r="A748" s="102" t="s">
        <v>1590</v>
      </c>
      <c r="B748" s="102" t="s">
        <v>1104</v>
      </c>
      <c r="C748" s="102">
        <v>171506</v>
      </c>
      <c r="D748" s="102" t="s">
        <v>1590</v>
      </c>
      <c r="E748" s="102"/>
    </row>
    <row r="749" spans="1:5" x14ac:dyDescent="0.15">
      <c r="A749" s="102" t="s">
        <v>2345</v>
      </c>
      <c r="B749" s="102" t="s">
        <v>1823</v>
      </c>
      <c r="C749" s="102">
        <v>97922</v>
      </c>
      <c r="D749" s="102" t="s">
        <v>2345</v>
      </c>
      <c r="E749" s="102"/>
    </row>
    <row r="750" spans="1:5" x14ac:dyDescent="0.15">
      <c r="A750" s="102" t="s">
        <v>2345</v>
      </c>
      <c r="B750" s="102" t="s">
        <v>1825</v>
      </c>
      <c r="C750" s="102">
        <v>165388</v>
      </c>
      <c r="D750" s="102" t="s">
        <v>2345</v>
      </c>
      <c r="E750" s="102"/>
    </row>
    <row r="751" spans="1:5" x14ac:dyDescent="0.15">
      <c r="A751" s="102" t="s">
        <v>2346</v>
      </c>
      <c r="B751" s="102" t="s">
        <v>1825</v>
      </c>
      <c r="C751" s="102">
        <v>207445</v>
      </c>
      <c r="D751" s="102" t="s">
        <v>2346</v>
      </c>
      <c r="E751" s="102"/>
    </row>
    <row r="752" spans="1:5" x14ac:dyDescent="0.15">
      <c r="A752" s="102" t="s">
        <v>2347</v>
      </c>
      <c r="B752" s="102" t="s">
        <v>2348</v>
      </c>
      <c r="C752" s="102">
        <v>178155</v>
      </c>
      <c r="D752" s="102" t="s">
        <v>2347</v>
      </c>
      <c r="E752" s="102"/>
    </row>
    <row r="753" spans="1:5" x14ac:dyDescent="0.15">
      <c r="A753" s="102" t="s">
        <v>2349</v>
      </c>
      <c r="B753" s="102" t="s">
        <v>1823</v>
      </c>
      <c r="C753" s="102">
        <v>103150</v>
      </c>
      <c r="D753" s="102" t="s">
        <v>2349</v>
      </c>
      <c r="E753" s="102"/>
    </row>
    <row r="754" spans="1:5" x14ac:dyDescent="0.15">
      <c r="A754" s="102" t="s">
        <v>2350</v>
      </c>
      <c r="B754" s="102" t="s">
        <v>1825</v>
      </c>
      <c r="C754" s="102">
        <v>207456</v>
      </c>
      <c r="D754" s="102" t="s">
        <v>2350</v>
      </c>
      <c r="E754" s="102"/>
    </row>
    <row r="755" spans="1:5" x14ac:dyDescent="0.15">
      <c r="A755" s="102" t="s">
        <v>1591</v>
      </c>
      <c r="B755" s="102" t="s">
        <v>1104</v>
      </c>
      <c r="C755" s="102">
        <v>172651</v>
      </c>
      <c r="D755" s="102" t="s">
        <v>1592</v>
      </c>
      <c r="E755" s="102"/>
    </row>
    <row r="756" spans="1:5" x14ac:dyDescent="0.15">
      <c r="A756" s="102" t="s">
        <v>1593</v>
      </c>
      <c r="B756" s="102" t="s">
        <v>1104</v>
      </c>
      <c r="C756" s="102">
        <v>172656</v>
      </c>
      <c r="D756" s="102" t="s">
        <v>1593</v>
      </c>
      <c r="E756" s="102"/>
    </row>
    <row r="757" spans="1:5" x14ac:dyDescent="0.15">
      <c r="A757" s="102" t="s">
        <v>2351</v>
      </c>
      <c r="B757" s="102" t="s">
        <v>1825</v>
      </c>
      <c r="C757" s="102">
        <v>160571</v>
      </c>
      <c r="D757" s="102" t="s">
        <v>2351</v>
      </c>
      <c r="E757" s="102"/>
    </row>
    <row r="758" spans="1:5" x14ac:dyDescent="0.15">
      <c r="A758" s="102" t="s">
        <v>2352</v>
      </c>
      <c r="B758" s="102" t="s">
        <v>1823</v>
      </c>
      <c r="C758" s="102">
        <v>94533</v>
      </c>
      <c r="D758" s="102" t="s">
        <v>2352</v>
      </c>
      <c r="E758" s="102"/>
    </row>
    <row r="759" spans="1:5" x14ac:dyDescent="0.15">
      <c r="A759" s="102" t="s">
        <v>2353</v>
      </c>
      <c r="B759" s="102" t="s">
        <v>1825</v>
      </c>
      <c r="C759" s="102">
        <v>193869</v>
      </c>
      <c r="D759" s="102" t="s">
        <v>2353</v>
      </c>
      <c r="E759" s="102"/>
    </row>
    <row r="760" spans="1:5" x14ac:dyDescent="0.15">
      <c r="A760" s="102" t="s">
        <v>2354</v>
      </c>
      <c r="B760" s="102" t="s">
        <v>1825</v>
      </c>
      <c r="C760" s="102">
        <v>166297</v>
      </c>
      <c r="D760" s="102" t="s">
        <v>2354</v>
      </c>
      <c r="E760" s="102"/>
    </row>
    <row r="761" spans="1:5" x14ac:dyDescent="0.15">
      <c r="A761" s="102" t="s">
        <v>2355</v>
      </c>
      <c r="B761" s="102" t="s">
        <v>2356</v>
      </c>
      <c r="C761" s="102">
        <v>215424</v>
      </c>
      <c r="D761" s="102" t="s">
        <v>2355</v>
      </c>
      <c r="E761" s="102"/>
    </row>
    <row r="762" spans="1:5" x14ac:dyDescent="0.15">
      <c r="A762" s="102" t="s">
        <v>1594</v>
      </c>
      <c r="B762" s="102" t="s">
        <v>1595</v>
      </c>
      <c r="C762" s="102">
        <v>245866</v>
      </c>
      <c r="D762" s="102" t="s">
        <v>1594</v>
      </c>
      <c r="E762" s="102"/>
    </row>
    <row r="763" spans="1:5" x14ac:dyDescent="0.15">
      <c r="A763" s="102" t="s">
        <v>1596</v>
      </c>
      <c r="B763" s="102" t="s">
        <v>1928</v>
      </c>
      <c r="C763" s="102">
        <v>103147</v>
      </c>
      <c r="D763" s="102" t="s">
        <v>1596</v>
      </c>
      <c r="E763" s="102"/>
    </row>
    <row r="764" spans="1:5" x14ac:dyDescent="0.15">
      <c r="A764" s="102" t="s">
        <v>1596</v>
      </c>
      <c r="B764" s="102" t="s">
        <v>1597</v>
      </c>
      <c r="C764" s="102">
        <v>247295</v>
      </c>
      <c r="D764" s="102" t="s">
        <v>1596</v>
      </c>
      <c r="E764" s="102"/>
    </row>
    <row r="765" spans="1:5" x14ac:dyDescent="0.15">
      <c r="A765" s="102" t="s">
        <v>1598</v>
      </c>
      <c r="B765" s="102" t="s">
        <v>1104</v>
      </c>
      <c r="C765" s="102">
        <v>171505</v>
      </c>
      <c r="D765" s="102" t="s">
        <v>1599</v>
      </c>
      <c r="E765" s="102"/>
    </row>
    <row r="766" spans="1:5" x14ac:dyDescent="0.15">
      <c r="A766" s="102" t="s">
        <v>2357</v>
      </c>
      <c r="B766" s="102" t="s">
        <v>1825</v>
      </c>
      <c r="C766" s="102">
        <v>172953</v>
      </c>
      <c r="D766" s="102" t="s">
        <v>2357</v>
      </c>
      <c r="E766" s="102"/>
    </row>
    <row r="767" spans="1:5" x14ac:dyDescent="0.15">
      <c r="A767" s="102" t="s">
        <v>1600</v>
      </c>
      <c r="B767" s="102" t="s">
        <v>1104</v>
      </c>
      <c r="C767" s="102">
        <v>172680</v>
      </c>
      <c r="D767" s="102" t="s">
        <v>1601</v>
      </c>
      <c r="E767" s="102"/>
    </row>
    <row r="768" spans="1:5" x14ac:dyDescent="0.15">
      <c r="A768" s="102" t="s">
        <v>2358</v>
      </c>
      <c r="B768" s="102" t="s">
        <v>1823</v>
      </c>
      <c r="C768" s="102">
        <v>111983</v>
      </c>
      <c r="D768" s="102" t="s">
        <v>2359</v>
      </c>
      <c r="E768" s="102"/>
    </row>
    <row r="769" spans="1:5" x14ac:dyDescent="0.15">
      <c r="A769" s="102" t="s">
        <v>2360</v>
      </c>
      <c r="B769" s="102" t="s">
        <v>1857</v>
      </c>
      <c r="C769" s="102">
        <v>232352</v>
      </c>
      <c r="D769" s="102" t="s">
        <v>2360</v>
      </c>
      <c r="E769" s="102"/>
    </row>
    <row r="770" spans="1:5" x14ac:dyDescent="0.15">
      <c r="A770" s="102" t="s">
        <v>1602</v>
      </c>
      <c r="B770" s="102" t="s">
        <v>1603</v>
      </c>
      <c r="C770" s="102">
        <v>172792</v>
      </c>
      <c r="D770" s="102" t="s">
        <v>1602</v>
      </c>
      <c r="E770" s="102"/>
    </row>
    <row r="771" spans="1:5" x14ac:dyDescent="0.15">
      <c r="A771" s="102" t="s">
        <v>2361</v>
      </c>
      <c r="B771" s="102" t="s">
        <v>2362</v>
      </c>
      <c r="C771" s="102">
        <v>223331</v>
      </c>
      <c r="D771" s="102" t="s">
        <v>2361</v>
      </c>
      <c r="E771" s="102"/>
    </row>
    <row r="772" spans="1:5" x14ac:dyDescent="0.15">
      <c r="A772" s="102" t="s">
        <v>1604</v>
      </c>
      <c r="B772" s="102" t="s">
        <v>1104</v>
      </c>
      <c r="C772" s="102">
        <v>171504</v>
      </c>
      <c r="D772" s="102" t="s">
        <v>1604</v>
      </c>
      <c r="E772" s="102"/>
    </row>
    <row r="773" spans="1:5" x14ac:dyDescent="0.15">
      <c r="A773" s="102" t="s">
        <v>1605</v>
      </c>
      <c r="B773" s="102" t="s">
        <v>1104</v>
      </c>
      <c r="C773" s="102">
        <v>171501</v>
      </c>
      <c r="D773" s="102" t="s">
        <v>1605</v>
      </c>
      <c r="E773" s="102"/>
    </row>
    <row r="774" spans="1:5" x14ac:dyDescent="0.15">
      <c r="A774" s="102" t="s">
        <v>2363</v>
      </c>
      <c r="B774" s="102" t="s">
        <v>1825</v>
      </c>
      <c r="C774" s="102">
        <v>158234</v>
      </c>
      <c r="D774" s="102" t="s">
        <v>2363</v>
      </c>
      <c r="E774" s="102"/>
    </row>
    <row r="775" spans="1:5" x14ac:dyDescent="0.15">
      <c r="A775" s="102" t="s">
        <v>2364</v>
      </c>
      <c r="B775" s="102" t="s">
        <v>1825</v>
      </c>
      <c r="C775" s="102">
        <v>158196</v>
      </c>
      <c r="D775" s="102" t="s">
        <v>2364</v>
      </c>
      <c r="E775" s="102"/>
    </row>
    <row r="776" spans="1:5" x14ac:dyDescent="0.15">
      <c r="A776" s="102" t="s">
        <v>1606</v>
      </c>
      <c r="B776" s="102" t="s">
        <v>1607</v>
      </c>
      <c r="C776" s="102">
        <v>246279</v>
      </c>
      <c r="D776" s="102" t="s">
        <v>1606</v>
      </c>
      <c r="E776" s="102"/>
    </row>
    <row r="777" spans="1:5" x14ac:dyDescent="0.15">
      <c r="A777" s="102" t="s">
        <v>2365</v>
      </c>
      <c r="B777" s="102" t="s">
        <v>2366</v>
      </c>
      <c r="C777" s="102">
        <v>246401</v>
      </c>
      <c r="D777" s="102" t="s">
        <v>2365</v>
      </c>
      <c r="E777" s="102"/>
    </row>
    <row r="778" spans="1:5" x14ac:dyDescent="0.15">
      <c r="A778" s="102" t="s">
        <v>2367</v>
      </c>
      <c r="B778" s="102" t="s">
        <v>1825</v>
      </c>
      <c r="C778" s="102">
        <v>184491</v>
      </c>
      <c r="D778" s="102" t="s">
        <v>2367</v>
      </c>
      <c r="E778" s="102"/>
    </row>
    <row r="779" spans="1:5" x14ac:dyDescent="0.15">
      <c r="A779" s="102" t="s">
        <v>2368</v>
      </c>
      <c r="B779" s="102" t="s">
        <v>2369</v>
      </c>
      <c r="C779" s="102">
        <v>247312</v>
      </c>
      <c r="D779" s="102" t="s">
        <v>2368</v>
      </c>
      <c r="E779" s="102"/>
    </row>
    <row r="780" spans="1:5" x14ac:dyDescent="0.15">
      <c r="A780" s="102" t="s">
        <v>2370</v>
      </c>
      <c r="B780" s="102" t="s">
        <v>2371</v>
      </c>
      <c r="C780" s="102">
        <v>246946</v>
      </c>
      <c r="D780" s="102" t="s">
        <v>2370</v>
      </c>
      <c r="E780" s="102"/>
    </row>
    <row r="781" spans="1:5" x14ac:dyDescent="0.15">
      <c r="A781" s="102" t="s">
        <v>2372</v>
      </c>
      <c r="B781" s="102" t="s">
        <v>1825</v>
      </c>
      <c r="C781" s="102">
        <v>177615</v>
      </c>
      <c r="D781" s="102" t="s">
        <v>2372</v>
      </c>
      <c r="E781" s="102"/>
    </row>
    <row r="782" spans="1:5" x14ac:dyDescent="0.15">
      <c r="A782" s="102" t="s">
        <v>2373</v>
      </c>
      <c r="B782" s="102" t="s">
        <v>1825</v>
      </c>
      <c r="C782" s="102">
        <v>192372</v>
      </c>
      <c r="D782" s="102" t="s">
        <v>2373</v>
      </c>
      <c r="E782" s="102"/>
    </row>
    <row r="783" spans="1:5" x14ac:dyDescent="0.15">
      <c r="A783" s="102" t="s">
        <v>2374</v>
      </c>
      <c r="B783" s="102" t="s">
        <v>1825</v>
      </c>
      <c r="C783" s="102">
        <v>202451</v>
      </c>
      <c r="D783" s="102" t="s">
        <v>2375</v>
      </c>
      <c r="E783" s="102"/>
    </row>
    <row r="784" spans="1:5" x14ac:dyDescent="0.15">
      <c r="A784" s="102" t="s">
        <v>2376</v>
      </c>
      <c r="B784" s="102" t="s">
        <v>1928</v>
      </c>
      <c r="C784" s="102">
        <v>178928</v>
      </c>
      <c r="D784" s="102" t="s">
        <v>2376</v>
      </c>
      <c r="E784" s="102"/>
    </row>
    <row r="785" spans="1:5" x14ac:dyDescent="0.15">
      <c r="A785" s="102" t="s">
        <v>1608</v>
      </c>
      <c r="B785" s="102" t="s">
        <v>1107</v>
      </c>
      <c r="C785" s="102">
        <v>166535</v>
      </c>
      <c r="D785" s="102" t="s">
        <v>1608</v>
      </c>
      <c r="E785" s="102"/>
    </row>
    <row r="786" spans="1:5" x14ac:dyDescent="0.15">
      <c r="A786" s="102" t="s">
        <v>1609</v>
      </c>
      <c r="B786" s="102" t="s">
        <v>1122</v>
      </c>
      <c r="C786" s="102">
        <v>207042</v>
      </c>
      <c r="D786" s="102" t="s">
        <v>1609</v>
      </c>
      <c r="E786" s="102"/>
    </row>
    <row r="787" spans="1:5" x14ac:dyDescent="0.15">
      <c r="A787" s="102" t="s">
        <v>2377</v>
      </c>
      <c r="B787" s="102" t="s">
        <v>1825</v>
      </c>
      <c r="C787" s="102">
        <v>192282</v>
      </c>
      <c r="D787" s="102" t="s">
        <v>2377</v>
      </c>
      <c r="E787" s="102"/>
    </row>
    <row r="788" spans="1:5" x14ac:dyDescent="0.15">
      <c r="A788" s="102" t="s">
        <v>2378</v>
      </c>
      <c r="B788" s="102" t="s">
        <v>2379</v>
      </c>
      <c r="C788" s="102">
        <v>245784</v>
      </c>
      <c r="D788" s="102" t="s">
        <v>2378</v>
      </c>
      <c r="E788" s="102"/>
    </row>
    <row r="789" spans="1:5" x14ac:dyDescent="0.15">
      <c r="A789" s="102" t="s">
        <v>2380</v>
      </c>
      <c r="B789" s="102" t="s">
        <v>1825</v>
      </c>
      <c r="C789" s="102">
        <v>204487</v>
      </c>
      <c r="D789" s="102" t="s">
        <v>2380</v>
      </c>
      <c r="E789" s="102"/>
    </row>
    <row r="790" spans="1:5" x14ac:dyDescent="0.15">
      <c r="A790" s="102" t="s">
        <v>2381</v>
      </c>
      <c r="B790" s="102" t="s">
        <v>1825</v>
      </c>
      <c r="C790" s="102">
        <v>160585</v>
      </c>
      <c r="D790" s="102" t="s">
        <v>2381</v>
      </c>
      <c r="E790" s="102"/>
    </row>
    <row r="791" spans="1:5" x14ac:dyDescent="0.15">
      <c r="A791" s="102" t="s">
        <v>2382</v>
      </c>
      <c r="B791" s="102" t="s">
        <v>1825</v>
      </c>
      <c r="C791" s="102">
        <v>204958</v>
      </c>
      <c r="D791" s="102" t="s">
        <v>2382</v>
      </c>
      <c r="E791" s="102"/>
    </row>
    <row r="792" spans="1:5" x14ac:dyDescent="0.15">
      <c r="A792" s="102" t="s">
        <v>2383</v>
      </c>
      <c r="B792" s="102" t="s">
        <v>2384</v>
      </c>
      <c r="C792" s="102">
        <v>214495</v>
      </c>
      <c r="D792" s="102" t="s">
        <v>2383</v>
      </c>
      <c r="E792" s="102"/>
    </row>
    <row r="793" spans="1:5" x14ac:dyDescent="0.15">
      <c r="A793" s="102" t="s">
        <v>2385</v>
      </c>
      <c r="B793" s="102" t="s">
        <v>1823</v>
      </c>
      <c r="C793" s="102">
        <v>101079</v>
      </c>
      <c r="D793" s="102" t="s">
        <v>2385</v>
      </c>
      <c r="E793" s="102"/>
    </row>
    <row r="794" spans="1:5" x14ac:dyDescent="0.15">
      <c r="A794" s="102" t="s">
        <v>1610</v>
      </c>
      <c r="B794" s="102" t="s">
        <v>1107</v>
      </c>
      <c r="C794" s="102">
        <v>166671</v>
      </c>
      <c r="D794" s="102" t="s">
        <v>1610</v>
      </c>
      <c r="E794" s="102"/>
    </row>
    <row r="795" spans="1:5" x14ac:dyDescent="0.15">
      <c r="A795" s="102" t="s">
        <v>1611</v>
      </c>
      <c r="B795" s="102" t="s">
        <v>1104</v>
      </c>
      <c r="C795" s="102">
        <v>172686</v>
      </c>
      <c r="D795" s="102" t="s">
        <v>1611</v>
      </c>
      <c r="E795" s="102"/>
    </row>
    <row r="796" spans="1:5" x14ac:dyDescent="0.15">
      <c r="A796" s="102" t="s">
        <v>1612</v>
      </c>
      <c r="B796" s="102" t="s">
        <v>1104</v>
      </c>
      <c r="C796" s="102">
        <v>171500</v>
      </c>
      <c r="D796" s="102" t="s">
        <v>1612</v>
      </c>
      <c r="E796" s="102"/>
    </row>
    <row r="797" spans="1:5" x14ac:dyDescent="0.15">
      <c r="A797" s="102" t="s">
        <v>2386</v>
      </c>
      <c r="B797" s="102" t="s">
        <v>1825</v>
      </c>
      <c r="C797" s="102">
        <v>214156</v>
      </c>
      <c r="D797" s="102" t="s">
        <v>2386</v>
      </c>
      <c r="E797" s="102"/>
    </row>
    <row r="798" spans="1:5" x14ac:dyDescent="0.15">
      <c r="A798" s="102" t="s">
        <v>2387</v>
      </c>
      <c r="B798" s="102" t="s">
        <v>2388</v>
      </c>
      <c r="C798" s="102">
        <v>213832</v>
      </c>
      <c r="D798" s="102" t="s">
        <v>2387</v>
      </c>
      <c r="E798" s="102"/>
    </row>
    <row r="799" spans="1:5" x14ac:dyDescent="0.15">
      <c r="A799" s="102" t="s">
        <v>2389</v>
      </c>
      <c r="B799" s="102" t="s">
        <v>1823</v>
      </c>
      <c r="C799" s="102">
        <v>120134</v>
      </c>
      <c r="D799" s="102" t="s">
        <v>2390</v>
      </c>
      <c r="E799" s="102"/>
    </row>
    <row r="800" spans="1:5" x14ac:dyDescent="0.15">
      <c r="A800" s="102" t="s">
        <v>2391</v>
      </c>
      <c r="B800" s="102" t="s">
        <v>1825</v>
      </c>
      <c r="C800" s="102">
        <v>172749</v>
      </c>
      <c r="D800" s="102" t="s">
        <v>2391</v>
      </c>
      <c r="E800" s="102"/>
    </row>
    <row r="801" spans="1:5" x14ac:dyDescent="0.15">
      <c r="A801" s="102" t="s">
        <v>2392</v>
      </c>
      <c r="B801" s="102" t="s">
        <v>1823</v>
      </c>
      <c r="C801" s="102">
        <v>103185</v>
      </c>
      <c r="D801" s="102" t="s">
        <v>2392</v>
      </c>
      <c r="E801" s="102"/>
    </row>
    <row r="802" spans="1:5" x14ac:dyDescent="0.15">
      <c r="A802" s="102" t="s">
        <v>2393</v>
      </c>
      <c r="B802" s="102" t="s">
        <v>2394</v>
      </c>
      <c r="C802" s="102">
        <v>244639</v>
      </c>
      <c r="D802" s="102" t="s">
        <v>2393</v>
      </c>
      <c r="E802" s="102"/>
    </row>
    <row r="803" spans="1:5" x14ac:dyDescent="0.15">
      <c r="A803" s="102" t="s">
        <v>2395</v>
      </c>
      <c r="B803" s="102" t="s">
        <v>2396</v>
      </c>
      <c r="C803" s="102">
        <v>247302</v>
      </c>
      <c r="D803" s="102" t="s">
        <v>2395</v>
      </c>
      <c r="E803" s="102"/>
    </row>
    <row r="804" spans="1:5" x14ac:dyDescent="0.15">
      <c r="A804" s="102" t="s">
        <v>2397</v>
      </c>
      <c r="B804" s="102" t="s">
        <v>1823</v>
      </c>
      <c r="C804" s="102">
        <v>103002</v>
      </c>
      <c r="D804" s="102" t="s">
        <v>2397</v>
      </c>
      <c r="E804" s="102"/>
    </row>
    <row r="805" spans="1:5" x14ac:dyDescent="0.15">
      <c r="A805" s="102" t="s">
        <v>2398</v>
      </c>
      <c r="B805" s="102" t="s">
        <v>2399</v>
      </c>
      <c r="C805" s="102">
        <v>215026</v>
      </c>
      <c r="D805" s="102" t="s">
        <v>2398</v>
      </c>
      <c r="E805" s="102"/>
    </row>
    <row r="806" spans="1:5" x14ac:dyDescent="0.15">
      <c r="A806" s="102" t="s">
        <v>1613</v>
      </c>
      <c r="B806" s="102" t="s">
        <v>1614</v>
      </c>
      <c r="C806" s="102">
        <v>245863</v>
      </c>
      <c r="D806" s="102" t="s">
        <v>1613</v>
      </c>
      <c r="E806" s="102"/>
    </row>
    <row r="807" spans="1:5" x14ac:dyDescent="0.15">
      <c r="A807" s="102" t="s">
        <v>2400</v>
      </c>
      <c r="B807" s="102" t="s">
        <v>1928</v>
      </c>
      <c r="C807" s="102">
        <v>178578</v>
      </c>
      <c r="D807" s="102" t="s">
        <v>2400</v>
      </c>
      <c r="E807" s="102"/>
    </row>
    <row r="808" spans="1:5" x14ac:dyDescent="0.15">
      <c r="A808" s="102" t="s">
        <v>2401</v>
      </c>
      <c r="B808" s="102" t="s">
        <v>1461</v>
      </c>
      <c r="C808" s="102">
        <v>247309</v>
      </c>
      <c r="D808" s="102" t="s">
        <v>2401</v>
      </c>
      <c r="E808" s="102"/>
    </row>
    <row r="809" spans="1:5" x14ac:dyDescent="0.15">
      <c r="A809" s="102" t="s">
        <v>2402</v>
      </c>
      <c r="B809" s="102" t="s">
        <v>2403</v>
      </c>
      <c r="C809" s="102">
        <v>247307</v>
      </c>
      <c r="D809" s="102" t="s">
        <v>2402</v>
      </c>
      <c r="E809" s="102"/>
    </row>
    <row r="810" spans="1:5" x14ac:dyDescent="0.15">
      <c r="A810" s="102" t="s">
        <v>2404</v>
      </c>
      <c r="B810" s="102" t="s">
        <v>1823</v>
      </c>
      <c r="C810" s="102">
        <v>155959</v>
      </c>
      <c r="D810" s="102" t="s">
        <v>2404</v>
      </c>
      <c r="E810" s="102"/>
    </row>
    <row r="811" spans="1:5" x14ac:dyDescent="0.15">
      <c r="A811" s="102" t="s">
        <v>2405</v>
      </c>
      <c r="B811" s="102" t="s">
        <v>1823</v>
      </c>
      <c r="C811" s="102">
        <v>136170</v>
      </c>
      <c r="D811" s="102" t="s">
        <v>2405</v>
      </c>
      <c r="E811" s="102"/>
    </row>
    <row r="812" spans="1:5" x14ac:dyDescent="0.15">
      <c r="A812" s="102" t="s">
        <v>2406</v>
      </c>
      <c r="B812" s="102" t="s">
        <v>2407</v>
      </c>
      <c r="C812" s="102">
        <v>223602</v>
      </c>
      <c r="D812" s="102" t="s">
        <v>2406</v>
      </c>
      <c r="E812" s="102"/>
    </row>
    <row r="813" spans="1:5" x14ac:dyDescent="0.15">
      <c r="A813" s="102" t="s">
        <v>1615</v>
      </c>
      <c r="B813" s="102" t="s">
        <v>1104</v>
      </c>
      <c r="C813" s="102">
        <v>171499</v>
      </c>
      <c r="D813" s="102" t="s">
        <v>1615</v>
      </c>
      <c r="E813" s="102"/>
    </row>
    <row r="814" spans="1:5" x14ac:dyDescent="0.15">
      <c r="A814" s="102" t="s">
        <v>2408</v>
      </c>
      <c r="B814" s="102" t="s">
        <v>1823</v>
      </c>
      <c r="C814" s="102">
        <v>103149</v>
      </c>
      <c r="D814" s="102" t="s">
        <v>2408</v>
      </c>
      <c r="E814" s="102"/>
    </row>
    <row r="815" spans="1:5" x14ac:dyDescent="0.15">
      <c r="A815" s="102" t="s">
        <v>2409</v>
      </c>
      <c r="B815" s="102" t="s">
        <v>2410</v>
      </c>
      <c r="C815" s="102">
        <v>248371</v>
      </c>
      <c r="D815" s="102" t="s">
        <v>2409</v>
      </c>
      <c r="E815" s="102"/>
    </row>
    <row r="816" spans="1:5" x14ac:dyDescent="0.15">
      <c r="A816" s="102" t="s">
        <v>2411</v>
      </c>
      <c r="B816" s="102" t="s">
        <v>1825</v>
      </c>
      <c r="C816" s="102">
        <v>214148</v>
      </c>
      <c r="D816" s="102" t="s">
        <v>2411</v>
      </c>
      <c r="E816" s="102"/>
    </row>
    <row r="817" spans="1:5" x14ac:dyDescent="0.15">
      <c r="A817" s="102" t="s">
        <v>2412</v>
      </c>
      <c r="B817" s="102" t="s">
        <v>1825</v>
      </c>
      <c r="C817" s="102">
        <v>165637</v>
      </c>
      <c r="D817" s="102" t="s">
        <v>2412</v>
      </c>
      <c r="E817" s="102"/>
    </row>
    <row r="818" spans="1:5" x14ac:dyDescent="0.15">
      <c r="A818" s="102" t="s">
        <v>2412</v>
      </c>
      <c r="B818" s="102" t="s">
        <v>1825</v>
      </c>
      <c r="C818" s="102">
        <v>163045</v>
      </c>
      <c r="D818" s="102" t="s">
        <v>2413</v>
      </c>
      <c r="E818" s="102"/>
    </row>
    <row r="819" spans="1:5" x14ac:dyDescent="0.15">
      <c r="A819" s="102" t="s">
        <v>2414</v>
      </c>
      <c r="B819" s="102" t="s">
        <v>1823</v>
      </c>
      <c r="C819" s="102">
        <v>119896</v>
      </c>
      <c r="D819" s="102" t="s">
        <v>2415</v>
      </c>
      <c r="E819" s="102"/>
    </row>
    <row r="820" spans="1:5" x14ac:dyDescent="0.15">
      <c r="A820" s="102" t="s">
        <v>2416</v>
      </c>
      <c r="B820" s="102" t="s">
        <v>1825</v>
      </c>
      <c r="C820" s="102">
        <v>164721</v>
      </c>
      <c r="D820" s="102" t="s">
        <v>2416</v>
      </c>
      <c r="E820" s="102"/>
    </row>
    <row r="821" spans="1:5" x14ac:dyDescent="0.15">
      <c r="A821" s="102" t="s">
        <v>1616</v>
      </c>
      <c r="B821" s="102" t="s">
        <v>1104</v>
      </c>
      <c r="C821" s="102">
        <v>171498</v>
      </c>
      <c r="D821" s="102" t="s">
        <v>1616</v>
      </c>
      <c r="E821" s="102"/>
    </row>
    <row r="822" spans="1:5" x14ac:dyDescent="0.15">
      <c r="A822" s="102" t="s">
        <v>2417</v>
      </c>
      <c r="B822" s="102" t="s">
        <v>1823</v>
      </c>
      <c r="C822" s="102">
        <v>155700</v>
      </c>
      <c r="D822" s="102" t="s">
        <v>2417</v>
      </c>
      <c r="E822" s="102"/>
    </row>
    <row r="823" spans="1:5" x14ac:dyDescent="0.15">
      <c r="A823" s="102" t="s">
        <v>2418</v>
      </c>
      <c r="B823" s="102" t="s">
        <v>2419</v>
      </c>
      <c r="C823" s="102">
        <v>246803</v>
      </c>
      <c r="D823" s="102" t="s">
        <v>2418</v>
      </c>
      <c r="E823" s="102"/>
    </row>
    <row r="824" spans="1:5" x14ac:dyDescent="0.15">
      <c r="A824" s="102" t="s">
        <v>2420</v>
      </c>
      <c r="B824" s="102" t="s">
        <v>1959</v>
      </c>
      <c r="C824" s="102">
        <v>246926</v>
      </c>
      <c r="D824" s="102" t="s">
        <v>2420</v>
      </c>
      <c r="E824" s="102"/>
    </row>
    <row r="825" spans="1:5" x14ac:dyDescent="0.15">
      <c r="A825" s="102" t="s">
        <v>2421</v>
      </c>
      <c r="B825" s="102" t="s">
        <v>1825</v>
      </c>
      <c r="C825" s="102">
        <v>160568</v>
      </c>
      <c r="D825" s="102" t="s">
        <v>2421</v>
      </c>
      <c r="E825" s="102"/>
    </row>
    <row r="826" spans="1:5" x14ac:dyDescent="0.15">
      <c r="A826" s="102" t="s">
        <v>2422</v>
      </c>
      <c r="B826" s="102" t="s">
        <v>1825</v>
      </c>
      <c r="C826" s="102">
        <v>162435</v>
      </c>
      <c r="D826" s="102" t="s">
        <v>2422</v>
      </c>
      <c r="E826" s="102"/>
    </row>
    <row r="827" spans="1:5" x14ac:dyDescent="0.15">
      <c r="A827" s="102" t="s">
        <v>2423</v>
      </c>
      <c r="B827" s="102" t="s">
        <v>2424</v>
      </c>
      <c r="C827" s="102">
        <v>214717</v>
      </c>
      <c r="D827" s="102" t="s">
        <v>2423</v>
      </c>
      <c r="E827" s="102"/>
    </row>
    <row r="828" spans="1:5" x14ac:dyDescent="0.15">
      <c r="A828" s="102" t="s">
        <v>2425</v>
      </c>
      <c r="B828" s="102" t="s">
        <v>2426</v>
      </c>
      <c r="C828" s="102">
        <v>214749</v>
      </c>
      <c r="D828" s="102" t="s">
        <v>2425</v>
      </c>
      <c r="E828" s="102"/>
    </row>
    <row r="829" spans="1:5" x14ac:dyDescent="0.15">
      <c r="A829" s="102" t="s">
        <v>2425</v>
      </c>
      <c r="B829" s="102" t="s">
        <v>2427</v>
      </c>
      <c r="C829" s="102">
        <v>214750</v>
      </c>
      <c r="D829" s="102" t="s">
        <v>2425</v>
      </c>
      <c r="E829" s="102"/>
    </row>
    <row r="830" spans="1:5" x14ac:dyDescent="0.15">
      <c r="A830" s="102" t="s">
        <v>2428</v>
      </c>
      <c r="B830" s="102" t="s">
        <v>1825</v>
      </c>
      <c r="C830" s="102">
        <v>160595</v>
      </c>
      <c r="D830" s="102" t="s">
        <v>2428</v>
      </c>
      <c r="E830" s="102"/>
    </row>
    <row r="831" spans="1:5" x14ac:dyDescent="0.15">
      <c r="A831" s="102" t="s">
        <v>2429</v>
      </c>
      <c r="B831" s="102" t="s">
        <v>2430</v>
      </c>
      <c r="C831" s="102">
        <v>214740</v>
      </c>
      <c r="D831" s="102" t="s">
        <v>2429</v>
      </c>
      <c r="E831" s="102"/>
    </row>
    <row r="832" spans="1:5" x14ac:dyDescent="0.15">
      <c r="A832" s="102" t="s">
        <v>2431</v>
      </c>
      <c r="B832" s="102" t="s">
        <v>2432</v>
      </c>
      <c r="C832" s="102">
        <v>218624</v>
      </c>
      <c r="D832" s="102" t="s">
        <v>2431</v>
      </c>
      <c r="E832" s="102"/>
    </row>
    <row r="833" spans="1:5" x14ac:dyDescent="0.15">
      <c r="A833" s="102" t="s">
        <v>2433</v>
      </c>
      <c r="B833" s="102" t="s">
        <v>1841</v>
      </c>
      <c r="C833" s="102">
        <v>217291</v>
      </c>
      <c r="D833" s="102" t="s">
        <v>2433</v>
      </c>
      <c r="E833" s="102"/>
    </row>
    <row r="834" spans="1:5" x14ac:dyDescent="0.15">
      <c r="A834" s="102" t="s">
        <v>2434</v>
      </c>
      <c r="B834" s="102" t="s">
        <v>2435</v>
      </c>
      <c r="C834" s="102">
        <v>217493</v>
      </c>
      <c r="D834" s="102" t="s">
        <v>2434</v>
      </c>
      <c r="E834" s="102"/>
    </row>
    <row r="835" spans="1:5" x14ac:dyDescent="0.15">
      <c r="A835" s="102" t="s">
        <v>2436</v>
      </c>
      <c r="B835" s="102" t="s">
        <v>1825</v>
      </c>
      <c r="C835" s="102">
        <v>214154</v>
      </c>
      <c r="D835" s="102" t="s">
        <v>2436</v>
      </c>
      <c r="E835" s="102"/>
    </row>
    <row r="836" spans="1:5" x14ac:dyDescent="0.15">
      <c r="A836" s="102" t="s">
        <v>2437</v>
      </c>
      <c r="B836" s="102" t="s">
        <v>2438</v>
      </c>
      <c r="C836" s="102">
        <v>218166</v>
      </c>
      <c r="D836" s="102" t="s">
        <v>2437</v>
      </c>
      <c r="E836" s="102"/>
    </row>
    <row r="837" spans="1:5" x14ac:dyDescent="0.15">
      <c r="A837" s="102" t="s">
        <v>2439</v>
      </c>
      <c r="B837" s="102" t="s">
        <v>1825</v>
      </c>
      <c r="C837" s="102">
        <v>172255</v>
      </c>
      <c r="D837" s="102" t="s">
        <v>2439</v>
      </c>
      <c r="E837" s="102"/>
    </row>
    <row r="838" spans="1:5" x14ac:dyDescent="0.15">
      <c r="A838" s="102" t="s">
        <v>2440</v>
      </c>
      <c r="B838" s="102" t="s">
        <v>1825</v>
      </c>
      <c r="C838" s="102">
        <v>158042</v>
      </c>
      <c r="D838" s="102" t="s">
        <v>2440</v>
      </c>
      <c r="E838" s="102"/>
    </row>
    <row r="839" spans="1:5" x14ac:dyDescent="0.15">
      <c r="A839" s="102" t="s">
        <v>1617</v>
      </c>
      <c r="B839" s="102" t="s">
        <v>1104</v>
      </c>
      <c r="C839" s="102">
        <v>171497</v>
      </c>
      <c r="D839" s="102" t="s">
        <v>1617</v>
      </c>
      <c r="E839" s="102"/>
    </row>
    <row r="840" spans="1:5" x14ac:dyDescent="0.15">
      <c r="A840" s="102" t="s">
        <v>2441</v>
      </c>
      <c r="B840" s="102" t="s">
        <v>2442</v>
      </c>
      <c r="C840" s="102">
        <v>236723</v>
      </c>
      <c r="D840" s="102" t="s">
        <v>2441</v>
      </c>
      <c r="E840" s="102"/>
    </row>
    <row r="841" spans="1:5" x14ac:dyDescent="0.15">
      <c r="A841" s="102" t="s">
        <v>1618</v>
      </c>
      <c r="B841" s="102" t="s">
        <v>1122</v>
      </c>
      <c r="C841" s="102">
        <v>210155</v>
      </c>
      <c r="D841" s="102" t="s">
        <v>1618</v>
      </c>
      <c r="E841" s="102"/>
    </row>
    <row r="842" spans="1:5" x14ac:dyDescent="0.15">
      <c r="A842" s="102" t="s">
        <v>1619</v>
      </c>
      <c r="B842" s="102" t="s">
        <v>1104</v>
      </c>
      <c r="C842" s="102">
        <v>171490</v>
      </c>
      <c r="D842" s="102" t="s">
        <v>1619</v>
      </c>
      <c r="E842" s="102"/>
    </row>
    <row r="843" spans="1:5" x14ac:dyDescent="0.15">
      <c r="A843" s="102" t="s">
        <v>2443</v>
      </c>
      <c r="B843" s="102" t="s">
        <v>1928</v>
      </c>
      <c r="C843" s="102">
        <v>207270</v>
      </c>
      <c r="D843" s="102" t="s">
        <v>2443</v>
      </c>
      <c r="E843" s="102"/>
    </row>
    <row r="844" spans="1:5" x14ac:dyDescent="0.15">
      <c r="A844" s="102" t="s">
        <v>2444</v>
      </c>
      <c r="B844" s="102" t="s">
        <v>1825</v>
      </c>
      <c r="C844" s="102">
        <v>192376</v>
      </c>
      <c r="D844" s="102" t="s">
        <v>2444</v>
      </c>
      <c r="E844" s="102"/>
    </row>
    <row r="845" spans="1:5" x14ac:dyDescent="0.15">
      <c r="A845" s="102" t="s">
        <v>2445</v>
      </c>
      <c r="B845" s="102" t="s">
        <v>1823</v>
      </c>
      <c r="C845" s="102">
        <v>111941</v>
      </c>
      <c r="D845" s="102" t="s">
        <v>2445</v>
      </c>
      <c r="E845" s="102"/>
    </row>
    <row r="846" spans="1:5" x14ac:dyDescent="0.15">
      <c r="A846" s="102" t="s">
        <v>1620</v>
      </c>
      <c r="B846" s="102" t="s">
        <v>1104</v>
      </c>
      <c r="C846" s="102">
        <v>171489</v>
      </c>
      <c r="D846" s="102" t="s">
        <v>1621</v>
      </c>
      <c r="E846" s="102"/>
    </row>
    <row r="847" spans="1:5" x14ac:dyDescent="0.15">
      <c r="A847" s="102" t="s">
        <v>1622</v>
      </c>
      <c r="B847" s="102" t="s">
        <v>1104</v>
      </c>
      <c r="C847" s="102">
        <v>173039</v>
      </c>
      <c r="D847" s="102" t="s">
        <v>1622</v>
      </c>
      <c r="E847" s="102"/>
    </row>
    <row r="848" spans="1:5" x14ac:dyDescent="0.15">
      <c r="A848" s="102" t="s">
        <v>2446</v>
      </c>
      <c r="B848" s="102" t="s">
        <v>2447</v>
      </c>
      <c r="C848" s="102">
        <v>244637</v>
      </c>
      <c r="D848" s="102" t="s">
        <v>2446</v>
      </c>
      <c r="E848" s="102"/>
    </row>
    <row r="849" spans="1:5" x14ac:dyDescent="0.15">
      <c r="A849" s="102" t="s">
        <v>2448</v>
      </c>
      <c r="B849" s="102" t="s">
        <v>1825</v>
      </c>
      <c r="C849" s="102">
        <v>160590</v>
      </c>
      <c r="D849" s="102" t="s">
        <v>2448</v>
      </c>
      <c r="E849" s="102"/>
    </row>
    <row r="850" spans="1:5" x14ac:dyDescent="0.15">
      <c r="A850" s="102" t="s">
        <v>2449</v>
      </c>
      <c r="B850" s="102" t="s">
        <v>1823</v>
      </c>
      <c r="C850" s="102">
        <v>120020</v>
      </c>
      <c r="D850" s="102" t="s">
        <v>2450</v>
      </c>
      <c r="E850" s="102"/>
    </row>
    <row r="851" spans="1:5" x14ac:dyDescent="0.15">
      <c r="A851" s="102" t="s">
        <v>1623</v>
      </c>
      <c r="B851" s="102" t="s">
        <v>1104</v>
      </c>
      <c r="C851" s="102">
        <v>171488</v>
      </c>
      <c r="D851" s="102" t="s">
        <v>1623</v>
      </c>
      <c r="E851" s="102"/>
    </row>
    <row r="852" spans="1:5" x14ac:dyDescent="0.15">
      <c r="A852" s="102" t="s">
        <v>1624</v>
      </c>
      <c r="B852" s="102" t="s">
        <v>1107</v>
      </c>
      <c r="C852" s="102">
        <v>171486</v>
      </c>
      <c r="D852" s="102" t="s">
        <v>1624</v>
      </c>
      <c r="E852" s="102"/>
    </row>
    <row r="853" spans="1:5" x14ac:dyDescent="0.15">
      <c r="A853" s="102" t="s">
        <v>2451</v>
      </c>
      <c r="B853" s="102" t="s">
        <v>1825</v>
      </c>
      <c r="C853" s="102">
        <v>164812</v>
      </c>
      <c r="D853" s="102" t="s">
        <v>2451</v>
      </c>
      <c r="E853" s="102"/>
    </row>
    <row r="854" spans="1:5" x14ac:dyDescent="0.15">
      <c r="A854" s="102" t="s">
        <v>1625</v>
      </c>
      <c r="B854" s="102" t="s">
        <v>1107</v>
      </c>
      <c r="C854" s="102">
        <v>171485</v>
      </c>
      <c r="D854" s="102" t="s">
        <v>1625</v>
      </c>
      <c r="E854" s="102"/>
    </row>
    <row r="855" spans="1:5" x14ac:dyDescent="0.15">
      <c r="A855" s="102" t="s">
        <v>1625</v>
      </c>
      <c r="B855" s="102" t="s">
        <v>2452</v>
      </c>
      <c r="C855" s="102">
        <v>247808</v>
      </c>
      <c r="D855" s="102" t="s">
        <v>1625</v>
      </c>
      <c r="E855" s="102"/>
    </row>
    <row r="856" spans="1:5" x14ac:dyDescent="0.15">
      <c r="A856" s="102" t="s">
        <v>1626</v>
      </c>
      <c r="B856" s="102" t="s">
        <v>1122</v>
      </c>
      <c r="C856" s="102">
        <v>233236</v>
      </c>
      <c r="D856" s="102" t="s">
        <v>1626</v>
      </c>
      <c r="E856" s="102"/>
    </row>
    <row r="857" spans="1:5" x14ac:dyDescent="0.15">
      <c r="A857" s="102" t="s">
        <v>1627</v>
      </c>
      <c r="B857" s="102" t="s">
        <v>1122</v>
      </c>
      <c r="C857" s="102">
        <v>230105</v>
      </c>
      <c r="D857" s="102" t="s">
        <v>1627</v>
      </c>
      <c r="E857" s="102"/>
    </row>
    <row r="858" spans="1:5" x14ac:dyDescent="0.15">
      <c r="A858" s="102" t="s">
        <v>1628</v>
      </c>
      <c r="B858" s="102" t="s">
        <v>1122</v>
      </c>
      <c r="C858" s="102">
        <v>232085</v>
      </c>
      <c r="D858" s="102" t="s">
        <v>1628</v>
      </c>
      <c r="E858" s="102"/>
    </row>
    <row r="859" spans="1:5" x14ac:dyDescent="0.15">
      <c r="A859" s="102" t="s">
        <v>1629</v>
      </c>
      <c r="B859" s="102" t="s">
        <v>1107</v>
      </c>
      <c r="C859" s="102">
        <v>171483</v>
      </c>
      <c r="D859" s="102" t="s">
        <v>1629</v>
      </c>
      <c r="E859" s="102"/>
    </row>
    <row r="860" spans="1:5" x14ac:dyDescent="0.15">
      <c r="A860" s="102" t="s">
        <v>1630</v>
      </c>
      <c r="B860" s="102" t="s">
        <v>1107</v>
      </c>
      <c r="C860" s="102">
        <v>171484</v>
      </c>
      <c r="D860" s="102" t="s">
        <v>1630</v>
      </c>
      <c r="E860" s="102"/>
    </row>
    <row r="861" spans="1:5" x14ac:dyDescent="0.15">
      <c r="A861" s="102" t="s">
        <v>1631</v>
      </c>
      <c r="B861" s="102" t="s">
        <v>1107</v>
      </c>
      <c r="C861" s="102">
        <v>171482</v>
      </c>
      <c r="D861" s="102" t="s">
        <v>1631</v>
      </c>
      <c r="E861" s="102"/>
    </row>
    <row r="862" spans="1:5" x14ac:dyDescent="0.15">
      <c r="A862" s="102" t="s">
        <v>1632</v>
      </c>
      <c r="B862" s="102" t="s">
        <v>1107</v>
      </c>
      <c r="C862" s="102">
        <v>171481</v>
      </c>
      <c r="D862" s="102" t="s">
        <v>1632</v>
      </c>
      <c r="E862" s="102"/>
    </row>
    <row r="863" spans="1:5" x14ac:dyDescent="0.15">
      <c r="A863" s="102" t="s">
        <v>1633</v>
      </c>
      <c r="B863" s="102" t="s">
        <v>1107</v>
      </c>
      <c r="C863" s="102">
        <v>171480</v>
      </c>
      <c r="D863" s="102" t="s">
        <v>1633</v>
      </c>
      <c r="E863" s="102"/>
    </row>
    <row r="864" spans="1:5" x14ac:dyDescent="0.15">
      <c r="A864" s="102" t="s">
        <v>2453</v>
      </c>
      <c r="B864" s="102" t="s">
        <v>2181</v>
      </c>
      <c r="C864" s="102">
        <v>241090</v>
      </c>
      <c r="D864" s="102" t="s">
        <v>2453</v>
      </c>
      <c r="E864" s="102"/>
    </row>
    <row r="865" spans="1:5" x14ac:dyDescent="0.15">
      <c r="A865" s="102" t="s">
        <v>1634</v>
      </c>
      <c r="B865" s="102" t="s">
        <v>1122</v>
      </c>
      <c r="C865" s="102">
        <v>230009</v>
      </c>
      <c r="D865" s="102" t="s">
        <v>1634</v>
      </c>
      <c r="E865" s="102"/>
    </row>
    <row r="866" spans="1:5" x14ac:dyDescent="0.15">
      <c r="A866" s="102" t="s">
        <v>1635</v>
      </c>
      <c r="B866" s="102" t="s">
        <v>1104</v>
      </c>
      <c r="C866" s="102">
        <v>182236</v>
      </c>
      <c r="D866" s="102" t="s">
        <v>1635</v>
      </c>
      <c r="E866" s="102"/>
    </row>
    <row r="867" spans="1:5" x14ac:dyDescent="0.15">
      <c r="A867" s="102" t="s">
        <v>1636</v>
      </c>
      <c r="B867" s="102" t="s">
        <v>1107</v>
      </c>
      <c r="C867" s="102">
        <v>171479</v>
      </c>
      <c r="D867" s="102" t="s">
        <v>1636</v>
      </c>
      <c r="E867" s="102"/>
    </row>
    <row r="868" spans="1:5" x14ac:dyDescent="0.15">
      <c r="A868" s="102" t="s">
        <v>1637</v>
      </c>
      <c r="B868" s="102" t="s">
        <v>1107</v>
      </c>
      <c r="C868" s="102">
        <v>171478</v>
      </c>
      <c r="D868" s="102" t="s">
        <v>1637</v>
      </c>
      <c r="E868" s="102"/>
    </row>
    <row r="869" spans="1:5" x14ac:dyDescent="0.15">
      <c r="A869" s="102" t="s">
        <v>2454</v>
      </c>
      <c r="B869" s="102" t="s">
        <v>1823</v>
      </c>
      <c r="C869" s="102">
        <v>121067</v>
      </c>
      <c r="D869" s="102" t="s">
        <v>2455</v>
      </c>
      <c r="E869" s="102"/>
    </row>
    <row r="870" spans="1:5" x14ac:dyDescent="0.15">
      <c r="A870" s="102" t="s">
        <v>2456</v>
      </c>
      <c r="B870" s="102" t="s">
        <v>2457</v>
      </c>
      <c r="C870" s="102">
        <v>248316</v>
      </c>
      <c r="D870" s="102" t="s">
        <v>2456</v>
      </c>
      <c r="E870" s="102"/>
    </row>
    <row r="871" spans="1:5" x14ac:dyDescent="0.15">
      <c r="A871" s="102" t="s">
        <v>1638</v>
      </c>
      <c r="B871" s="102" t="s">
        <v>1107</v>
      </c>
      <c r="C871" s="102">
        <v>166525</v>
      </c>
      <c r="D871" s="102" t="s">
        <v>1638</v>
      </c>
      <c r="E871" s="102"/>
    </row>
    <row r="872" spans="1:5" x14ac:dyDescent="0.15">
      <c r="A872" s="102" t="s">
        <v>1639</v>
      </c>
      <c r="B872" s="102" t="s">
        <v>1104</v>
      </c>
      <c r="C872" s="102">
        <v>171491</v>
      </c>
      <c r="D872" s="102" t="s">
        <v>1639</v>
      </c>
      <c r="E872" s="102"/>
    </row>
    <row r="873" spans="1:5" x14ac:dyDescent="0.15">
      <c r="A873" s="102" t="s">
        <v>1640</v>
      </c>
      <c r="B873" s="102" t="s">
        <v>1107</v>
      </c>
      <c r="C873" s="102">
        <v>171477</v>
      </c>
      <c r="D873" s="102" t="s">
        <v>1640</v>
      </c>
      <c r="E873" s="102"/>
    </row>
    <row r="874" spans="1:5" x14ac:dyDescent="0.15">
      <c r="A874" s="102" t="s">
        <v>1641</v>
      </c>
      <c r="B874" s="102" t="s">
        <v>1107</v>
      </c>
      <c r="C874" s="102">
        <v>171476</v>
      </c>
      <c r="D874" s="102" t="s">
        <v>1642</v>
      </c>
      <c r="E874" s="102"/>
    </row>
    <row r="875" spans="1:5" x14ac:dyDescent="0.15">
      <c r="A875" s="102" t="s">
        <v>2458</v>
      </c>
      <c r="B875" s="102" t="s">
        <v>1823</v>
      </c>
      <c r="C875" s="102">
        <v>111931</v>
      </c>
      <c r="D875" s="102" t="s">
        <v>2458</v>
      </c>
      <c r="E875" s="102"/>
    </row>
    <row r="876" spans="1:5" x14ac:dyDescent="0.15">
      <c r="A876" s="102" t="s">
        <v>2459</v>
      </c>
      <c r="B876" s="102" t="s">
        <v>2460</v>
      </c>
      <c r="C876" s="102">
        <v>245786</v>
      </c>
      <c r="D876" s="102" t="s">
        <v>2459</v>
      </c>
      <c r="E876" s="102"/>
    </row>
    <row r="877" spans="1:5" x14ac:dyDescent="0.15">
      <c r="A877" s="102" t="s">
        <v>2461</v>
      </c>
      <c r="B877" s="102" t="s">
        <v>2462</v>
      </c>
      <c r="C877" s="102">
        <v>243859</v>
      </c>
      <c r="D877" s="102" t="s">
        <v>2461</v>
      </c>
      <c r="E877" s="102"/>
    </row>
    <row r="878" spans="1:5" x14ac:dyDescent="0.15">
      <c r="A878" s="102" t="s">
        <v>2463</v>
      </c>
      <c r="B878" s="102" t="s">
        <v>1825</v>
      </c>
      <c r="C878" s="102">
        <v>205121</v>
      </c>
      <c r="D878" s="102" t="s">
        <v>2463</v>
      </c>
      <c r="E878" s="102"/>
    </row>
    <row r="879" spans="1:5" x14ac:dyDescent="0.15">
      <c r="A879" s="102" t="s">
        <v>2464</v>
      </c>
      <c r="B879" s="102" t="s">
        <v>1823</v>
      </c>
      <c r="C879" s="102">
        <v>98696</v>
      </c>
      <c r="D879" s="102" t="s">
        <v>2464</v>
      </c>
      <c r="E879" s="102"/>
    </row>
    <row r="880" spans="1:5" x14ac:dyDescent="0.15">
      <c r="A880" s="102" t="s">
        <v>2465</v>
      </c>
      <c r="B880" s="102" t="s">
        <v>1825</v>
      </c>
      <c r="C880" s="102">
        <v>163049</v>
      </c>
      <c r="D880" s="102" t="s">
        <v>2465</v>
      </c>
      <c r="E880" s="102"/>
    </row>
    <row r="881" spans="1:5" x14ac:dyDescent="0.15">
      <c r="A881" s="102" t="s">
        <v>2465</v>
      </c>
      <c r="B881" s="102" t="s">
        <v>1825</v>
      </c>
      <c r="C881" s="102">
        <v>165641</v>
      </c>
      <c r="D881" s="102" t="s">
        <v>2465</v>
      </c>
      <c r="E881" s="102"/>
    </row>
    <row r="882" spans="1:5" x14ac:dyDescent="0.15">
      <c r="A882" s="102" t="s">
        <v>1643</v>
      </c>
      <c r="B882" s="102" t="s">
        <v>1107</v>
      </c>
      <c r="C882" s="102">
        <v>171473</v>
      </c>
      <c r="D882" s="102" t="s">
        <v>1643</v>
      </c>
      <c r="E882" s="102"/>
    </row>
    <row r="883" spans="1:5" x14ac:dyDescent="0.15">
      <c r="A883" s="102" t="s">
        <v>1644</v>
      </c>
      <c r="B883" s="102" t="s">
        <v>1107</v>
      </c>
      <c r="C883" s="102">
        <v>171472</v>
      </c>
      <c r="D883" s="102" t="s">
        <v>1644</v>
      </c>
      <c r="E883" s="102"/>
    </row>
    <row r="884" spans="1:5" x14ac:dyDescent="0.15">
      <c r="A884" s="102" t="s">
        <v>1645</v>
      </c>
      <c r="B884" s="102" t="s">
        <v>1104</v>
      </c>
      <c r="C884" s="102">
        <v>172662</v>
      </c>
      <c r="D884" s="102" t="s">
        <v>1645</v>
      </c>
      <c r="E884" s="102"/>
    </row>
    <row r="885" spans="1:5" x14ac:dyDescent="0.15">
      <c r="A885" s="102" t="s">
        <v>1646</v>
      </c>
      <c r="B885" s="102" t="s">
        <v>1107</v>
      </c>
      <c r="C885" s="102">
        <v>171471</v>
      </c>
      <c r="D885" s="102" t="s">
        <v>1646</v>
      </c>
      <c r="E885" s="102"/>
    </row>
    <row r="886" spans="1:5" x14ac:dyDescent="0.15">
      <c r="A886" s="102" t="s">
        <v>2466</v>
      </c>
      <c r="B886" s="102" t="s">
        <v>1825</v>
      </c>
      <c r="C886" s="102">
        <v>200082</v>
      </c>
      <c r="D886" s="102" t="s">
        <v>2466</v>
      </c>
      <c r="E886" s="102"/>
    </row>
    <row r="887" spans="1:5" x14ac:dyDescent="0.15">
      <c r="A887" s="102" t="s">
        <v>2467</v>
      </c>
      <c r="B887" s="102" t="s">
        <v>1825</v>
      </c>
      <c r="C887" s="102">
        <v>202455</v>
      </c>
      <c r="D887" s="102" t="s">
        <v>2467</v>
      </c>
      <c r="E887" s="102"/>
    </row>
    <row r="888" spans="1:5" x14ac:dyDescent="0.15">
      <c r="A888" s="102" t="s">
        <v>1647</v>
      </c>
      <c r="B888" s="102" t="s">
        <v>1104</v>
      </c>
      <c r="C888" s="102">
        <v>172784</v>
      </c>
      <c r="D888" s="102" t="s">
        <v>1647</v>
      </c>
      <c r="E888" s="102"/>
    </row>
    <row r="889" spans="1:5" x14ac:dyDescent="0.15">
      <c r="A889" s="102" t="s">
        <v>1648</v>
      </c>
      <c r="B889" s="102" t="s">
        <v>1107</v>
      </c>
      <c r="C889" s="102">
        <v>166682</v>
      </c>
      <c r="D889" s="102" t="s">
        <v>1649</v>
      </c>
      <c r="E889" s="102"/>
    </row>
    <row r="890" spans="1:5" x14ac:dyDescent="0.15">
      <c r="A890" s="102" t="s">
        <v>2468</v>
      </c>
      <c r="B890" s="102" t="s">
        <v>2469</v>
      </c>
      <c r="C890" s="102">
        <v>217764</v>
      </c>
      <c r="D890" s="102" t="s">
        <v>2468</v>
      </c>
      <c r="E890" s="102"/>
    </row>
    <row r="891" spans="1:5" x14ac:dyDescent="0.15">
      <c r="A891" s="102" t="s">
        <v>1650</v>
      </c>
      <c r="B891" s="102" t="s">
        <v>1107</v>
      </c>
      <c r="C891" s="102">
        <v>166680</v>
      </c>
      <c r="D891" s="102" t="s">
        <v>1650</v>
      </c>
      <c r="E891" s="102"/>
    </row>
    <row r="892" spans="1:5" x14ac:dyDescent="0.15">
      <c r="A892" s="102" t="s">
        <v>1651</v>
      </c>
      <c r="B892" s="102" t="s">
        <v>1652</v>
      </c>
      <c r="C892" s="102">
        <v>247615</v>
      </c>
      <c r="D892" s="102" t="s">
        <v>1651</v>
      </c>
      <c r="E892" s="102"/>
    </row>
    <row r="893" spans="1:5" x14ac:dyDescent="0.15">
      <c r="A893" s="102" t="s">
        <v>1653</v>
      </c>
      <c r="B893" s="102" t="s">
        <v>1107</v>
      </c>
      <c r="C893" s="102">
        <v>166681</v>
      </c>
      <c r="D893" s="102" t="s">
        <v>1653</v>
      </c>
      <c r="E893" s="102"/>
    </row>
    <row r="894" spans="1:5" x14ac:dyDescent="0.15">
      <c r="A894" s="102" t="s">
        <v>1654</v>
      </c>
      <c r="B894" s="102" t="s">
        <v>1107</v>
      </c>
      <c r="C894" s="102">
        <v>166626</v>
      </c>
      <c r="D894" s="102" t="s">
        <v>1654</v>
      </c>
      <c r="E894" s="102"/>
    </row>
    <row r="895" spans="1:5" x14ac:dyDescent="0.15">
      <c r="A895" s="102" t="s">
        <v>1655</v>
      </c>
      <c r="B895" s="102" t="s">
        <v>1107</v>
      </c>
      <c r="C895" s="102">
        <v>166679</v>
      </c>
      <c r="D895" s="102" t="s">
        <v>1655</v>
      </c>
      <c r="E895" s="102"/>
    </row>
    <row r="896" spans="1:5" x14ac:dyDescent="0.15">
      <c r="A896" s="102" t="s">
        <v>1656</v>
      </c>
      <c r="B896" s="102" t="s">
        <v>1107</v>
      </c>
      <c r="C896" s="102">
        <v>166684</v>
      </c>
      <c r="D896" s="102" t="s">
        <v>1657</v>
      </c>
      <c r="E896" s="102"/>
    </row>
    <row r="897" spans="1:5" x14ac:dyDescent="0.15">
      <c r="A897" s="102" t="s">
        <v>2470</v>
      </c>
      <c r="B897" s="102" t="s">
        <v>2471</v>
      </c>
      <c r="C897" s="102">
        <v>228622</v>
      </c>
      <c r="D897" s="102" t="s">
        <v>2470</v>
      </c>
      <c r="E897" s="102"/>
    </row>
    <row r="898" spans="1:5" x14ac:dyDescent="0.15">
      <c r="A898" s="102" t="s">
        <v>2472</v>
      </c>
      <c r="B898" s="102" t="s">
        <v>2234</v>
      </c>
      <c r="C898" s="102">
        <v>247749</v>
      </c>
      <c r="D898" s="102" t="s">
        <v>2472</v>
      </c>
      <c r="E898" s="102"/>
    </row>
    <row r="899" spans="1:5" x14ac:dyDescent="0.15">
      <c r="A899" s="102" t="s">
        <v>1658</v>
      </c>
      <c r="B899" s="102" t="s">
        <v>1107</v>
      </c>
      <c r="C899" s="102">
        <v>166678</v>
      </c>
      <c r="D899" s="102" t="s">
        <v>1658</v>
      </c>
      <c r="E899" s="102"/>
    </row>
    <row r="900" spans="1:5" x14ac:dyDescent="0.15">
      <c r="A900" s="102" t="s">
        <v>1659</v>
      </c>
      <c r="B900" s="102" t="s">
        <v>1122</v>
      </c>
      <c r="C900" s="102">
        <v>206444</v>
      </c>
      <c r="D900" s="102" t="s">
        <v>1659</v>
      </c>
      <c r="E900" s="102"/>
    </row>
    <row r="901" spans="1:5" x14ac:dyDescent="0.15">
      <c r="A901" s="102" t="s">
        <v>1660</v>
      </c>
      <c r="B901" s="102" t="s">
        <v>1661</v>
      </c>
      <c r="C901" s="102">
        <v>244037</v>
      </c>
      <c r="D901" s="102" t="s">
        <v>1660</v>
      </c>
      <c r="E901" s="102"/>
    </row>
    <row r="902" spans="1:5" x14ac:dyDescent="0.15">
      <c r="A902" s="102" t="s">
        <v>2473</v>
      </c>
      <c r="B902" s="102" t="s">
        <v>1823</v>
      </c>
      <c r="C902" s="102">
        <v>155958</v>
      </c>
      <c r="D902" s="102" t="s">
        <v>2473</v>
      </c>
      <c r="E902" s="102"/>
    </row>
    <row r="903" spans="1:5" x14ac:dyDescent="0.15">
      <c r="A903" s="102" t="s">
        <v>1662</v>
      </c>
      <c r="B903" s="102" t="s">
        <v>1107</v>
      </c>
      <c r="C903" s="102">
        <v>166677</v>
      </c>
      <c r="D903" s="102" t="s">
        <v>1662</v>
      </c>
      <c r="E903" s="102"/>
    </row>
    <row r="904" spans="1:5" x14ac:dyDescent="0.15">
      <c r="A904" s="102" t="s">
        <v>2474</v>
      </c>
      <c r="B904" s="102" t="s">
        <v>1825</v>
      </c>
      <c r="C904" s="102">
        <v>178214</v>
      </c>
      <c r="D904" s="102" t="s">
        <v>2474</v>
      </c>
      <c r="E904" s="102"/>
    </row>
    <row r="905" spans="1:5" x14ac:dyDescent="0.15">
      <c r="A905" s="102" t="s">
        <v>1663</v>
      </c>
      <c r="B905" s="102" t="s">
        <v>1104</v>
      </c>
      <c r="C905" s="102">
        <v>172606</v>
      </c>
      <c r="D905" s="102" t="s">
        <v>1663</v>
      </c>
      <c r="E905" s="102"/>
    </row>
    <row r="906" spans="1:5" x14ac:dyDescent="0.15">
      <c r="A906" s="102" t="s">
        <v>2475</v>
      </c>
      <c r="B906" s="102" t="s">
        <v>1823</v>
      </c>
      <c r="C906" s="102">
        <v>119978</v>
      </c>
      <c r="D906" s="102" t="s">
        <v>2475</v>
      </c>
      <c r="E906" s="102"/>
    </row>
    <row r="907" spans="1:5" x14ac:dyDescent="0.15">
      <c r="A907" s="102" t="s">
        <v>2476</v>
      </c>
      <c r="B907" s="102" t="s">
        <v>1825</v>
      </c>
      <c r="C907" s="102">
        <v>163052</v>
      </c>
      <c r="D907" s="102" t="s">
        <v>2476</v>
      </c>
      <c r="E907" s="102"/>
    </row>
    <row r="908" spans="1:5" x14ac:dyDescent="0.15">
      <c r="A908" s="102" t="s">
        <v>2477</v>
      </c>
      <c r="B908" s="102" t="s">
        <v>2282</v>
      </c>
      <c r="C908" s="102">
        <v>215014</v>
      </c>
      <c r="D908" s="102" t="s">
        <v>2477</v>
      </c>
      <c r="E908" s="102"/>
    </row>
    <row r="909" spans="1:5" x14ac:dyDescent="0.15">
      <c r="A909" s="102" t="s">
        <v>2478</v>
      </c>
      <c r="B909" s="102" t="s">
        <v>1823</v>
      </c>
      <c r="C909" s="102">
        <v>110277</v>
      </c>
      <c r="D909" s="102" t="s">
        <v>2478</v>
      </c>
      <c r="E909" s="102"/>
    </row>
    <row r="910" spans="1:5" x14ac:dyDescent="0.15">
      <c r="A910" s="102" t="s">
        <v>2479</v>
      </c>
      <c r="B910" s="102" t="s">
        <v>1823</v>
      </c>
      <c r="C910" s="102">
        <v>111923</v>
      </c>
      <c r="D910" s="102" t="s">
        <v>2479</v>
      </c>
      <c r="E910" s="102"/>
    </row>
    <row r="911" spans="1:5" x14ac:dyDescent="0.15">
      <c r="A911" s="102" t="s">
        <v>1664</v>
      </c>
      <c r="B911" s="102" t="s">
        <v>1665</v>
      </c>
      <c r="C911" s="102">
        <v>247285</v>
      </c>
      <c r="D911" s="102" t="s">
        <v>1664</v>
      </c>
      <c r="E911" s="102"/>
    </row>
    <row r="912" spans="1:5" x14ac:dyDescent="0.15">
      <c r="A912" s="102" t="s">
        <v>2480</v>
      </c>
      <c r="B912" s="102" t="s">
        <v>2481</v>
      </c>
      <c r="C912" s="102">
        <v>225770</v>
      </c>
      <c r="D912" s="102" t="s">
        <v>2480</v>
      </c>
      <c r="E912" s="102"/>
    </row>
    <row r="913" spans="1:5" x14ac:dyDescent="0.15">
      <c r="A913" s="102" t="s">
        <v>1666</v>
      </c>
      <c r="B913" s="102" t="s">
        <v>1104</v>
      </c>
      <c r="C913" s="102">
        <v>193622</v>
      </c>
      <c r="D913" s="102" t="s">
        <v>1666</v>
      </c>
      <c r="E913" s="102"/>
    </row>
    <row r="914" spans="1:5" x14ac:dyDescent="0.15">
      <c r="A914" s="102" t="s">
        <v>1667</v>
      </c>
      <c r="B914" s="102" t="s">
        <v>1107</v>
      </c>
      <c r="C914" s="102">
        <v>166683</v>
      </c>
      <c r="D914" s="102" t="s">
        <v>1667</v>
      </c>
      <c r="E914" s="102"/>
    </row>
    <row r="915" spans="1:5" x14ac:dyDescent="0.15">
      <c r="A915" s="102" t="s">
        <v>2482</v>
      </c>
      <c r="B915" s="102" t="s">
        <v>1825</v>
      </c>
      <c r="C915" s="102">
        <v>205123</v>
      </c>
      <c r="D915" s="102" t="s">
        <v>2482</v>
      </c>
      <c r="E915" s="102"/>
    </row>
    <row r="916" spans="1:5" x14ac:dyDescent="0.15">
      <c r="A916" s="102" t="s">
        <v>1668</v>
      </c>
      <c r="B916" s="102" t="s">
        <v>1122</v>
      </c>
      <c r="C916" s="102">
        <v>204162</v>
      </c>
      <c r="D916" s="102" t="s">
        <v>1668</v>
      </c>
      <c r="E916" s="102"/>
    </row>
    <row r="917" spans="1:5" x14ac:dyDescent="0.15">
      <c r="A917" s="102" t="s">
        <v>1669</v>
      </c>
      <c r="B917" s="102" t="s">
        <v>1670</v>
      </c>
      <c r="C917" s="102">
        <v>245864</v>
      </c>
      <c r="D917" s="102" t="s">
        <v>1669</v>
      </c>
      <c r="E917" s="102"/>
    </row>
    <row r="918" spans="1:5" x14ac:dyDescent="0.15">
      <c r="A918" s="102" t="s">
        <v>2483</v>
      </c>
      <c r="B918" s="102" t="s">
        <v>1823</v>
      </c>
      <c r="C918" s="102">
        <v>110885</v>
      </c>
      <c r="D918" s="102" t="s">
        <v>2483</v>
      </c>
      <c r="E918" s="102"/>
    </row>
    <row r="919" spans="1:5" x14ac:dyDescent="0.15">
      <c r="A919" s="102" t="s">
        <v>2484</v>
      </c>
      <c r="B919" s="102" t="s">
        <v>2485</v>
      </c>
      <c r="C919" s="102">
        <v>216997</v>
      </c>
      <c r="D919" s="102" t="s">
        <v>2484</v>
      </c>
      <c r="E919" s="102"/>
    </row>
    <row r="920" spans="1:5" x14ac:dyDescent="0.15">
      <c r="A920" s="102" t="s">
        <v>1671</v>
      </c>
      <c r="B920" s="102" t="s">
        <v>1107</v>
      </c>
      <c r="C920" s="102">
        <v>166676</v>
      </c>
      <c r="D920" s="102" t="s">
        <v>1672</v>
      </c>
      <c r="E920" s="102"/>
    </row>
    <row r="921" spans="1:5" x14ac:dyDescent="0.15">
      <c r="A921" s="102" t="s">
        <v>2486</v>
      </c>
      <c r="B921" s="102" t="s">
        <v>2487</v>
      </c>
      <c r="C921" s="102">
        <v>215021</v>
      </c>
      <c r="D921" s="102" t="s">
        <v>2486</v>
      </c>
      <c r="E921" s="102"/>
    </row>
    <row r="922" spans="1:5" x14ac:dyDescent="0.15">
      <c r="A922" s="102" t="s">
        <v>2488</v>
      </c>
      <c r="B922" s="102" t="s">
        <v>2489</v>
      </c>
      <c r="C922" s="102">
        <v>247750</v>
      </c>
      <c r="D922" s="102" t="s">
        <v>2488</v>
      </c>
      <c r="E922" s="102"/>
    </row>
    <row r="923" spans="1:5" x14ac:dyDescent="0.15">
      <c r="A923" s="102" t="s">
        <v>2490</v>
      </c>
      <c r="B923" s="102" t="s">
        <v>2491</v>
      </c>
      <c r="C923" s="102">
        <v>242772</v>
      </c>
      <c r="D923" s="102" t="s">
        <v>2490</v>
      </c>
      <c r="E923" s="102"/>
    </row>
    <row r="924" spans="1:5" x14ac:dyDescent="0.15">
      <c r="A924" s="102" t="s">
        <v>2492</v>
      </c>
      <c r="B924" s="102" t="s">
        <v>2493</v>
      </c>
      <c r="C924" s="102">
        <v>230104</v>
      </c>
      <c r="D924" s="102" t="s">
        <v>2492</v>
      </c>
      <c r="E924" s="102"/>
    </row>
    <row r="925" spans="1:5" x14ac:dyDescent="0.15">
      <c r="A925" s="102" t="s">
        <v>2494</v>
      </c>
      <c r="B925" s="102" t="s">
        <v>2495</v>
      </c>
      <c r="C925" s="102">
        <v>215425</v>
      </c>
      <c r="D925" s="102" t="s">
        <v>2494</v>
      </c>
      <c r="E925" s="102"/>
    </row>
    <row r="926" spans="1:5" x14ac:dyDescent="0.15">
      <c r="A926" s="102" t="s">
        <v>2496</v>
      </c>
      <c r="B926" s="102" t="s">
        <v>1825</v>
      </c>
      <c r="C926" s="102">
        <v>177641</v>
      </c>
      <c r="D926" s="102" t="s">
        <v>2496</v>
      </c>
      <c r="E926" s="102"/>
    </row>
    <row r="927" spans="1:5" x14ac:dyDescent="0.15">
      <c r="A927" s="102" t="s">
        <v>1673</v>
      </c>
      <c r="B927" s="102" t="s">
        <v>1107</v>
      </c>
      <c r="C927" s="102">
        <v>166675</v>
      </c>
      <c r="D927" s="102" t="s">
        <v>1673</v>
      </c>
      <c r="E927" s="102"/>
    </row>
    <row r="928" spans="1:5" x14ac:dyDescent="0.15">
      <c r="A928" s="102" t="s">
        <v>2497</v>
      </c>
      <c r="B928" s="102" t="s">
        <v>1825</v>
      </c>
      <c r="C928" s="102">
        <v>158048</v>
      </c>
      <c r="D928" s="102" t="s">
        <v>2497</v>
      </c>
      <c r="E928" s="102"/>
    </row>
    <row r="929" spans="1:5" x14ac:dyDescent="0.15">
      <c r="A929" s="102" t="s">
        <v>2498</v>
      </c>
      <c r="B929" s="102" t="s">
        <v>1825</v>
      </c>
      <c r="C929" s="102">
        <v>163150</v>
      </c>
      <c r="D929" s="102" t="s">
        <v>2498</v>
      </c>
      <c r="E929" s="102"/>
    </row>
    <row r="930" spans="1:5" x14ac:dyDescent="0.15">
      <c r="A930" s="102" t="s">
        <v>2498</v>
      </c>
      <c r="B930" s="102" t="s">
        <v>1825</v>
      </c>
      <c r="C930" s="102">
        <v>172632</v>
      </c>
      <c r="D930" s="102" t="s">
        <v>2498</v>
      </c>
      <c r="E930" s="102"/>
    </row>
    <row r="931" spans="1:5" x14ac:dyDescent="0.15">
      <c r="A931" s="102" t="s">
        <v>2499</v>
      </c>
      <c r="B931" s="102" t="s">
        <v>1825</v>
      </c>
      <c r="C931" s="102">
        <v>165639</v>
      </c>
      <c r="D931" s="102" t="s">
        <v>2499</v>
      </c>
      <c r="E931" s="102"/>
    </row>
    <row r="932" spans="1:5" x14ac:dyDescent="0.15">
      <c r="A932" s="102" t="s">
        <v>1674</v>
      </c>
      <c r="B932" s="102" t="s">
        <v>1104</v>
      </c>
      <c r="C932" s="102">
        <v>172675</v>
      </c>
      <c r="D932" s="102" t="s">
        <v>1674</v>
      </c>
      <c r="E932" s="102"/>
    </row>
    <row r="933" spans="1:5" x14ac:dyDescent="0.15">
      <c r="A933" s="102" t="s">
        <v>2500</v>
      </c>
      <c r="B933" s="102" t="s">
        <v>1825</v>
      </c>
      <c r="C933" s="102">
        <v>205918</v>
      </c>
      <c r="D933" s="102" t="s">
        <v>2500</v>
      </c>
      <c r="E933" s="102"/>
    </row>
    <row r="934" spans="1:5" x14ac:dyDescent="0.15">
      <c r="A934" s="102" t="s">
        <v>2501</v>
      </c>
      <c r="B934" s="102" t="s">
        <v>1825</v>
      </c>
      <c r="C934" s="102">
        <v>214139</v>
      </c>
      <c r="D934" s="102" t="s">
        <v>2501</v>
      </c>
      <c r="E934" s="102"/>
    </row>
    <row r="935" spans="1:5" x14ac:dyDescent="0.15">
      <c r="A935" s="102" t="s">
        <v>1675</v>
      </c>
      <c r="B935" s="102" t="s">
        <v>1107</v>
      </c>
      <c r="C935" s="102">
        <v>166674</v>
      </c>
      <c r="D935" s="102" t="s">
        <v>1675</v>
      </c>
      <c r="E935" s="102"/>
    </row>
    <row r="936" spans="1:5" x14ac:dyDescent="0.15">
      <c r="A936" s="102" t="s">
        <v>1676</v>
      </c>
      <c r="B936" s="102" t="s">
        <v>1122</v>
      </c>
      <c r="C936" s="102">
        <v>219471</v>
      </c>
      <c r="D936" s="102" t="s">
        <v>1676</v>
      </c>
      <c r="E936" s="102"/>
    </row>
    <row r="937" spans="1:5" x14ac:dyDescent="0.15">
      <c r="A937" s="102" t="s">
        <v>2502</v>
      </c>
      <c r="B937" s="102" t="s">
        <v>1825</v>
      </c>
      <c r="C937" s="102">
        <v>182979</v>
      </c>
      <c r="D937" s="102" t="s">
        <v>2502</v>
      </c>
      <c r="E937" s="102"/>
    </row>
    <row r="938" spans="1:5" x14ac:dyDescent="0.15">
      <c r="A938" s="102" t="s">
        <v>2503</v>
      </c>
      <c r="B938" s="102" t="s">
        <v>1825</v>
      </c>
      <c r="C938" s="102">
        <v>164717</v>
      </c>
      <c r="D938" s="102" t="s">
        <v>2503</v>
      </c>
      <c r="E938" s="102"/>
    </row>
    <row r="939" spans="1:5" x14ac:dyDescent="0.15">
      <c r="A939" s="102" t="s">
        <v>2504</v>
      </c>
      <c r="B939" s="102" t="s">
        <v>2505</v>
      </c>
      <c r="C939" s="102">
        <v>231900</v>
      </c>
      <c r="D939" s="102" t="s">
        <v>2504</v>
      </c>
      <c r="E939" s="102"/>
    </row>
    <row r="940" spans="1:5" x14ac:dyDescent="0.15">
      <c r="A940" s="102" t="s">
        <v>2506</v>
      </c>
      <c r="B940" s="102" t="s">
        <v>1825</v>
      </c>
      <c r="C940" s="102">
        <v>205126</v>
      </c>
      <c r="D940" s="102" t="s">
        <v>2506</v>
      </c>
      <c r="E940" s="102"/>
    </row>
    <row r="941" spans="1:5" x14ac:dyDescent="0.15">
      <c r="A941" s="102" t="s">
        <v>2507</v>
      </c>
      <c r="B941" s="102" t="s">
        <v>1823</v>
      </c>
      <c r="C941" s="102">
        <v>121314</v>
      </c>
      <c r="D941" s="102" t="s">
        <v>2507</v>
      </c>
      <c r="E941" s="102"/>
    </row>
    <row r="942" spans="1:5" x14ac:dyDescent="0.15">
      <c r="A942" s="102" t="s">
        <v>2508</v>
      </c>
      <c r="B942" s="102" t="s">
        <v>2509</v>
      </c>
      <c r="C942" s="102">
        <v>246737</v>
      </c>
      <c r="D942" s="102" t="s">
        <v>2508</v>
      </c>
      <c r="E942" s="102"/>
    </row>
    <row r="943" spans="1:5" x14ac:dyDescent="0.15">
      <c r="A943" s="102" t="s">
        <v>2510</v>
      </c>
      <c r="B943" s="102" t="s">
        <v>1823</v>
      </c>
      <c r="C943" s="102">
        <v>155707</v>
      </c>
      <c r="D943" s="102" t="s">
        <v>2510</v>
      </c>
      <c r="E943" s="102"/>
    </row>
    <row r="944" spans="1:5" x14ac:dyDescent="0.15">
      <c r="A944" s="102" t="s">
        <v>1677</v>
      </c>
      <c r="B944" s="102" t="s">
        <v>1107</v>
      </c>
      <c r="C944" s="102">
        <v>166672</v>
      </c>
      <c r="D944" s="102" t="s">
        <v>1678</v>
      </c>
      <c r="E944" s="102"/>
    </row>
    <row r="945" spans="1:5" x14ac:dyDescent="0.15">
      <c r="A945" s="102" t="s">
        <v>1679</v>
      </c>
      <c r="B945" s="102" t="s">
        <v>1104</v>
      </c>
      <c r="C945" s="102">
        <v>172668</v>
      </c>
      <c r="D945" s="102" t="s">
        <v>1679</v>
      </c>
      <c r="E945" s="102"/>
    </row>
    <row r="946" spans="1:5" x14ac:dyDescent="0.15">
      <c r="A946" s="102" t="s">
        <v>2511</v>
      </c>
      <c r="B946" s="102" t="s">
        <v>1838</v>
      </c>
      <c r="C946" s="102">
        <v>228142</v>
      </c>
      <c r="D946" s="102" t="s">
        <v>2511</v>
      </c>
      <c r="E946" s="102"/>
    </row>
    <row r="947" spans="1:5" x14ac:dyDescent="0.15">
      <c r="A947" s="102" t="s">
        <v>2512</v>
      </c>
      <c r="B947" s="102" t="s">
        <v>2513</v>
      </c>
      <c r="C947" s="102">
        <v>225766</v>
      </c>
      <c r="D947" s="102" t="s">
        <v>2512</v>
      </c>
      <c r="E947" s="102"/>
    </row>
    <row r="948" spans="1:5" x14ac:dyDescent="0.15">
      <c r="A948" s="102" t="s">
        <v>2512</v>
      </c>
      <c r="B948" s="102" t="s">
        <v>1823</v>
      </c>
      <c r="C948" s="102">
        <v>111926</v>
      </c>
      <c r="D948" s="102" t="s">
        <v>2514</v>
      </c>
      <c r="E948" s="102"/>
    </row>
    <row r="949" spans="1:5" x14ac:dyDescent="0.15">
      <c r="A949" s="102" t="s">
        <v>2515</v>
      </c>
      <c r="B949" s="102" t="s">
        <v>1825</v>
      </c>
      <c r="C949" s="102">
        <v>172254</v>
      </c>
      <c r="D949" s="102" t="s">
        <v>2515</v>
      </c>
      <c r="E949" s="102"/>
    </row>
    <row r="950" spans="1:5" x14ac:dyDescent="0.15">
      <c r="A950" s="102" t="s">
        <v>2516</v>
      </c>
      <c r="B950" s="102" t="s">
        <v>1825</v>
      </c>
      <c r="C950" s="102">
        <v>160602</v>
      </c>
      <c r="D950" s="102" t="s">
        <v>2516</v>
      </c>
      <c r="E950" s="102"/>
    </row>
    <row r="951" spans="1:5" x14ac:dyDescent="0.15">
      <c r="A951" s="102" t="s">
        <v>1680</v>
      </c>
      <c r="B951" s="102" t="s">
        <v>1104</v>
      </c>
      <c r="C951" s="102">
        <v>199606</v>
      </c>
      <c r="D951" s="102" t="s">
        <v>1680</v>
      </c>
      <c r="E951" s="102"/>
    </row>
    <row r="952" spans="1:5" x14ac:dyDescent="0.15">
      <c r="A952" s="102" t="s">
        <v>2517</v>
      </c>
      <c r="B952" s="102" t="s">
        <v>1825</v>
      </c>
      <c r="C952" s="102">
        <v>158019</v>
      </c>
      <c r="D952" s="102" t="s">
        <v>2517</v>
      </c>
      <c r="E952" s="102"/>
    </row>
    <row r="953" spans="1:5" x14ac:dyDescent="0.15">
      <c r="A953" s="102" t="s">
        <v>2518</v>
      </c>
      <c r="B953" s="102" t="s">
        <v>1825</v>
      </c>
      <c r="C953" s="102">
        <v>162854</v>
      </c>
      <c r="D953" s="102" t="s">
        <v>2518</v>
      </c>
      <c r="E953" s="102"/>
    </row>
    <row r="954" spans="1:5" x14ac:dyDescent="0.15">
      <c r="A954" s="102" t="s">
        <v>1681</v>
      </c>
      <c r="B954" s="102" t="s">
        <v>1104</v>
      </c>
      <c r="C954" s="102">
        <v>172890</v>
      </c>
      <c r="D954" s="102" t="s">
        <v>1682</v>
      </c>
      <c r="E954" s="102"/>
    </row>
    <row r="955" spans="1:5" x14ac:dyDescent="0.15">
      <c r="A955" s="102" t="s">
        <v>2519</v>
      </c>
      <c r="B955" s="102" t="s">
        <v>1823</v>
      </c>
      <c r="C955" s="102">
        <v>112304</v>
      </c>
      <c r="D955" s="102" t="s">
        <v>2519</v>
      </c>
      <c r="E955" s="102"/>
    </row>
    <row r="956" spans="1:5" x14ac:dyDescent="0.15">
      <c r="A956" s="102" t="s">
        <v>2520</v>
      </c>
      <c r="B956" s="102" t="s">
        <v>1825</v>
      </c>
      <c r="C956" s="102">
        <v>205249</v>
      </c>
      <c r="D956" s="102" t="s">
        <v>2520</v>
      </c>
      <c r="E956" s="102"/>
    </row>
    <row r="957" spans="1:5" x14ac:dyDescent="0.15">
      <c r="A957" s="102" t="s">
        <v>1683</v>
      </c>
      <c r="B957" s="102" t="s">
        <v>1107</v>
      </c>
      <c r="C957" s="102">
        <v>166623</v>
      </c>
      <c r="D957" s="102" t="s">
        <v>1683</v>
      </c>
      <c r="E957" s="102"/>
    </row>
    <row r="958" spans="1:5" x14ac:dyDescent="0.15">
      <c r="A958" s="102" t="s">
        <v>1684</v>
      </c>
      <c r="B958" s="102" t="s">
        <v>1107</v>
      </c>
      <c r="C958" s="102">
        <v>166622</v>
      </c>
      <c r="D958" s="102" t="s">
        <v>1684</v>
      </c>
      <c r="E958" s="102"/>
    </row>
    <row r="959" spans="1:5" x14ac:dyDescent="0.15">
      <c r="A959" s="102" t="s">
        <v>2521</v>
      </c>
      <c r="B959" s="102" t="s">
        <v>1823</v>
      </c>
      <c r="C959" s="102">
        <v>98705</v>
      </c>
      <c r="D959" s="102" t="s">
        <v>2522</v>
      </c>
      <c r="E959" s="102"/>
    </row>
    <row r="960" spans="1:5" x14ac:dyDescent="0.15">
      <c r="A960" s="102" t="s">
        <v>2523</v>
      </c>
      <c r="B960" s="102" t="s">
        <v>2524</v>
      </c>
      <c r="C960" s="102">
        <v>228616</v>
      </c>
      <c r="D960" s="102" t="s">
        <v>2523</v>
      </c>
      <c r="E960" s="102"/>
    </row>
    <row r="961" spans="1:5" x14ac:dyDescent="0.15">
      <c r="A961" s="102" t="s">
        <v>2525</v>
      </c>
      <c r="B961" s="102" t="s">
        <v>1823</v>
      </c>
      <c r="C961" s="102">
        <v>110988</v>
      </c>
      <c r="D961" s="102" t="s">
        <v>2526</v>
      </c>
      <c r="E961" s="102"/>
    </row>
    <row r="962" spans="1:5" x14ac:dyDescent="0.15">
      <c r="A962" s="102" t="s">
        <v>1685</v>
      </c>
      <c r="B962" s="102" t="s">
        <v>1122</v>
      </c>
      <c r="C962" s="102">
        <v>235782</v>
      </c>
      <c r="D962" s="102" t="s">
        <v>1685</v>
      </c>
      <c r="E962" s="102"/>
    </row>
    <row r="963" spans="1:5" x14ac:dyDescent="0.15">
      <c r="A963" s="102" t="s">
        <v>1686</v>
      </c>
      <c r="B963" s="102" t="s">
        <v>1104</v>
      </c>
      <c r="C963" s="102">
        <v>172786</v>
      </c>
      <c r="D963" s="102" t="s">
        <v>1687</v>
      </c>
      <c r="E963" s="102"/>
    </row>
    <row r="964" spans="1:5" x14ac:dyDescent="0.15">
      <c r="A964" s="102" t="s">
        <v>1688</v>
      </c>
      <c r="B964" s="102" t="s">
        <v>1104</v>
      </c>
      <c r="C964" s="102">
        <v>177781</v>
      </c>
      <c r="D964" s="102" t="s">
        <v>1688</v>
      </c>
      <c r="E964" s="102"/>
    </row>
    <row r="965" spans="1:5" x14ac:dyDescent="0.15">
      <c r="A965" s="102" t="s">
        <v>2527</v>
      </c>
      <c r="B965" s="102" t="s">
        <v>1825</v>
      </c>
      <c r="C965" s="102">
        <v>162455</v>
      </c>
      <c r="D965" s="102" t="s">
        <v>2528</v>
      </c>
      <c r="E965" s="102"/>
    </row>
    <row r="966" spans="1:5" x14ac:dyDescent="0.15">
      <c r="A966" s="102" t="s">
        <v>1689</v>
      </c>
      <c r="B966" s="102" t="s">
        <v>1595</v>
      </c>
      <c r="C966" s="102">
        <v>245865</v>
      </c>
      <c r="D966" s="102" t="s">
        <v>1689</v>
      </c>
      <c r="E966" s="102"/>
    </row>
    <row r="967" spans="1:5" x14ac:dyDescent="0.15">
      <c r="A967" s="102" t="s">
        <v>2529</v>
      </c>
      <c r="B967" s="102" t="s">
        <v>1823</v>
      </c>
      <c r="C967" s="102">
        <v>155927</v>
      </c>
      <c r="D967" s="102" t="s">
        <v>2529</v>
      </c>
      <c r="E967" s="102"/>
    </row>
    <row r="968" spans="1:5" x14ac:dyDescent="0.15">
      <c r="A968" s="102" t="s">
        <v>1690</v>
      </c>
      <c r="B968" s="102" t="s">
        <v>1107</v>
      </c>
      <c r="C968" s="102">
        <v>166621</v>
      </c>
      <c r="D968" s="102" t="s">
        <v>1690</v>
      </c>
      <c r="E968" s="102"/>
    </row>
    <row r="969" spans="1:5" x14ac:dyDescent="0.15">
      <c r="A969" s="102" t="s">
        <v>2530</v>
      </c>
      <c r="B969" s="102" t="s">
        <v>1823</v>
      </c>
      <c r="C969" s="102">
        <v>121070</v>
      </c>
      <c r="D969" s="102" t="s">
        <v>2530</v>
      </c>
      <c r="E969" s="102"/>
    </row>
    <row r="970" spans="1:5" x14ac:dyDescent="0.15">
      <c r="A970" s="102" t="s">
        <v>2531</v>
      </c>
      <c r="B970" s="102" t="s">
        <v>1825</v>
      </c>
      <c r="C970" s="102">
        <v>178584</v>
      </c>
      <c r="D970" s="102" t="s">
        <v>2531</v>
      </c>
      <c r="E970" s="102"/>
    </row>
    <row r="971" spans="1:5" x14ac:dyDescent="0.15">
      <c r="A971" s="102" t="s">
        <v>1691</v>
      </c>
      <c r="B971" s="102" t="s">
        <v>1107</v>
      </c>
      <c r="C971" s="102">
        <v>166619</v>
      </c>
      <c r="D971" s="102" t="s">
        <v>1691</v>
      </c>
      <c r="E971" s="102"/>
    </row>
    <row r="972" spans="1:5" x14ac:dyDescent="0.15">
      <c r="A972" s="102" t="s">
        <v>2532</v>
      </c>
      <c r="B972" s="102" t="s">
        <v>1823</v>
      </c>
      <c r="C972" s="102">
        <v>97845</v>
      </c>
      <c r="D972" s="102" t="s">
        <v>2532</v>
      </c>
      <c r="E972" s="102"/>
    </row>
    <row r="973" spans="1:5" x14ac:dyDescent="0.15">
      <c r="A973" s="102" t="s">
        <v>2533</v>
      </c>
      <c r="B973" s="102" t="s">
        <v>1823</v>
      </c>
      <c r="C973" s="102">
        <v>119895</v>
      </c>
      <c r="D973" s="102" t="s">
        <v>2533</v>
      </c>
      <c r="E973" s="102"/>
    </row>
    <row r="974" spans="1:5" x14ac:dyDescent="0.15">
      <c r="A974" s="102" t="s">
        <v>2534</v>
      </c>
      <c r="B974" s="102" t="s">
        <v>2535</v>
      </c>
      <c r="C974" s="102">
        <v>248972</v>
      </c>
      <c r="D974" s="102" t="s">
        <v>2534</v>
      </c>
      <c r="E974" s="102"/>
    </row>
    <row r="975" spans="1:5" x14ac:dyDescent="0.15">
      <c r="A975" s="102" t="s">
        <v>1692</v>
      </c>
      <c r="B975" s="102" t="s">
        <v>1122</v>
      </c>
      <c r="C975" s="102">
        <v>213205</v>
      </c>
      <c r="D975" s="102" t="s">
        <v>1692</v>
      </c>
      <c r="E975" s="102"/>
    </row>
    <row r="976" spans="1:5" x14ac:dyDescent="0.15">
      <c r="A976" s="102" t="s">
        <v>2536</v>
      </c>
      <c r="B976" s="102" t="s">
        <v>1825</v>
      </c>
      <c r="C976" s="102">
        <v>193872</v>
      </c>
      <c r="D976" s="102" t="s">
        <v>2536</v>
      </c>
      <c r="E976" s="102"/>
    </row>
    <row r="977" spans="1:5" x14ac:dyDescent="0.15">
      <c r="A977" s="102" t="s">
        <v>1693</v>
      </c>
      <c r="B977" s="102" t="s">
        <v>1107</v>
      </c>
      <c r="C977" s="102">
        <v>166618</v>
      </c>
      <c r="D977" s="102" t="s">
        <v>1693</v>
      </c>
      <c r="E977" s="102"/>
    </row>
    <row r="978" spans="1:5" x14ac:dyDescent="0.15">
      <c r="A978" s="102" t="s">
        <v>2537</v>
      </c>
      <c r="B978" s="102" t="s">
        <v>1825</v>
      </c>
      <c r="C978" s="102">
        <v>162881</v>
      </c>
      <c r="D978" s="102" t="s">
        <v>2537</v>
      </c>
      <c r="E978" s="102"/>
    </row>
    <row r="979" spans="1:5" x14ac:dyDescent="0.15">
      <c r="A979" s="102" t="s">
        <v>1694</v>
      </c>
      <c r="B979" s="102" t="s">
        <v>1107</v>
      </c>
      <c r="C979" s="102">
        <v>166617</v>
      </c>
      <c r="D979" s="102" t="s">
        <v>1694</v>
      </c>
      <c r="E979" s="102"/>
    </row>
    <row r="980" spans="1:5" x14ac:dyDescent="0.15">
      <c r="A980" s="102" t="s">
        <v>2538</v>
      </c>
      <c r="B980" s="102" t="s">
        <v>1825</v>
      </c>
      <c r="C980" s="102">
        <v>204512</v>
      </c>
      <c r="D980" s="102" t="s">
        <v>2538</v>
      </c>
      <c r="E980" s="102"/>
    </row>
    <row r="981" spans="1:5" x14ac:dyDescent="0.15">
      <c r="A981" s="102" t="s">
        <v>2539</v>
      </c>
      <c r="B981" s="102" t="s">
        <v>1823</v>
      </c>
      <c r="C981" s="102">
        <v>97932</v>
      </c>
      <c r="D981" s="102" t="s">
        <v>2539</v>
      </c>
      <c r="E981" s="102"/>
    </row>
    <row r="982" spans="1:5" x14ac:dyDescent="0.15">
      <c r="A982" s="102" t="s">
        <v>2540</v>
      </c>
      <c r="B982" s="102" t="s">
        <v>1823</v>
      </c>
      <c r="C982" s="102">
        <v>98459</v>
      </c>
      <c r="D982" s="102" t="s">
        <v>2540</v>
      </c>
      <c r="E982" s="102"/>
    </row>
    <row r="983" spans="1:5" x14ac:dyDescent="0.15">
      <c r="A983" s="102" t="s">
        <v>2541</v>
      </c>
      <c r="B983" s="102" t="s">
        <v>1825</v>
      </c>
      <c r="C983" s="102">
        <v>162918</v>
      </c>
      <c r="D983" s="102" t="s">
        <v>2541</v>
      </c>
      <c r="E983" s="102"/>
    </row>
    <row r="984" spans="1:5" x14ac:dyDescent="0.15">
      <c r="A984" s="102" t="s">
        <v>2542</v>
      </c>
      <c r="B984" s="102" t="s">
        <v>1825</v>
      </c>
      <c r="C984" s="102">
        <v>166300</v>
      </c>
      <c r="D984" s="102" t="s">
        <v>2542</v>
      </c>
      <c r="E984" s="102"/>
    </row>
    <row r="985" spans="1:5" x14ac:dyDescent="0.15">
      <c r="A985" s="102" t="s">
        <v>2542</v>
      </c>
      <c r="B985" s="102" t="s">
        <v>1825</v>
      </c>
      <c r="C985" s="102">
        <v>193873</v>
      </c>
      <c r="D985" s="102" t="s">
        <v>2542</v>
      </c>
      <c r="E985" s="102"/>
    </row>
    <row r="986" spans="1:5" x14ac:dyDescent="0.15">
      <c r="A986" s="102" t="s">
        <v>2543</v>
      </c>
      <c r="B986" s="102" t="s">
        <v>2544</v>
      </c>
      <c r="C986" s="102">
        <v>217517</v>
      </c>
      <c r="D986" s="102" t="s">
        <v>2543</v>
      </c>
      <c r="E986" s="102"/>
    </row>
    <row r="987" spans="1:5" x14ac:dyDescent="0.15">
      <c r="A987" s="102" t="s">
        <v>2545</v>
      </c>
      <c r="B987" s="102" t="s">
        <v>1825</v>
      </c>
      <c r="C987" s="102">
        <v>172611</v>
      </c>
      <c r="D987" s="102" t="s">
        <v>2545</v>
      </c>
      <c r="E987" s="102"/>
    </row>
    <row r="988" spans="1:5" x14ac:dyDescent="0.15">
      <c r="A988" s="102" t="s">
        <v>2546</v>
      </c>
      <c r="B988" s="102" t="s">
        <v>1825</v>
      </c>
      <c r="C988" s="102">
        <v>162872</v>
      </c>
      <c r="D988" s="102" t="s">
        <v>2546</v>
      </c>
      <c r="E988" s="102"/>
    </row>
    <row r="989" spans="1:5" x14ac:dyDescent="0.15">
      <c r="A989" s="102" t="s">
        <v>2547</v>
      </c>
      <c r="B989" s="102" t="s">
        <v>1825</v>
      </c>
      <c r="C989" s="102">
        <v>165390</v>
      </c>
      <c r="D989" s="102" t="s">
        <v>2547</v>
      </c>
      <c r="E989" s="102"/>
    </row>
    <row r="990" spans="1:5" x14ac:dyDescent="0.15">
      <c r="A990" s="102" t="s">
        <v>2548</v>
      </c>
      <c r="B990" s="102" t="s">
        <v>1928</v>
      </c>
      <c r="C990" s="102">
        <v>172595</v>
      </c>
      <c r="D990" s="102" t="s">
        <v>2548</v>
      </c>
      <c r="E990" s="102"/>
    </row>
    <row r="991" spans="1:5" x14ac:dyDescent="0.15">
      <c r="A991" s="102" t="s">
        <v>2549</v>
      </c>
      <c r="B991" s="102" t="s">
        <v>1825</v>
      </c>
      <c r="C991" s="102">
        <v>184492</v>
      </c>
      <c r="D991" s="102" t="s">
        <v>2549</v>
      </c>
      <c r="E991" s="102"/>
    </row>
    <row r="992" spans="1:5" x14ac:dyDescent="0.15">
      <c r="A992" s="102" t="s">
        <v>2550</v>
      </c>
      <c r="B992" s="102" t="s">
        <v>1823</v>
      </c>
      <c r="C992" s="102">
        <v>155175</v>
      </c>
      <c r="D992" s="102" t="s">
        <v>2550</v>
      </c>
      <c r="E992" s="102"/>
    </row>
    <row r="993" spans="1:5" x14ac:dyDescent="0.15">
      <c r="A993" s="102" t="s">
        <v>2551</v>
      </c>
      <c r="B993" s="102" t="s">
        <v>1825</v>
      </c>
      <c r="C993" s="102">
        <v>164718</v>
      </c>
      <c r="D993" s="102" t="s">
        <v>2551</v>
      </c>
      <c r="E993" s="102"/>
    </row>
    <row r="994" spans="1:5" x14ac:dyDescent="0.15">
      <c r="A994" s="102" t="s">
        <v>2552</v>
      </c>
      <c r="B994" s="102" t="s">
        <v>1928</v>
      </c>
      <c r="C994" s="102">
        <v>204307</v>
      </c>
      <c r="D994" s="102" t="s">
        <v>2552</v>
      </c>
      <c r="E994" s="102"/>
    </row>
    <row r="995" spans="1:5" x14ac:dyDescent="0.15">
      <c r="A995" s="102" t="s">
        <v>2553</v>
      </c>
      <c r="B995" s="102" t="s">
        <v>1825</v>
      </c>
      <c r="C995" s="102">
        <v>214145</v>
      </c>
      <c r="D995" s="102" t="s">
        <v>2553</v>
      </c>
      <c r="E995" s="102"/>
    </row>
    <row r="996" spans="1:5" x14ac:dyDescent="0.15">
      <c r="A996" s="102" t="s">
        <v>2554</v>
      </c>
      <c r="B996" s="102" t="s">
        <v>1823</v>
      </c>
      <c r="C996" s="102">
        <v>110760</v>
      </c>
      <c r="D996" s="102" t="s">
        <v>2554</v>
      </c>
      <c r="E996" s="102"/>
    </row>
    <row r="997" spans="1:5" x14ac:dyDescent="0.15">
      <c r="A997" s="102" t="s">
        <v>2555</v>
      </c>
      <c r="B997" s="102" t="s">
        <v>1825</v>
      </c>
      <c r="C997" s="102">
        <v>202688</v>
      </c>
      <c r="D997" s="102" t="s">
        <v>2555</v>
      </c>
      <c r="E997" s="102"/>
    </row>
    <row r="998" spans="1:5" x14ac:dyDescent="0.15">
      <c r="A998" s="102" t="s">
        <v>2556</v>
      </c>
      <c r="B998" s="102" t="s">
        <v>1825</v>
      </c>
      <c r="C998" s="102">
        <v>208884</v>
      </c>
      <c r="D998" s="102" t="s">
        <v>2556</v>
      </c>
      <c r="E998" s="102"/>
    </row>
    <row r="999" spans="1:5" x14ac:dyDescent="0.15">
      <c r="A999" s="102" t="s">
        <v>2557</v>
      </c>
      <c r="B999" s="102" t="s">
        <v>1823</v>
      </c>
      <c r="C999" s="102">
        <v>119831</v>
      </c>
      <c r="D999" s="102" t="s">
        <v>2557</v>
      </c>
      <c r="E999" s="102"/>
    </row>
    <row r="1000" spans="1:5" x14ac:dyDescent="0.15">
      <c r="A1000" s="102" t="s">
        <v>2558</v>
      </c>
      <c r="B1000" s="102" t="s">
        <v>1825</v>
      </c>
      <c r="C1000" s="102">
        <v>162915</v>
      </c>
      <c r="D1000" s="102" t="s">
        <v>2558</v>
      </c>
      <c r="E1000" s="102"/>
    </row>
    <row r="1001" spans="1:5" x14ac:dyDescent="0.15">
      <c r="A1001" s="102" t="s">
        <v>2559</v>
      </c>
      <c r="B1001" s="102" t="s">
        <v>1825</v>
      </c>
      <c r="C1001" s="102">
        <v>160691</v>
      </c>
      <c r="D1001" s="102" t="s">
        <v>2559</v>
      </c>
      <c r="E1001" s="102"/>
    </row>
    <row r="1002" spans="1:5" x14ac:dyDescent="0.15">
      <c r="A1002" s="102" t="s">
        <v>2560</v>
      </c>
      <c r="B1002" s="102" t="s">
        <v>1825</v>
      </c>
      <c r="C1002" s="102">
        <v>160576</v>
      </c>
      <c r="D1002" s="102" t="s">
        <v>2560</v>
      </c>
      <c r="E1002" s="102"/>
    </row>
    <row r="1003" spans="1:5" x14ac:dyDescent="0.15">
      <c r="A1003" s="102" t="s">
        <v>1695</v>
      </c>
      <c r="B1003" s="102" t="s">
        <v>1696</v>
      </c>
      <c r="C1003" s="102">
        <v>247055</v>
      </c>
      <c r="D1003" s="102" t="s">
        <v>1695</v>
      </c>
      <c r="E1003" s="102"/>
    </row>
    <row r="1004" spans="1:5" x14ac:dyDescent="0.15">
      <c r="A1004" s="102" t="s">
        <v>1697</v>
      </c>
      <c r="B1004" s="102" t="s">
        <v>1698</v>
      </c>
      <c r="C1004" s="102">
        <v>238532</v>
      </c>
      <c r="D1004" s="102" t="s">
        <v>1697</v>
      </c>
      <c r="E1004" s="102"/>
    </row>
    <row r="1005" spans="1:5" x14ac:dyDescent="0.15">
      <c r="A1005" s="102" t="s">
        <v>1699</v>
      </c>
      <c r="B1005" s="102" t="s">
        <v>1101</v>
      </c>
      <c r="C1005" s="102">
        <v>198799</v>
      </c>
      <c r="D1005" s="102" t="s">
        <v>1699</v>
      </c>
      <c r="E1005" s="102"/>
    </row>
    <row r="1006" spans="1:5" x14ac:dyDescent="0.15">
      <c r="A1006" s="102" t="s">
        <v>1700</v>
      </c>
      <c r="B1006" s="102" t="s">
        <v>1122</v>
      </c>
      <c r="C1006" s="102">
        <v>234655</v>
      </c>
      <c r="D1006" s="102" t="s">
        <v>1700</v>
      </c>
      <c r="E1006" s="102"/>
    </row>
    <row r="1007" spans="1:5" x14ac:dyDescent="0.15">
      <c r="A1007" s="102" t="s">
        <v>1701</v>
      </c>
      <c r="B1007" s="102" t="s">
        <v>1107</v>
      </c>
      <c r="C1007" s="102">
        <v>171093</v>
      </c>
      <c r="D1007" s="102" t="s">
        <v>1701</v>
      </c>
      <c r="E1007" s="102"/>
    </row>
    <row r="1008" spans="1:5" x14ac:dyDescent="0.15">
      <c r="A1008" s="102" t="s">
        <v>2561</v>
      </c>
      <c r="B1008" s="102" t="s">
        <v>1823</v>
      </c>
      <c r="C1008" s="102">
        <v>112147</v>
      </c>
      <c r="D1008" s="102" t="s">
        <v>2562</v>
      </c>
      <c r="E1008" s="102"/>
    </row>
    <row r="1009" spans="1:5" x14ac:dyDescent="0.15">
      <c r="A1009" s="102" t="s">
        <v>1702</v>
      </c>
      <c r="B1009" s="102" t="s">
        <v>1703</v>
      </c>
      <c r="C1009" s="102">
        <v>245837</v>
      </c>
      <c r="D1009" s="102" t="s">
        <v>1702</v>
      </c>
      <c r="E1009" s="102"/>
    </row>
    <row r="1010" spans="1:5" x14ac:dyDescent="0.15">
      <c r="A1010" s="102" t="s">
        <v>1704</v>
      </c>
      <c r="B1010" s="102" t="s">
        <v>1705</v>
      </c>
      <c r="C1010" s="102">
        <v>250062</v>
      </c>
      <c r="D1010" s="102" t="s">
        <v>1704</v>
      </c>
      <c r="E1010" s="102"/>
    </row>
    <row r="1011" spans="1:5" x14ac:dyDescent="0.15">
      <c r="A1011" s="102" t="s">
        <v>1706</v>
      </c>
      <c r="B1011" s="102" t="s">
        <v>1107</v>
      </c>
      <c r="C1011" s="102">
        <v>166616</v>
      </c>
      <c r="D1011" s="102" t="s">
        <v>1707</v>
      </c>
      <c r="E1011" s="102"/>
    </row>
    <row r="1012" spans="1:5" x14ac:dyDescent="0.15">
      <c r="A1012" s="102" t="s">
        <v>2563</v>
      </c>
      <c r="B1012" s="102" t="s">
        <v>1825</v>
      </c>
      <c r="C1012" s="102">
        <v>162877</v>
      </c>
      <c r="D1012" s="102" t="s">
        <v>2563</v>
      </c>
      <c r="E1012" s="102"/>
    </row>
    <row r="1013" spans="1:5" x14ac:dyDescent="0.15">
      <c r="A1013" s="102" t="s">
        <v>1708</v>
      </c>
      <c r="B1013" s="102" t="s">
        <v>1107</v>
      </c>
      <c r="C1013" s="102">
        <v>166612</v>
      </c>
      <c r="D1013" s="102" t="s">
        <v>1708</v>
      </c>
      <c r="E1013" s="102"/>
    </row>
    <row r="1014" spans="1:5" x14ac:dyDescent="0.15">
      <c r="A1014" s="102" t="s">
        <v>1709</v>
      </c>
      <c r="B1014" s="102" t="s">
        <v>1107</v>
      </c>
      <c r="C1014" s="102">
        <v>166523</v>
      </c>
      <c r="D1014" s="102" t="s">
        <v>1709</v>
      </c>
      <c r="E1014" s="102"/>
    </row>
    <row r="1015" spans="1:5" x14ac:dyDescent="0.15">
      <c r="A1015" s="102" t="s">
        <v>2564</v>
      </c>
      <c r="B1015" s="102" t="s">
        <v>1825</v>
      </c>
      <c r="C1015" s="102">
        <v>191906</v>
      </c>
      <c r="D1015" s="102" t="s">
        <v>2564</v>
      </c>
      <c r="E1015" s="102"/>
    </row>
    <row r="1016" spans="1:5" x14ac:dyDescent="0.15">
      <c r="A1016" s="102" t="s">
        <v>1710</v>
      </c>
      <c r="B1016" s="102" t="s">
        <v>1107</v>
      </c>
      <c r="C1016" s="102">
        <v>166521</v>
      </c>
      <c r="D1016" s="102" t="s">
        <v>1710</v>
      </c>
      <c r="E1016" s="102"/>
    </row>
    <row r="1017" spans="1:5" x14ac:dyDescent="0.15">
      <c r="A1017" s="102" t="s">
        <v>1710</v>
      </c>
      <c r="B1017" s="102" t="s">
        <v>1107</v>
      </c>
      <c r="C1017" s="102">
        <v>166614</v>
      </c>
      <c r="D1017" s="102" t="s">
        <v>1710</v>
      </c>
      <c r="E1017" s="102"/>
    </row>
    <row r="1018" spans="1:5" x14ac:dyDescent="0.15">
      <c r="A1018" s="102" t="s">
        <v>2565</v>
      </c>
      <c r="B1018" s="102" t="s">
        <v>1825</v>
      </c>
      <c r="C1018" s="102">
        <v>166655</v>
      </c>
      <c r="D1018" s="102" t="s">
        <v>2565</v>
      </c>
      <c r="E1018" s="102"/>
    </row>
    <row r="1019" spans="1:5" x14ac:dyDescent="0.15">
      <c r="A1019" s="102" t="s">
        <v>2566</v>
      </c>
      <c r="B1019" s="102" t="s">
        <v>1928</v>
      </c>
      <c r="C1019" s="102">
        <v>160587</v>
      </c>
      <c r="D1019" s="102" t="s">
        <v>2566</v>
      </c>
      <c r="E1019" s="102"/>
    </row>
    <row r="1020" spans="1:5" x14ac:dyDescent="0.15">
      <c r="A1020" s="102" t="s">
        <v>2567</v>
      </c>
      <c r="B1020" s="102" t="s">
        <v>2568</v>
      </c>
      <c r="C1020" s="102">
        <v>236409</v>
      </c>
      <c r="D1020" s="102" t="s">
        <v>2567</v>
      </c>
      <c r="E1020" s="102"/>
    </row>
    <row r="1021" spans="1:5" x14ac:dyDescent="0.15">
      <c r="A1021" s="102" t="s">
        <v>2569</v>
      </c>
      <c r="B1021" s="102" t="s">
        <v>1825</v>
      </c>
      <c r="C1021" s="102">
        <v>160687</v>
      </c>
      <c r="D1021" s="102" t="s">
        <v>2569</v>
      </c>
      <c r="E1021" s="102"/>
    </row>
    <row r="1022" spans="1:5" x14ac:dyDescent="0.15">
      <c r="A1022" s="102" t="s">
        <v>2570</v>
      </c>
      <c r="B1022" s="102" t="s">
        <v>2571</v>
      </c>
      <c r="C1022" s="102">
        <v>231962</v>
      </c>
      <c r="D1022" s="102" t="s">
        <v>2570</v>
      </c>
      <c r="E1022" s="102"/>
    </row>
    <row r="1023" spans="1:5" x14ac:dyDescent="0.15">
      <c r="A1023" s="102" t="s">
        <v>2572</v>
      </c>
      <c r="B1023" s="102" t="s">
        <v>2573</v>
      </c>
      <c r="C1023" s="102">
        <v>246725</v>
      </c>
      <c r="D1023" s="102" t="s">
        <v>2572</v>
      </c>
      <c r="E1023" s="102"/>
    </row>
    <row r="1024" spans="1:5" x14ac:dyDescent="0.15">
      <c r="A1024" s="102" t="s">
        <v>2574</v>
      </c>
      <c r="B1024" s="102" t="s">
        <v>2575</v>
      </c>
      <c r="C1024" s="102">
        <v>231965</v>
      </c>
      <c r="D1024" s="102" t="s">
        <v>2574</v>
      </c>
      <c r="E1024" s="102"/>
    </row>
    <row r="1025" spans="1:5" x14ac:dyDescent="0.15">
      <c r="A1025" s="102" t="s">
        <v>2576</v>
      </c>
      <c r="B1025" s="102" t="s">
        <v>2577</v>
      </c>
      <c r="C1025" s="102">
        <v>246724</v>
      </c>
      <c r="D1025" s="102" t="s">
        <v>2576</v>
      </c>
      <c r="E1025" s="102"/>
    </row>
    <row r="1026" spans="1:5" x14ac:dyDescent="0.15">
      <c r="A1026" s="102" t="s">
        <v>2578</v>
      </c>
      <c r="B1026" s="102" t="s">
        <v>2579</v>
      </c>
      <c r="C1026" s="102">
        <v>231964</v>
      </c>
      <c r="D1026" s="102" t="s">
        <v>2578</v>
      </c>
      <c r="E1026" s="102"/>
    </row>
    <row r="1027" spans="1:5" x14ac:dyDescent="0.15">
      <c r="A1027" s="102" t="s">
        <v>2580</v>
      </c>
      <c r="B1027" s="102" t="s">
        <v>2581</v>
      </c>
      <c r="C1027" s="102">
        <v>246726</v>
      </c>
      <c r="D1027" s="102" t="s">
        <v>2580</v>
      </c>
      <c r="E1027" s="102"/>
    </row>
    <row r="1028" spans="1:5" x14ac:dyDescent="0.15">
      <c r="A1028" s="102" t="s">
        <v>2582</v>
      </c>
      <c r="B1028" s="102" t="s">
        <v>1825</v>
      </c>
      <c r="C1028" s="102">
        <v>160573</v>
      </c>
      <c r="D1028" s="102" t="s">
        <v>2582</v>
      </c>
      <c r="E1028" s="102"/>
    </row>
    <row r="1029" spans="1:5" x14ac:dyDescent="0.15">
      <c r="A1029" s="102" t="s">
        <v>1711</v>
      </c>
      <c r="B1029" s="102" t="s">
        <v>1712</v>
      </c>
      <c r="C1029" s="102">
        <v>249788</v>
      </c>
      <c r="D1029" s="102" t="s">
        <v>1711</v>
      </c>
      <c r="E1029" s="102"/>
    </row>
    <row r="1030" spans="1:5" x14ac:dyDescent="0.15">
      <c r="A1030" s="102" t="s">
        <v>2583</v>
      </c>
      <c r="B1030" s="102" t="s">
        <v>1823</v>
      </c>
      <c r="C1030" s="102">
        <v>155980</v>
      </c>
      <c r="D1030" s="102" t="s">
        <v>2583</v>
      </c>
      <c r="E1030" s="102"/>
    </row>
    <row r="1031" spans="1:5" x14ac:dyDescent="0.15">
      <c r="A1031" s="102" t="s">
        <v>2584</v>
      </c>
      <c r="B1031" s="102" t="s">
        <v>2585</v>
      </c>
      <c r="C1031" s="102">
        <v>217041</v>
      </c>
      <c r="D1031" s="102" t="s">
        <v>2584</v>
      </c>
      <c r="E1031" s="102"/>
    </row>
    <row r="1032" spans="1:5" x14ac:dyDescent="0.15">
      <c r="A1032" s="102" t="s">
        <v>1713</v>
      </c>
      <c r="B1032" s="102" t="s">
        <v>1104</v>
      </c>
      <c r="C1032" s="102">
        <v>172685</v>
      </c>
      <c r="D1032" s="102" t="s">
        <v>1714</v>
      </c>
      <c r="E1032" s="102"/>
    </row>
    <row r="1033" spans="1:5" x14ac:dyDescent="0.15">
      <c r="A1033" s="102" t="s">
        <v>1715</v>
      </c>
      <c r="B1033" s="102" t="s">
        <v>1107</v>
      </c>
      <c r="C1033" s="102">
        <v>166517</v>
      </c>
      <c r="D1033" s="102" t="s">
        <v>1715</v>
      </c>
      <c r="E1033" s="102"/>
    </row>
    <row r="1034" spans="1:5" x14ac:dyDescent="0.15">
      <c r="A1034" s="102" t="s">
        <v>1716</v>
      </c>
      <c r="B1034" s="102" t="s">
        <v>1107</v>
      </c>
      <c r="C1034" s="102">
        <v>166609</v>
      </c>
      <c r="D1034" s="102" t="s">
        <v>1716</v>
      </c>
      <c r="E1034" s="102"/>
    </row>
    <row r="1035" spans="1:5" x14ac:dyDescent="0.15">
      <c r="A1035" s="102" t="s">
        <v>2586</v>
      </c>
      <c r="B1035" s="102" t="s">
        <v>1825</v>
      </c>
      <c r="C1035" s="102">
        <v>157877</v>
      </c>
      <c r="D1035" s="102" t="s">
        <v>2586</v>
      </c>
      <c r="E1035" s="102"/>
    </row>
    <row r="1036" spans="1:5" x14ac:dyDescent="0.15">
      <c r="A1036" s="102" t="s">
        <v>2587</v>
      </c>
      <c r="B1036" s="102" t="s">
        <v>2588</v>
      </c>
      <c r="C1036" s="102">
        <v>245785</v>
      </c>
      <c r="D1036" s="102" t="s">
        <v>2587</v>
      </c>
      <c r="E1036" s="102"/>
    </row>
    <row r="1037" spans="1:5" x14ac:dyDescent="0.15">
      <c r="A1037" s="102" t="s">
        <v>2589</v>
      </c>
      <c r="B1037" s="102" t="s">
        <v>2590</v>
      </c>
      <c r="C1037" s="102">
        <v>218044</v>
      </c>
      <c r="D1037" s="102" t="s">
        <v>2589</v>
      </c>
      <c r="E1037" s="102"/>
    </row>
    <row r="1038" spans="1:5" x14ac:dyDescent="0.15">
      <c r="A1038" s="102" t="s">
        <v>1717</v>
      </c>
      <c r="B1038" s="102" t="s">
        <v>1107</v>
      </c>
      <c r="C1038" s="102">
        <v>166510</v>
      </c>
      <c r="D1038" s="102" t="s">
        <v>1717</v>
      </c>
      <c r="E1038" s="102"/>
    </row>
    <row r="1039" spans="1:5" x14ac:dyDescent="0.15">
      <c r="A1039" s="102" t="s">
        <v>2591</v>
      </c>
      <c r="B1039" s="102" t="s">
        <v>2592</v>
      </c>
      <c r="C1039" s="102">
        <v>214842</v>
      </c>
      <c r="D1039" s="102" t="s">
        <v>2591</v>
      </c>
      <c r="E1039" s="102"/>
    </row>
    <row r="1040" spans="1:5" x14ac:dyDescent="0.15">
      <c r="A1040" s="102" t="s">
        <v>1718</v>
      </c>
      <c r="B1040" s="102" t="s">
        <v>1107</v>
      </c>
      <c r="C1040" s="102">
        <v>166509</v>
      </c>
      <c r="D1040" s="102" t="s">
        <v>1718</v>
      </c>
      <c r="E1040" s="102"/>
    </row>
    <row r="1041" spans="1:5" x14ac:dyDescent="0.15">
      <c r="A1041" s="102" t="s">
        <v>2593</v>
      </c>
      <c r="B1041" s="102" t="s">
        <v>1928</v>
      </c>
      <c r="C1041" s="102">
        <v>181038</v>
      </c>
      <c r="D1041" s="102" t="s">
        <v>2593</v>
      </c>
      <c r="E1041" s="102"/>
    </row>
    <row r="1042" spans="1:5" x14ac:dyDescent="0.15">
      <c r="A1042" s="102" t="s">
        <v>1719</v>
      </c>
      <c r="B1042" s="102" t="s">
        <v>1104</v>
      </c>
      <c r="C1042" s="102">
        <v>194004</v>
      </c>
      <c r="D1042" s="102" t="s">
        <v>1719</v>
      </c>
      <c r="E1042" s="102"/>
    </row>
    <row r="1043" spans="1:5" x14ac:dyDescent="0.15">
      <c r="A1043" s="102" t="s">
        <v>2594</v>
      </c>
      <c r="B1043" s="102" t="s">
        <v>1823</v>
      </c>
      <c r="C1043" s="102">
        <v>103201</v>
      </c>
      <c r="D1043" s="102" t="s">
        <v>2594</v>
      </c>
      <c r="E1043" s="102"/>
    </row>
    <row r="1044" spans="1:5" x14ac:dyDescent="0.15">
      <c r="A1044" s="102" t="s">
        <v>2595</v>
      </c>
      <c r="B1044" s="102" t="s">
        <v>1825</v>
      </c>
      <c r="C1044" s="102">
        <v>214150</v>
      </c>
      <c r="D1044" s="102" t="s">
        <v>2595</v>
      </c>
      <c r="E1044" s="102"/>
    </row>
    <row r="1045" spans="1:5" x14ac:dyDescent="0.15">
      <c r="A1045" s="102" t="s">
        <v>2596</v>
      </c>
      <c r="B1045" s="102" t="s">
        <v>1825</v>
      </c>
      <c r="C1045" s="102">
        <v>160580</v>
      </c>
      <c r="D1045" s="102" t="s">
        <v>2596</v>
      </c>
      <c r="E1045" s="102"/>
    </row>
    <row r="1046" spans="1:5" x14ac:dyDescent="0.15">
      <c r="A1046" s="102" t="s">
        <v>1720</v>
      </c>
      <c r="B1046" s="102" t="s">
        <v>1107</v>
      </c>
      <c r="C1046" s="102">
        <v>166508</v>
      </c>
      <c r="D1046" s="102" t="s">
        <v>1720</v>
      </c>
      <c r="E1046" s="102"/>
    </row>
    <row r="1047" spans="1:5" x14ac:dyDescent="0.15">
      <c r="A1047" s="102" t="s">
        <v>1721</v>
      </c>
      <c r="B1047" s="102" t="s">
        <v>1107</v>
      </c>
      <c r="C1047" s="102">
        <v>166507</v>
      </c>
      <c r="D1047" s="102" t="s">
        <v>1721</v>
      </c>
      <c r="E1047" s="102"/>
    </row>
    <row r="1048" spans="1:5" x14ac:dyDescent="0.15">
      <c r="A1048" s="102" t="s">
        <v>1722</v>
      </c>
      <c r="B1048" s="102" t="s">
        <v>1107</v>
      </c>
      <c r="C1048" s="102">
        <v>166505</v>
      </c>
      <c r="D1048" s="102" t="s">
        <v>1722</v>
      </c>
      <c r="E1048" s="102"/>
    </row>
    <row r="1049" spans="1:5" x14ac:dyDescent="0.15">
      <c r="A1049" s="102" t="s">
        <v>2597</v>
      </c>
      <c r="B1049" s="102" t="s">
        <v>1823</v>
      </c>
      <c r="C1049" s="102">
        <v>155703</v>
      </c>
      <c r="D1049" s="102" t="s">
        <v>2597</v>
      </c>
      <c r="E1049" s="102"/>
    </row>
    <row r="1050" spans="1:5" x14ac:dyDescent="0.15">
      <c r="A1050" s="102" t="s">
        <v>1723</v>
      </c>
      <c r="B1050" s="102" t="s">
        <v>1101</v>
      </c>
      <c r="C1050" s="102">
        <v>166503</v>
      </c>
      <c r="D1050" s="102" t="s">
        <v>1723</v>
      </c>
      <c r="E1050" s="102"/>
    </row>
    <row r="1051" spans="1:5" x14ac:dyDescent="0.15">
      <c r="A1051" s="102" t="s">
        <v>1724</v>
      </c>
      <c r="B1051" s="102" t="s">
        <v>1104</v>
      </c>
      <c r="C1051" s="102">
        <v>177575</v>
      </c>
      <c r="D1051" s="102" t="s">
        <v>1725</v>
      </c>
      <c r="E1051" s="102"/>
    </row>
    <row r="1052" spans="1:5" x14ac:dyDescent="0.15">
      <c r="A1052" s="102" t="s">
        <v>1726</v>
      </c>
      <c r="B1052" s="102" t="s">
        <v>1104</v>
      </c>
      <c r="C1052" s="102">
        <v>172720</v>
      </c>
      <c r="D1052" s="102" t="s">
        <v>1727</v>
      </c>
      <c r="E1052" s="102"/>
    </row>
    <row r="1053" spans="1:5" x14ac:dyDescent="0.15">
      <c r="A1053" s="102" t="s">
        <v>2598</v>
      </c>
      <c r="B1053" s="102" t="s">
        <v>2599</v>
      </c>
      <c r="C1053" s="102">
        <v>245543</v>
      </c>
      <c r="D1053" s="102" t="s">
        <v>2598</v>
      </c>
      <c r="E1053" s="102"/>
    </row>
    <row r="1054" spans="1:5" x14ac:dyDescent="0.15">
      <c r="A1054" s="102" t="s">
        <v>1728</v>
      </c>
      <c r="B1054" s="102" t="s">
        <v>1107</v>
      </c>
      <c r="C1054" s="102">
        <v>166485</v>
      </c>
      <c r="D1054" s="102" t="s">
        <v>1728</v>
      </c>
      <c r="E1054" s="102"/>
    </row>
    <row r="1055" spans="1:5" x14ac:dyDescent="0.15">
      <c r="A1055" s="102" t="s">
        <v>2600</v>
      </c>
      <c r="B1055" s="102" t="s">
        <v>1825</v>
      </c>
      <c r="C1055" s="102">
        <v>178925</v>
      </c>
      <c r="D1055" s="102" t="s">
        <v>2600</v>
      </c>
      <c r="E1055" s="102"/>
    </row>
    <row r="1056" spans="1:5" x14ac:dyDescent="0.15">
      <c r="A1056" s="102" t="s">
        <v>1729</v>
      </c>
      <c r="B1056" s="102" t="s">
        <v>1107</v>
      </c>
      <c r="C1056" s="102">
        <v>166484</v>
      </c>
      <c r="D1056" s="102" t="s">
        <v>1729</v>
      </c>
      <c r="E1056" s="102"/>
    </row>
    <row r="1057" spans="1:5" x14ac:dyDescent="0.15">
      <c r="A1057" s="102" t="s">
        <v>2601</v>
      </c>
      <c r="B1057" s="102" t="s">
        <v>1825</v>
      </c>
      <c r="C1057" s="102">
        <v>165393</v>
      </c>
      <c r="D1057" s="102" t="s">
        <v>2602</v>
      </c>
      <c r="E1057" s="102"/>
    </row>
    <row r="1058" spans="1:5" x14ac:dyDescent="0.15">
      <c r="A1058" s="102" t="s">
        <v>1730</v>
      </c>
      <c r="B1058" s="102" t="s">
        <v>1104</v>
      </c>
      <c r="C1058" s="102">
        <v>172895</v>
      </c>
      <c r="D1058" s="102" t="s">
        <v>1730</v>
      </c>
      <c r="E1058" s="102"/>
    </row>
    <row r="1059" spans="1:5" x14ac:dyDescent="0.15">
      <c r="A1059" s="102" t="s">
        <v>1731</v>
      </c>
      <c r="B1059" s="102" t="s">
        <v>1107</v>
      </c>
      <c r="C1059" s="102">
        <v>166481</v>
      </c>
      <c r="D1059" s="102" t="s">
        <v>1731</v>
      </c>
      <c r="E1059" s="102"/>
    </row>
    <row r="1060" spans="1:5" x14ac:dyDescent="0.15">
      <c r="A1060" s="102" t="s">
        <v>1732</v>
      </c>
      <c r="B1060" s="102" t="s">
        <v>1107</v>
      </c>
      <c r="C1060" s="102">
        <v>166479</v>
      </c>
      <c r="D1060" s="102" t="s">
        <v>1732</v>
      </c>
      <c r="E1060" s="102"/>
    </row>
    <row r="1061" spans="1:5" x14ac:dyDescent="0.15">
      <c r="A1061" s="102" t="s">
        <v>2603</v>
      </c>
      <c r="B1061" s="102" t="s">
        <v>2604</v>
      </c>
      <c r="C1061" s="102">
        <v>225764</v>
      </c>
      <c r="D1061" s="102" t="s">
        <v>2603</v>
      </c>
      <c r="E1061" s="102"/>
    </row>
    <row r="1062" spans="1:5" x14ac:dyDescent="0.15">
      <c r="A1062" s="102" t="s">
        <v>1733</v>
      </c>
      <c r="B1062" s="102" t="s">
        <v>1104</v>
      </c>
      <c r="C1062" s="102">
        <v>173200</v>
      </c>
      <c r="D1062" s="102" t="s">
        <v>1733</v>
      </c>
      <c r="E1062" s="102"/>
    </row>
    <row r="1063" spans="1:5" x14ac:dyDescent="0.15">
      <c r="A1063" s="102" t="s">
        <v>2605</v>
      </c>
      <c r="B1063" s="102" t="s">
        <v>1825</v>
      </c>
      <c r="C1063" s="102">
        <v>158051</v>
      </c>
      <c r="D1063" s="102" t="s">
        <v>2605</v>
      </c>
      <c r="E1063" s="102"/>
    </row>
    <row r="1064" spans="1:5" x14ac:dyDescent="0.15">
      <c r="A1064" s="102" t="s">
        <v>2606</v>
      </c>
      <c r="B1064" s="102" t="s">
        <v>1825</v>
      </c>
      <c r="C1064" s="102">
        <v>180285</v>
      </c>
      <c r="D1064" s="102" t="s">
        <v>2606</v>
      </c>
      <c r="E1064" s="102"/>
    </row>
    <row r="1065" spans="1:5" x14ac:dyDescent="0.15">
      <c r="A1065" s="102" t="s">
        <v>2607</v>
      </c>
      <c r="B1065" s="102" t="s">
        <v>1823</v>
      </c>
      <c r="C1065" s="102">
        <v>120022</v>
      </c>
      <c r="D1065" s="102" t="s">
        <v>2607</v>
      </c>
      <c r="E1065" s="102"/>
    </row>
    <row r="1066" spans="1:5" x14ac:dyDescent="0.15">
      <c r="A1066" s="102" t="s">
        <v>2608</v>
      </c>
      <c r="B1066" s="102" t="s">
        <v>2609</v>
      </c>
      <c r="C1066" s="102">
        <v>243117</v>
      </c>
      <c r="D1066" s="102" t="s">
        <v>2608</v>
      </c>
      <c r="E1066" s="102"/>
    </row>
    <row r="1067" spans="1:5" x14ac:dyDescent="0.15">
      <c r="A1067" s="102" t="s">
        <v>2610</v>
      </c>
      <c r="B1067" s="102" t="s">
        <v>1825</v>
      </c>
      <c r="C1067" s="102">
        <v>160597</v>
      </c>
      <c r="D1067" s="102" t="s">
        <v>2610</v>
      </c>
      <c r="E1067" s="102"/>
    </row>
    <row r="1068" spans="1:5" x14ac:dyDescent="0.15">
      <c r="A1068" s="102" t="s">
        <v>2611</v>
      </c>
      <c r="B1068" s="102" t="s">
        <v>1823</v>
      </c>
      <c r="C1068" s="102">
        <v>155706</v>
      </c>
      <c r="D1068" s="102" t="s">
        <v>2611</v>
      </c>
      <c r="E1068" s="102"/>
    </row>
    <row r="1069" spans="1:5" x14ac:dyDescent="0.15">
      <c r="A1069" s="102" t="s">
        <v>2611</v>
      </c>
      <c r="B1069" s="102" t="s">
        <v>1825</v>
      </c>
      <c r="C1069" s="102">
        <v>158050</v>
      </c>
      <c r="D1069" s="102" t="s">
        <v>2611</v>
      </c>
      <c r="E1069" s="102"/>
    </row>
    <row r="1070" spans="1:5" x14ac:dyDescent="0.15">
      <c r="A1070" s="102" t="s">
        <v>2612</v>
      </c>
      <c r="B1070" s="102" t="s">
        <v>2613</v>
      </c>
      <c r="C1070" s="102">
        <v>216181</v>
      </c>
      <c r="D1070" s="102" t="s">
        <v>2612</v>
      </c>
      <c r="E1070" s="102"/>
    </row>
    <row r="1071" spans="1:5" x14ac:dyDescent="0.15">
      <c r="A1071" s="102" t="s">
        <v>2614</v>
      </c>
      <c r="B1071" s="102" t="s">
        <v>1825</v>
      </c>
      <c r="C1071" s="102">
        <v>160511</v>
      </c>
      <c r="D1071" s="102" t="s">
        <v>2614</v>
      </c>
      <c r="E1071" s="102"/>
    </row>
    <row r="1072" spans="1:5" x14ac:dyDescent="0.15">
      <c r="A1072" s="102" t="s">
        <v>2615</v>
      </c>
      <c r="B1072" s="102" t="s">
        <v>1823</v>
      </c>
      <c r="C1072" s="102">
        <v>155750</v>
      </c>
      <c r="D1072" s="102" t="s">
        <v>2615</v>
      </c>
      <c r="E1072" s="102"/>
    </row>
    <row r="1073" spans="1:5" x14ac:dyDescent="0.15">
      <c r="A1073" s="102" t="s">
        <v>2616</v>
      </c>
      <c r="B1073" s="102" t="s">
        <v>1823</v>
      </c>
      <c r="C1073" s="102">
        <v>110817</v>
      </c>
      <c r="D1073" s="102" t="s">
        <v>2616</v>
      </c>
      <c r="E1073" s="102"/>
    </row>
    <row r="1074" spans="1:5" x14ac:dyDescent="0.15">
      <c r="A1074" s="102" t="s">
        <v>1734</v>
      </c>
      <c r="B1074" s="102" t="s">
        <v>1104</v>
      </c>
      <c r="C1074" s="102">
        <v>193742</v>
      </c>
      <c r="D1074" s="102" t="s">
        <v>1734</v>
      </c>
      <c r="E1074" s="102"/>
    </row>
    <row r="1075" spans="1:5" x14ac:dyDescent="0.15">
      <c r="A1075" s="102" t="s">
        <v>2617</v>
      </c>
      <c r="B1075" s="102" t="s">
        <v>1825</v>
      </c>
      <c r="C1075" s="102">
        <v>193821</v>
      </c>
      <c r="D1075" s="102" t="s">
        <v>2617</v>
      </c>
      <c r="E1075" s="102"/>
    </row>
    <row r="1076" spans="1:5" x14ac:dyDescent="0.15">
      <c r="A1076" s="102" t="s">
        <v>2618</v>
      </c>
      <c r="B1076" s="102" t="s">
        <v>2619</v>
      </c>
      <c r="C1076" s="102">
        <v>243667</v>
      </c>
      <c r="D1076" s="102" t="s">
        <v>2618</v>
      </c>
      <c r="E1076" s="102"/>
    </row>
    <row r="1077" spans="1:5" x14ac:dyDescent="0.15">
      <c r="A1077" s="102" t="s">
        <v>2620</v>
      </c>
      <c r="B1077" s="102" t="s">
        <v>1825</v>
      </c>
      <c r="C1077" s="102">
        <v>177614</v>
      </c>
      <c r="D1077" s="102" t="s">
        <v>2620</v>
      </c>
      <c r="E1077" s="102"/>
    </row>
    <row r="1078" spans="1:5" x14ac:dyDescent="0.15">
      <c r="A1078" s="102" t="s">
        <v>2621</v>
      </c>
      <c r="B1078" s="102" t="s">
        <v>1823</v>
      </c>
      <c r="C1078" s="102">
        <v>112571</v>
      </c>
      <c r="D1078" s="102" t="s">
        <v>2621</v>
      </c>
      <c r="E1078" s="102"/>
    </row>
    <row r="1079" spans="1:5" x14ac:dyDescent="0.15">
      <c r="A1079" s="102" t="s">
        <v>2622</v>
      </c>
      <c r="B1079" s="102" t="s">
        <v>2216</v>
      </c>
      <c r="C1079" s="102">
        <v>247288</v>
      </c>
      <c r="D1079" s="102" t="s">
        <v>2622</v>
      </c>
      <c r="E1079" s="102"/>
    </row>
    <row r="1080" spans="1:5" x14ac:dyDescent="0.15">
      <c r="A1080" s="102" t="s">
        <v>1735</v>
      </c>
      <c r="B1080" s="102" t="s">
        <v>1104</v>
      </c>
      <c r="C1080" s="102">
        <v>193910</v>
      </c>
      <c r="D1080" s="102" t="s">
        <v>1735</v>
      </c>
      <c r="E1080" s="102"/>
    </row>
    <row r="1081" spans="1:5" x14ac:dyDescent="0.15">
      <c r="A1081" s="102" t="s">
        <v>2623</v>
      </c>
      <c r="B1081" s="102" t="s">
        <v>1823</v>
      </c>
      <c r="C1081" s="102">
        <v>121159</v>
      </c>
      <c r="D1081" s="102" t="s">
        <v>2623</v>
      </c>
      <c r="E1081" s="102"/>
    </row>
    <row r="1082" spans="1:5" x14ac:dyDescent="0.15">
      <c r="A1082" s="102" t="s">
        <v>1736</v>
      </c>
      <c r="B1082" s="102" t="s">
        <v>1737</v>
      </c>
      <c r="C1082" s="102">
        <v>243879</v>
      </c>
      <c r="D1082" s="102" t="s">
        <v>1736</v>
      </c>
      <c r="E1082" s="102"/>
    </row>
    <row r="1083" spans="1:5" x14ac:dyDescent="0.15">
      <c r="A1083" s="102" t="s">
        <v>2624</v>
      </c>
      <c r="B1083" s="102" t="s">
        <v>2625</v>
      </c>
      <c r="C1083" s="102">
        <v>247747</v>
      </c>
      <c r="D1083" s="102" t="s">
        <v>2624</v>
      </c>
      <c r="E1083" s="102"/>
    </row>
    <row r="1084" spans="1:5" x14ac:dyDescent="0.15">
      <c r="A1084" s="102" t="s">
        <v>2626</v>
      </c>
      <c r="B1084" s="102" t="s">
        <v>1823</v>
      </c>
      <c r="C1084" s="102">
        <v>110820</v>
      </c>
      <c r="D1084" s="102" t="s">
        <v>2627</v>
      </c>
      <c r="E1084" s="102"/>
    </row>
    <row r="1085" spans="1:5" x14ac:dyDescent="0.15">
      <c r="A1085" s="102" t="s">
        <v>2628</v>
      </c>
      <c r="B1085" s="102" t="s">
        <v>1823</v>
      </c>
      <c r="C1085" s="102">
        <v>110280</v>
      </c>
      <c r="D1085" s="102" t="s">
        <v>2628</v>
      </c>
      <c r="E1085" s="102"/>
    </row>
    <row r="1086" spans="1:5" x14ac:dyDescent="0.15">
      <c r="A1086" s="102" t="s">
        <v>2629</v>
      </c>
      <c r="B1086" s="102" t="s">
        <v>2083</v>
      </c>
      <c r="C1086" s="102">
        <v>230106</v>
      </c>
      <c r="D1086" s="102" t="s">
        <v>2630</v>
      </c>
      <c r="E1086" s="102"/>
    </row>
    <row r="1087" spans="1:5" x14ac:dyDescent="0.15">
      <c r="A1087" s="102" t="s">
        <v>2631</v>
      </c>
      <c r="B1087" s="102" t="s">
        <v>2632</v>
      </c>
      <c r="C1087" s="102">
        <v>233808</v>
      </c>
      <c r="D1087" s="102" t="s">
        <v>2631</v>
      </c>
      <c r="E1087" s="102"/>
    </row>
    <row r="1088" spans="1:5" x14ac:dyDescent="0.15">
      <c r="A1088" s="102" t="s">
        <v>2633</v>
      </c>
      <c r="B1088" s="102" t="s">
        <v>1823</v>
      </c>
      <c r="C1088" s="102">
        <v>155184</v>
      </c>
      <c r="D1088" s="102" t="s">
        <v>2633</v>
      </c>
      <c r="E1088" s="102"/>
    </row>
    <row r="1089" spans="1:5" x14ac:dyDescent="0.15">
      <c r="A1089" s="102" t="s">
        <v>2633</v>
      </c>
      <c r="B1089" s="102" t="s">
        <v>1823</v>
      </c>
      <c r="C1089" s="102">
        <v>155187</v>
      </c>
      <c r="D1089" s="102" t="s">
        <v>2633</v>
      </c>
      <c r="E1089" s="102"/>
    </row>
    <row r="1090" spans="1:5" x14ac:dyDescent="0.15">
      <c r="A1090" s="102" t="s">
        <v>2634</v>
      </c>
      <c r="B1090" s="102" t="s">
        <v>2635</v>
      </c>
      <c r="C1090" s="102">
        <v>228271</v>
      </c>
      <c r="D1090" s="102" t="s">
        <v>2634</v>
      </c>
      <c r="E1090" s="102"/>
    </row>
    <row r="1091" spans="1:5" x14ac:dyDescent="0.15">
      <c r="A1091" s="102" t="s">
        <v>2636</v>
      </c>
      <c r="B1091" s="102" t="s">
        <v>1825</v>
      </c>
      <c r="C1091" s="102">
        <v>202313</v>
      </c>
      <c r="D1091" s="102" t="s">
        <v>2636</v>
      </c>
      <c r="E1091" s="102"/>
    </row>
    <row r="1092" spans="1:5" x14ac:dyDescent="0.15">
      <c r="A1092" s="102" t="s">
        <v>2637</v>
      </c>
      <c r="B1092" s="102" t="s">
        <v>2638</v>
      </c>
      <c r="C1092" s="102">
        <v>214725</v>
      </c>
      <c r="D1092" s="102" t="s">
        <v>2637</v>
      </c>
      <c r="E1092" s="102"/>
    </row>
    <row r="1093" spans="1:5" x14ac:dyDescent="0.15">
      <c r="A1093" s="102" t="s">
        <v>2639</v>
      </c>
      <c r="B1093" s="102" t="s">
        <v>2640</v>
      </c>
      <c r="C1093" s="102">
        <v>246738</v>
      </c>
      <c r="D1093" s="102" t="s">
        <v>2639</v>
      </c>
      <c r="E1093" s="102"/>
    </row>
    <row r="1094" spans="1:5" x14ac:dyDescent="0.15">
      <c r="A1094" s="102" t="s">
        <v>1738</v>
      </c>
      <c r="B1094" s="102" t="s">
        <v>1107</v>
      </c>
      <c r="C1094" s="102">
        <v>166478</v>
      </c>
      <c r="D1094" s="102" t="s">
        <v>1738</v>
      </c>
      <c r="E1094" s="102"/>
    </row>
    <row r="1095" spans="1:5" x14ac:dyDescent="0.15">
      <c r="A1095" s="102" t="s">
        <v>2641</v>
      </c>
      <c r="B1095" s="102" t="s">
        <v>1825</v>
      </c>
      <c r="C1095" s="102">
        <v>162878</v>
      </c>
      <c r="D1095" s="102" t="s">
        <v>2641</v>
      </c>
      <c r="E1095" s="102"/>
    </row>
    <row r="1096" spans="1:5" x14ac:dyDescent="0.15">
      <c r="A1096" s="102" t="s">
        <v>2642</v>
      </c>
      <c r="B1096" s="102" t="s">
        <v>2643</v>
      </c>
      <c r="C1096" s="102">
        <v>218046</v>
      </c>
      <c r="D1096" s="102" t="s">
        <v>2642</v>
      </c>
      <c r="E1096" s="102"/>
    </row>
    <row r="1097" spans="1:5" x14ac:dyDescent="0.15">
      <c r="A1097" s="102" t="s">
        <v>1739</v>
      </c>
      <c r="B1097" s="102" t="s">
        <v>1107</v>
      </c>
      <c r="C1097" s="102">
        <v>166475</v>
      </c>
      <c r="D1097" s="102" t="s">
        <v>1739</v>
      </c>
      <c r="E1097" s="102"/>
    </row>
    <row r="1098" spans="1:5" x14ac:dyDescent="0.15">
      <c r="A1098" s="102" t="s">
        <v>2644</v>
      </c>
      <c r="B1098" s="102" t="s">
        <v>1825</v>
      </c>
      <c r="C1098" s="102">
        <v>162912</v>
      </c>
      <c r="D1098" s="102" t="s">
        <v>2644</v>
      </c>
      <c r="E1098" s="102"/>
    </row>
    <row r="1099" spans="1:5" x14ac:dyDescent="0.15">
      <c r="A1099" s="102" t="s">
        <v>2645</v>
      </c>
      <c r="B1099" s="102" t="s">
        <v>1825</v>
      </c>
      <c r="C1099" s="102">
        <v>162921</v>
      </c>
      <c r="D1099" s="102" t="s">
        <v>2645</v>
      </c>
      <c r="E1099" s="102"/>
    </row>
    <row r="1100" spans="1:5" x14ac:dyDescent="0.15">
      <c r="A1100" s="102" t="s">
        <v>2646</v>
      </c>
      <c r="B1100" s="102" t="s">
        <v>2647</v>
      </c>
      <c r="C1100" s="102">
        <v>228043</v>
      </c>
      <c r="D1100" s="102" t="s">
        <v>2646</v>
      </c>
      <c r="E1100" s="102"/>
    </row>
    <row r="1101" spans="1:5" x14ac:dyDescent="0.15">
      <c r="A1101" s="102" t="s">
        <v>2648</v>
      </c>
      <c r="B1101" s="102" t="s">
        <v>1825</v>
      </c>
      <c r="C1101" s="102">
        <v>160574</v>
      </c>
      <c r="D1101" s="102" t="s">
        <v>2648</v>
      </c>
      <c r="E1101" s="102"/>
    </row>
    <row r="1102" spans="1:5" x14ac:dyDescent="0.15">
      <c r="A1102" s="102" t="s">
        <v>2648</v>
      </c>
      <c r="B1102" s="102" t="s">
        <v>1825</v>
      </c>
      <c r="C1102" s="102">
        <v>160604</v>
      </c>
      <c r="D1102" s="102" t="s">
        <v>2648</v>
      </c>
      <c r="E1102" s="102"/>
    </row>
    <row r="1103" spans="1:5" x14ac:dyDescent="0.15">
      <c r="A1103" s="102" t="s">
        <v>2649</v>
      </c>
      <c r="B1103" s="102" t="s">
        <v>1928</v>
      </c>
      <c r="C1103" s="102">
        <v>165386</v>
      </c>
      <c r="D1103" s="102" t="s">
        <v>2649</v>
      </c>
      <c r="E1103" s="102"/>
    </row>
    <row r="1104" spans="1:5" x14ac:dyDescent="0.15">
      <c r="A1104" s="102" t="s">
        <v>1740</v>
      </c>
      <c r="B1104" s="102" t="s">
        <v>1107</v>
      </c>
      <c r="C1104" s="102">
        <v>166470</v>
      </c>
      <c r="D1104" s="102" t="s">
        <v>1740</v>
      </c>
      <c r="E1104" s="102"/>
    </row>
    <row r="1105" spans="1:5" x14ac:dyDescent="0.15">
      <c r="A1105" s="102" t="s">
        <v>1741</v>
      </c>
      <c r="B1105" s="102" t="s">
        <v>1107</v>
      </c>
      <c r="C1105" s="102">
        <v>166473</v>
      </c>
      <c r="D1105" s="102" t="s">
        <v>1741</v>
      </c>
      <c r="E1105" s="102"/>
    </row>
    <row r="1106" spans="1:5" x14ac:dyDescent="0.15">
      <c r="A1106" s="102" t="s">
        <v>1742</v>
      </c>
      <c r="B1106" s="102" t="s">
        <v>1107</v>
      </c>
      <c r="C1106" s="102">
        <v>166471</v>
      </c>
      <c r="D1106" s="102" t="s">
        <v>1742</v>
      </c>
      <c r="E1106" s="102"/>
    </row>
    <row r="1107" spans="1:5" x14ac:dyDescent="0.15">
      <c r="A1107" s="102" t="s">
        <v>2650</v>
      </c>
      <c r="B1107" s="102" t="s">
        <v>1825</v>
      </c>
      <c r="C1107" s="102">
        <v>160690</v>
      </c>
      <c r="D1107" s="102" t="s">
        <v>2650</v>
      </c>
      <c r="E1107" s="102"/>
    </row>
    <row r="1108" spans="1:5" x14ac:dyDescent="0.15">
      <c r="A1108" s="102" t="s">
        <v>2651</v>
      </c>
      <c r="B1108" s="102" t="s">
        <v>1825</v>
      </c>
      <c r="C1108" s="102">
        <v>201860</v>
      </c>
      <c r="D1108" s="102" t="s">
        <v>2651</v>
      </c>
      <c r="E1108" s="102"/>
    </row>
    <row r="1109" spans="1:5" x14ac:dyDescent="0.15">
      <c r="A1109" s="102" t="s">
        <v>1743</v>
      </c>
      <c r="B1109" s="102" t="s">
        <v>1104</v>
      </c>
      <c r="C1109" s="102">
        <v>172654</v>
      </c>
      <c r="D1109" s="102" t="s">
        <v>1743</v>
      </c>
      <c r="E1109" s="102"/>
    </row>
    <row r="1110" spans="1:5" x14ac:dyDescent="0.15">
      <c r="A1110" s="102" t="s">
        <v>2652</v>
      </c>
      <c r="B1110" s="102" t="s">
        <v>1825</v>
      </c>
      <c r="C1110" s="102">
        <v>160586</v>
      </c>
      <c r="D1110" s="102" t="s">
        <v>2652</v>
      </c>
      <c r="E1110" s="102"/>
    </row>
    <row r="1111" spans="1:5" x14ac:dyDescent="0.15">
      <c r="A1111" s="102" t="s">
        <v>2653</v>
      </c>
      <c r="B1111" s="102" t="s">
        <v>2654</v>
      </c>
      <c r="C1111" s="102">
        <v>217121</v>
      </c>
      <c r="D1111" s="102" t="s">
        <v>2653</v>
      </c>
      <c r="E1111" s="102"/>
    </row>
    <row r="1112" spans="1:5" x14ac:dyDescent="0.15">
      <c r="A1112" s="102" t="s">
        <v>2655</v>
      </c>
      <c r="B1112" s="102" t="s">
        <v>1825</v>
      </c>
      <c r="C1112" s="102">
        <v>172878</v>
      </c>
      <c r="D1112" s="102" t="s">
        <v>2655</v>
      </c>
      <c r="E1112" s="102"/>
    </row>
    <row r="1113" spans="1:5" x14ac:dyDescent="0.15">
      <c r="A1113" s="102" t="s">
        <v>2656</v>
      </c>
      <c r="B1113" s="102" t="s">
        <v>2657</v>
      </c>
      <c r="C1113" s="102">
        <v>215411</v>
      </c>
      <c r="D1113" s="102" t="s">
        <v>2656</v>
      </c>
      <c r="E1113" s="102"/>
    </row>
    <row r="1114" spans="1:5" x14ac:dyDescent="0.15">
      <c r="A1114" s="102" t="s">
        <v>2658</v>
      </c>
      <c r="B1114" s="102" t="s">
        <v>1825</v>
      </c>
      <c r="C1114" s="102">
        <v>182797</v>
      </c>
      <c r="D1114" s="102" t="s">
        <v>2658</v>
      </c>
      <c r="E1114" s="102"/>
    </row>
    <row r="1115" spans="1:5" x14ac:dyDescent="0.15">
      <c r="A1115" s="102" t="s">
        <v>1744</v>
      </c>
      <c r="B1115" s="102" t="s">
        <v>1745</v>
      </c>
      <c r="C1115" s="102">
        <v>243755</v>
      </c>
      <c r="D1115" s="102" t="s">
        <v>1744</v>
      </c>
      <c r="E1115" s="102"/>
    </row>
    <row r="1116" spans="1:5" x14ac:dyDescent="0.15">
      <c r="A1116" s="102" t="s">
        <v>2659</v>
      </c>
      <c r="B1116" s="102" t="s">
        <v>1823</v>
      </c>
      <c r="C1116" s="102">
        <v>101074</v>
      </c>
      <c r="D1116" s="102" t="s">
        <v>2659</v>
      </c>
      <c r="E1116" s="102"/>
    </row>
    <row r="1117" spans="1:5" x14ac:dyDescent="0.15">
      <c r="A1117" s="102" t="s">
        <v>2659</v>
      </c>
      <c r="B1117" s="102" t="s">
        <v>1823</v>
      </c>
      <c r="C1117" s="102">
        <v>119844</v>
      </c>
      <c r="D1117" s="102" t="s">
        <v>2659</v>
      </c>
      <c r="E1117" s="102"/>
    </row>
    <row r="1118" spans="1:5" x14ac:dyDescent="0.15">
      <c r="A1118" s="102" t="s">
        <v>2660</v>
      </c>
      <c r="B1118" s="102" t="s">
        <v>1825</v>
      </c>
      <c r="C1118" s="102">
        <v>158055</v>
      </c>
      <c r="D1118" s="102" t="s">
        <v>2660</v>
      </c>
      <c r="E1118" s="102"/>
    </row>
    <row r="1119" spans="1:5" x14ac:dyDescent="0.15">
      <c r="A1119" s="102" t="s">
        <v>2661</v>
      </c>
      <c r="B1119" s="102" t="s">
        <v>1823</v>
      </c>
      <c r="C1119" s="102">
        <v>98697</v>
      </c>
      <c r="D1119" s="102" t="s">
        <v>2661</v>
      </c>
      <c r="E1119" s="102"/>
    </row>
    <row r="1120" spans="1:5" x14ac:dyDescent="0.15">
      <c r="A1120" s="102" t="s">
        <v>2662</v>
      </c>
      <c r="B1120" s="102" t="s">
        <v>1825</v>
      </c>
      <c r="C1120" s="102">
        <v>200375</v>
      </c>
      <c r="D1120" s="102" t="s">
        <v>2662</v>
      </c>
      <c r="E1120" s="102"/>
    </row>
    <row r="1121" spans="1:5" x14ac:dyDescent="0.15">
      <c r="A1121" s="102" t="s">
        <v>2663</v>
      </c>
      <c r="B1121" s="102" t="s">
        <v>2664</v>
      </c>
      <c r="C1121" s="102">
        <v>218407</v>
      </c>
      <c r="D1121" s="102" t="s">
        <v>2663</v>
      </c>
      <c r="E1121" s="102"/>
    </row>
    <row r="1122" spans="1:5" x14ac:dyDescent="0.15">
      <c r="A1122" s="102" t="s">
        <v>2665</v>
      </c>
      <c r="B1122" s="102" t="s">
        <v>2666</v>
      </c>
      <c r="C1122" s="102">
        <v>232351</v>
      </c>
      <c r="D1122" s="102" t="s">
        <v>2665</v>
      </c>
      <c r="E1122" s="102"/>
    </row>
    <row r="1123" spans="1:5" x14ac:dyDescent="0.15">
      <c r="A1123" s="102" t="s">
        <v>1746</v>
      </c>
      <c r="B1123" s="102" t="s">
        <v>1747</v>
      </c>
      <c r="C1123" s="102">
        <v>248323</v>
      </c>
      <c r="D1123" s="102" t="s">
        <v>1746</v>
      </c>
      <c r="E1123" s="102"/>
    </row>
    <row r="1124" spans="1:5" x14ac:dyDescent="0.15">
      <c r="A1124" s="102" t="s">
        <v>2667</v>
      </c>
      <c r="B1124" s="102" t="s">
        <v>1823</v>
      </c>
      <c r="C1124" s="102">
        <v>119804</v>
      </c>
      <c r="D1124" s="102" t="s">
        <v>2667</v>
      </c>
      <c r="E1124" s="102"/>
    </row>
    <row r="1125" spans="1:5" x14ac:dyDescent="0.15">
      <c r="A1125" s="102" t="s">
        <v>2668</v>
      </c>
      <c r="B1125" s="102" t="s">
        <v>1825</v>
      </c>
      <c r="C1125" s="102">
        <v>172755</v>
      </c>
      <c r="D1125" s="102" t="s">
        <v>2668</v>
      </c>
      <c r="E1125" s="102"/>
    </row>
    <row r="1126" spans="1:5" x14ac:dyDescent="0.15">
      <c r="A1126" s="102" t="s">
        <v>2669</v>
      </c>
      <c r="B1126" s="102" t="s">
        <v>1823</v>
      </c>
      <c r="C1126" s="102">
        <v>120940</v>
      </c>
      <c r="D1126" s="102" t="s">
        <v>2669</v>
      </c>
      <c r="E1126" s="102"/>
    </row>
    <row r="1127" spans="1:5" x14ac:dyDescent="0.15">
      <c r="A1127" s="102" t="s">
        <v>1748</v>
      </c>
      <c r="B1127" s="102" t="s">
        <v>1107</v>
      </c>
      <c r="C1127" s="102">
        <v>166468</v>
      </c>
      <c r="D1127" s="102" t="s">
        <v>1748</v>
      </c>
      <c r="E1127" s="102"/>
    </row>
    <row r="1128" spans="1:5" x14ac:dyDescent="0.15">
      <c r="A1128" s="102" t="s">
        <v>2670</v>
      </c>
      <c r="B1128" s="102" t="s">
        <v>1825</v>
      </c>
      <c r="C1128" s="102">
        <v>165404</v>
      </c>
      <c r="D1128" s="102" t="s">
        <v>2670</v>
      </c>
      <c r="E1128" s="102"/>
    </row>
    <row r="1129" spans="1:5" x14ac:dyDescent="0.15">
      <c r="A1129" s="102" t="s">
        <v>1749</v>
      </c>
      <c r="B1129" s="102" t="s">
        <v>1104</v>
      </c>
      <c r="C1129" s="102">
        <v>172896</v>
      </c>
      <c r="D1129" s="102" t="s">
        <v>1750</v>
      </c>
      <c r="E1129" s="102"/>
    </row>
    <row r="1130" spans="1:5" x14ac:dyDescent="0.15">
      <c r="A1130" s="102" t="s">
        <v>1751</v>
      </c>
      <c r="B1130" s="102" t="s">
        <v>1104</v>
      </c>
      <c r="C1130" s="102">
        <v>172596</v>
      </c>
      <c r="D1130" s="102" t="s">
        <v>1752</v>
      </c>
      <c r="E1130" s="102"/>
    </row>
    <row r="1131" spans="1:5" x14ac:dyDescent="0.15">
      <c r="A1131" s="102" t="s">
        <v>1753</v>
      </c>
      <c r="B1131" s="102" t="s">
        <v>1104</v>
      </c>
      <c r="C1131" s="102">
        <v>172893</v>
      </c>
      <c r="D1131" s="102" t="s">
        <v>1753</v>
      </c>
      <c r="E1131" s="102"/>
    </row>
    <row r="1132" spans="1:5" x14ac:dyDescent="0.15">
      <c r="A1132" s="102" t="s">
        <v>1754</v>
      </c>
      <c r="B1132" s="102" t="s">
        <v>1107</v>
      </c>
      <c r="C1132" s="102">
        <v>166467</v>
      </c>
      <c r="D1132" s="102" t="s">
        <v>1754</v>
      </c>
      <c r="E1132" s="102"/>
    </row>
    <row r="1133" spans="1:5" x14ac:dyDescent="0.15">
      <c r="A1133" s="102" t="s">
        <v>2671</v>
      </c>
      <c r="B1133" s="102" t="s">
        <v>2672</v>
      </c>
      <c r="C1133" s="102">
        <v>247323</v>
      </c>
      <c r="D1133" s="102" t="s">
        <v>2671</v>
      </c>
      <c r="E1133" s="102"/>
    </row>
    <row r="1134" spans="1:5" x14ac:dyDescent="0.15">
      <c r="A1134" s="102" t="s">
        <v>1755</v>
      </c>
      <c r="B1134" s="102" t="s">
        <v>1107</v>
      </c>
      <c r="C1134" s="102">
        <v>166466</v>
      </c>
      <c r="D1134" s="102" t="s">
        <v>1755</v>
      </c>
      <c r="E1134" s="102"/>
    </row>
    <row r="1135" spans="1:5" x14ac:dyDescent="0.15">
      <c r="A1135" s="102" t="s">
        <v>2673</v>
      </c>
      <c r="B1135" s="102" t="s">
        <v>1855</v>
      </c>
      <c r="C1135" s="102">
        <v>247731</v>
      </c>
      <c r="D1135" s="102" t="s">
        <v>2673</v>
      </c>
      <c r="E1135" s="102"/>
    </row>
    <row r="1136" spans="1:5" x14ac:dyDescent="0.15">
      <c r="A1136" s="102" t="s">
        <v>1756</v>
      </c>
      <c r="B1136" s="102" t="s">
        <v>1104</v>
      </c>
      <c r="C1136" s="102">
        <v>172901</v>
      </c>
      <c r="D1136" s="102" t="s">
        <v>1756</v>
      </c>
      <c r="E1136" s="102"/>
    </row>
    <row r="1137" spans="1:5" x14ac:dyDescent="0.15">
      <c r="A1137" s="102" t="s">
        <v>2674</v>
      </c>
      <c r="B1137" s="102" t="s">
        <v>2675</v>
      </c>
      <c r="C1137" s="102">
        <v>213268</v>
      </c>
      <c r="D1137" s="102" t="s">
        <v>2674</v>
      </c>
      <c r="E1137" s="102"/>
    </row>
    <row r="1138" spans="1:5" x14ac:dyDescent="0.15">
      <c r="A1138" s="102" t="s">
        <v>1757</v>
      </c>
      <c r="B1138" s="102" t="s">
        <v>1107</v>
      </c>
      <c r="C1138" s="102">
        <v>166465</v>
      </c>
      <c r="D1138" s="102" t="s">
        <v>1757</v>
      </c>
      <c r="E1138" s="102"/>
    </row>
    <row r="1139" spans="1:5" x14ac:dyDescent="0.15">
      <c r="A1139" s="102" t="s">
        <v>2676</v>
      </c>
      <c r="B1139" s="102" t="s">
        <v>1823</v>
      </c>
      <c r="C1139" s="102">
        <v>155704</v>
      </c>
      <c r="D1139" s="102" t="s">
        <v>2676</v>
      </c>
      <c r="E1139" s="102"/>
    </row>
    <row r="1140" spans="1:5" x14ac:dyDescent="0.15">
      <c r="A1140" s="102" t="s">
        <v>1758</v>
      </c>
      <c r="B1140" s="102" t="s">
        <v>1759</v>
      </c>
      <c r="C1140" s="102">
        <v>243127</v>
      </c>
      <c r="D1140" s="102" t="s">
        <v>1758</v>
      </c>
      <c r="E1140" s="102"/>
    </row>
    <row r="1141" spans="1:5" x14ac:dyDescent="0.15">
      <c r="A1141" s="102" t="s">
        <v>1758</v>
      </c>
      <c r="B1141" s="102" t="s">
        <v>2677</v>
      </c>
      <c r="C1141" s="102">
        <v>243128</v>
      </c>
      <c r="D1141" s="102" t="s">
        <v>1758</v>
      </c>
      <c r="E1141" s="102"/>
    </row>
    <row r="1142" spans="1:5" x14ac:dyDescent="0.15">
      <c r="A1142" s="102" t="s">
        <v>2678</v>
      </c>
      <c r="B1142" s="102" t="s">
        <v>1825</v>
      </c>
      <c r="C1142" s="102">
        <v>160689</v>
      </c>
      <c r="D1142" s="102" t="s">
        <v>2678</v>
      </c>
      <c r="E1142" s="102"/>
    </row>
    <row r="1143" spans="1:5" x14ac:dyDescent="0.15">
      <c r="A1143" s="102" t="s">
        <v>2679</v>
      </c>
      <c r="B1143" s="102" t="s">
        <v>1825</v>
      </c>
      <c r="C1143" s="102">
        <v>162917</v>
      </c>
      <c r="D1143" s="102" t="s">
        <v>2679</v>
      </c>
      <c r="E1143" s="102"/>
    </row>
    <row r="1144" spans="1:5" x14ac:dyDescent="0.15">
      <c r="A1144" s="102" t="s">
        <v>1760</v>
      </c>
      <c r="B1144" s="102" t="s">
        <v>1122</v>
      </c>
      <c r="C1144" s="102">
        <v>234630</v>
      </c>
      <c r="D1144" s="102" t="s">
        <v>1760</v>
      </c>
      <c r="E1144" s="102"/>
    </row>
    <row r="1145" spans="1:5" x14ac:dyDescent="0.15">
      <c r="A1145" s="102" t="s">
        <v>1761</v>
      </c>
      <c r="B1145" s="102" t="s">
        <v>1107</v>
      </c>
      <c r="C1145" s="102">
        <v>166464</v>
      </c>
      <c r="D1145" s="102" t="s">
        <v>1761</v>
      </c>
      <c r="E1145" s="102"/>
    </row>
    <row r="1146" spans="1:5" x14ac:dyDescent="0.15">
      <c r="A1146" s="102" t="s">
        <v>1762</v>
      </c>
      <c r="B1146" s="102" t="s">
        <v>1104</v>
      </c>
      <c r="C1146" s="102">
        <v>172735</v>
      </c>
      <c r="D1146" s="102" t="s">
        <v>1762</v>
      </c>
      <c r="E1146" s="102"/>
    </row>
    <row r="1147" spans="1:5" x14ac:dyDescent="0.15">
      <c r="A1147" s="102" t="s">
        <v>1763</v>
      </c>
      <c r="B1147" s="102" t="s">
        <v>1113</v>
      </c>
      <c r="C1147" s="102">
        <v>166446</v>
      </c>
      <c r="D1147" s="102" t="s">
        <v>1763</v>
      </c>
      <c r="E1147" s="102"/>
    </row>
    <row r="1148" spans="1:5" x14ac:dyDescent="0.15">
      <c r="A1148" s="102" t="s">
        <v>2680</v>
      </c>
      <c r="B1148" s="102" t="s">
        <v>2681</v>
      </c>
      <c r="C1148" s="102">
        <v>247582</v>
      </c>
      <c r="D1148" s="102" t="s">
        <v>2680</v>
      </c>
      <c r="E1148" s="102"/>
    </row>
    <row r="1149" spans="1:5" x14ac:dyDescent="0.15">
      <c r="A1149" s="102" t="s">
        <v>2682</v>
      </c>
      <c r="B1149" s="102" t="s">
        <v>1823</v>
      </c>
      <c r="C1149" s="102">
        <v>97933</v>
      </c>
      <c r="D1149" s="102" t="s">
        <v>2682</v>
      </c>
      <c r="E1149" s="102"/>
    </row>
    <row r="1150" spans="1:5" x14ac:dyDescent="0.15">
      <c r="A1150" s="102" t="s">
        <v>2683</v>
      </c>
      <c r="B1150" s="102" t="s">
        <v>2684</v>
      </c>
      <c r="C1150" s="102">
        <v>228144</v>
      </c>
      <c r="D1150" s="102" t="s">
        <v>2683</v>
      </c>
      <c r="E1150" s="102"/>
    </row>
    <row r="1151" spans="1:5" x14ac:dyDescent="0.15">
      <c r="A1151" s="102" t="s">
        <v>2685</v>
      </c>
      <c r="B1151" s="102" t="s">
        <v>1825</v>
      </c>
      <c r="C1151" s="102">
        <v>165395</v>
      </c>
      <c r="D1151" s="102" t="s">
        <v>2686</v>
      </c>
      <c r="E1151" s="102"/>
    </row>
    <row r="1152" spans="1:5" x14ac:dyDescent="0.15">
      <c r="A1152" s="102" t="s">
        <v>2687</v>
      </c>
      <c r="B1152" s="102" t="s">
        <v>1928</v>
      </c>
      <c r="C1152" s="102">
        <v>178920</v>
      </c>
      <c r="D1152" s="102" t="s">
        <v>2687</v>
      </c>
      <c r="E1152" s="102"/>
    </row>
    <row r="1153" spans="1:5" x14ac:dyDescent="0.15">
      <c r="A1153" s="102" t="s">
        <v>2688</v>
      </c>
      <c r="B1153" s="102" t="s">
        <v>2689</v>
      </c>
      <c r="C1153" s="102">
        <v>225768</v>
      </c>
      <c r="D1153" s="102" t="s">
        <v>2688</v>
      </c>
      <c r="E1153" s="102"/>
    </row>
    <row r="1154" spans="1:5" x14ac:dyDescent="0.15">
      <c r="A1154" s="102" t="s">
        <v>2690</v>
      </c>
      <c r="B1154" s="102" t="s">
        <v>2691</v>
      </c>
      <c r="C1154" s="102">
        <v>248369</v>
      </c>
      <c r="D1154" s="102" t="s">
        <v>2690</v>
      </c>
      <c r="E1154" s="102"/>
    </row>
    <row r="1155" spans="1:5" x14ac:dyDescent="0.15">
      <c r="A1155" s="102" t="s">
        <v>2692</v>
      </c>
      <c r="B1155" s="102" t="s">
        <v>1823</v>
      </c>
      <c r="C1155" s="102">
        <v>110462</v>
      </c>
      <c r="D1155" s="102" t="s">
        <v>2692</v>
      </c>
      <c r="E1155" s="102"/>
    </row>
    <row r="1156" spans="1:5" x14ac:dyDescent="0.15">
      <c r="A1156" s="102" t="s">
        <v>2693</v>
      </c>
      <c r="B1156" s="102" t="s">
        <v>1825</v>
      </c>
      <c r="C1156" s="102">
        <v>165394</v>
      </c>
      <c r="D1156" s="102" t="s">
        <v>2693</v>
      </c>
      <c r="E1156" s="102"/>
    </row>
    <row r="1157" spans="1:5" x14ac:dyDescent="0.15">
      <c r="A1157" s="102" t="s">
        <v>2694</v>
      </c>
      <c r="B1157" s="102" t="s">
        <v>1823</v>
      </c>
      <c r="C1157" s="102">
        <v>121191</v>
      </c>
      <c r="D1157" s="102" t="s">
        <v>2694</v>
      </c>
      <c r="E1157" s="102"/>
    </row>
    <row r="1158" spans="1:5" x14ac:dyDescent="0.15">
      <c r="A1158" s="102" t="s">
        <v>2695</v>
      </c>
      <c r="B1158" s="102" t="s">
        <v>2696</v>
      </c>
      <c r="C1158" s="102">
        <v>218396</v>
      </c>
      <c r="D1158" s="102" t="s">
        <v>2695</v>
      </c>
      <c r="E1158" s="102"/>
    </row>
    <row r="1159" spans="1:5" x14ac:dyDescent="0.15">
      <c r="A1159" s="102" t="s">
        <v>2697</v>
      </c>
      <c r="B1159" s="102" t="s">
        <v>2698</v>
      </c>
      <c r="C1159" s="102">
        <v>218402</v>
      </c>
      <c r="D1159" s="102" t="s">
        <v>2697</v>
      </c>
      <c r="E1159" s="102"/>
    </row>
    <row r="1160" spans="1:5" x14ac:dyDescent="0.15">
      <c r="A1160" s="102" t="s">
        <v>1764</v>
      </c>
      <c r="B1160" s="102" t="s">
        <v>1107</v>
      </c>
      <c r="C1160" s="102">
        <v>166462</v>
      </c>
      <c r="D1160" s="102" t="s">
        <v>1764</v>
      </c>
      <c r="E1160" s="102"/>
    </row>
    <row r="1161" spans="1:5" x14ac:dyDescent="0.15">
      <c r="A1161" s="102" t="s">
        <v>1765</v>
      </c>
      <c r="B1161" s="102" t="s">
        <v>1107</v>
      </c>
      <c r="C1161" s="102">
        <v>166460</v>
      </c>
      <c r="D1161" s="102" t="s">
        <v>1766</v>
      </c>
      <c r="E1161" s="102"/>
    </row>
    <row r="1162" spans="1:5" x14ac:dyDescent="0.15">
      <c r="A1162" s="102" t="s">
        <v>1767</v>
      </c>
      <c r="B1162" s="102" t="s">
        <v>1104</v>
      </c>
      <c r="C1162" s="102">
        <v>172676</v>
      </c>
      <c r="D1162" s="102" t="s">
        <v>1768</v>
      </c>
      <c r="E1162" s="102"/>
    </row>
    <row r="1163" spans="1:5" x14ac:dyDescent="0.15">
      <c r="A1163" s="102" t="s">
        <v>2699</v>
      </c>
      <c r="B1163" s="102" t="s">
        <v>1823</v>
      </c>
      <c r="C1163" s="102">
        <v>110755</v>
      </c>
      <c r="D1163" s="102" t="s">
        <v>2699</v>
      </c>
      <c r="E1163" s="102"/>
    </row>
    <row r="1164" spans="1:5" x14ac:dyDescent="0.15">
      <c r="A1164" s="102" t="s">
        <v>2700</v>
      </c>
      <c r="B1164" s="102" t="s">
        <v>1823</v>
      </c>
      <c r="C1164" s="102">
        <v>111855</v>
      </c>
      <c r="D1164" s="102" t="s">
        <v>2700</v>
      </c>
      <c r="E1164" s="102"/>
    </row>
    <row r="1165" spans="1:5" x14ac:dyDescent="0.15">
      <c r="A1165" s="102" t="s">
        <v>2701</v>
      </c>
      <c r="B1165" s="102" t="s">
        <v>2702</v>
      </c>
      <c r="C1165" s="102">
        <v>230068</v>
      </c>
      <c r="D1165" s="102" t="s">
        <v>2701</v>
      </c>
      <c r="E1165" s="102"/>
    </row>
    <row r="1166" spans="1:5" x14ac:dyDescent="0.15">
      <c r="A1166" s="102" t="s">
        <v>2703</v>
      </c>
      <c r="B1166" s="102" t="s">
        <v>2704</v>
      </c>
      <c r="C1166" s="102">
        <v>230118</v>
      </c>
      <c r="D1166" s="102" t="s">
        <v>2703</v>
      </c>
      <c r="E1166" s="102"/>
    </row>
    <row r="1167" spans="1:5" x14ac:dyDescent="0.15">
      <c r="A1167" s="102" t="s">
        <v>1769</v>
      </c>
      <c r="B1167" s="102" t="s">
        <v>1104</v>
      </c>
      <c r="C1167" s="102">
        <v>172657</v>
      </c>
      <c r="D1167" s="102" t="s">
        <v>1769</v>
      </c>
      <c r="E1167" s="102"/>
    </row>
    <row r="1168" spans="1:5" x14ac:dyDescent="0.15">
      <c r="A1168" s="102" t="s">
        <v>1770</v>
      </c>
      <c r="B1168" s="102" t="s">
        <v>1107</v>
      </c>
      <c r="C1168" s="102">
        <v>166459</v>
      </c>
      <c r="D1168" s="102" t="s">
        <v>1770</v>
      </c>
      <c r="E1168" s="102"/>
    </row>
    <row r="1169" spans="1:5" x14ac:dyDescent="0.15">
      <c r="A1169" s="102" t="s">
        <v>1771</v>
      </c>
      <c r="B1169" s="102" t="s">
        <v>1107</v>
      </c>
      <c r="C1169" s="102">
        <v>166458</v>
      </c>
      <c r="D1169" s="102" t="s">
        <v>1772</v>
      </c>
      <c r="E1169" s="102"/>
    </row>
    <row r="1170" spans="1:5" x14ac:dyDescent="0.15">
      <c r="A1170" s="102" t="s">
        <v>1773</v>
      </c>
      <c r="B1170" s="102" t="s">
        <v>1774</v>
      </c>
      <c r="C1170" s="102">
        <v>247051</v>
      </c>
      <c r="D1170" s="102" t="s">
        <v>1773</v>
      </c>
      <c r="E1170" s="102"/>
    </row>
    <row r="1171" spans="1:5" x14ac:dyDescent="0.15">
      <c r="A1171" s="102" t="s">
        <v>2705</v>
      </c>
      <c r="B1171" s="102" t="s">
        <v>1825</v>
      </c>
      <c r="C1171" s="102">
        <v>158056</v>
      </c>
      <c r="D1171" s="102" t="s">
        <v>2705</v>
      </c>
      <c r="E1171" s="102"/>
    </row>
    <row r="1172" spans="1:5" x14ac:dyDescent="0.15">
      <c r="A1172" s="102" t="s">
        <v>1775</v>
      </c>
      <c r="B1172" s="102" t="s">
        <v>1107</v>
      </c>
      <c r="C1172" s="102">
        <v>166454</v>
      </c>
      <c r="D1172" s="102" t="s">
        <v>1775</v>
      </c>
      <c r="E1172" s="102"/>
    </row>
    <row r="1173" spans="1:5" x14ac:dyDescent="0.15">
      <c r="A1173" s="102" t="s">
        <v>2706</v>
      </c>
      <c r="B1173" s="102" t="s">
        <v>1823</v>
      </c>
      <c r="C1173" s="102">
        <v>121317</v>
      </c>
      <c r="D1173" s="102" t="s">
        <v>2706</v>
      </c>
      <c r="E1173" s="102"/>
    </row>
    <row r="1174" spans="1:5" x14ac:dyDescent="0.15">
      <c r="A1174" s="102" t="s">
        <v>2707</v>
      </c>
      <c r="B1174" s="102" t="s">
        <v>1825</v>
      </c>
      <c r="C1174" s="102">
        <v>204509</v>
      </c>
      <c r="D1174" s="102" t="s">
        <v>2707</v>
      </c>
      <c r="E1174" s="102"/>
    </row>
    <row r="1175" spans="1:5" x14ac:dyDescent="0.15">
      <c r="A1175" s="102" t="s">
        <v>2708</v>
      </c>
      <c r="B1175" s="102" t="s">
        <v>1823</v>
      </c>
      <c r="C1175" s="102">
        <v>110966</v>
      </c>
      <c r="D1175" s="102" t="s">
        <v>2708</v>
      </c>
      <c r="E1175" s="102"/>
    </row>
    <row r="1176" spans="1:5" x14ac:dyDescent="0.15">
      <c r="A1176" s="102" t="s">
        <v>2709</v>
      </c>
      <c r="B1176" s="102" t="s">
        <v>1825</v>
      </c>
      <c r="C1176" s="102">
        <v>162863</v>
      </c>
      <c r="D1176" s="102" t="s">
        <v>2709</v>
      </c>
      <c r="E1176" s="102"/>
    </row>
    <row r="1177" spans="1:5" x14ac:dyDescent="0.15">
      <c r="A1177" s="102" t="s">
        <v>2710</v>
      </c>
      <c r="B1177" s="102" t="s">
        <v>2711</v>
      </c>
      <c r="C1177" s="102">
        <v>243666</v>
      </c>
      <c r="D1177" s="102" t="s">
        <v>2710</v>
      </c>
      <c r="E1177" s="102"/>
    </row>
    <row r="1178" spans="1:5" x14ac:dyDescent="0.15">
      <c r="A1178" s="102" t="s">
        <v>1776</v>
      </c>
      <c r="B1178" s="102" t="s">
        <v>1107</v>
      </c>
      <c r="C1178" s="102">
        <v>166452</v>
      </c>
      <c r="D1178" s="102" t="s">
        <v>1777</v>
      </c>
      <c r="E1178" s="102"/>
    </row>
    <row r="1179" spans="1:5" x14ac:dyDescent="0.15">
      <c r="A1179" s="102" t="s">
        <v>1778</v>
      </c>
      <c r="B1179" s="102" t="s">
        <v>1113</v>
      </c>
      <c r="C1179" s="102">
        <v>166451</v>
      </c>
      <c r="D1179" s="102" t="s">
        <v>1778</v>
      </c>
      <c r="E1179" s="102"/>
    </row>
    <row r="1180" spans="1:5" x14ac:dyDescent="0.15">
      <c r="A1180" s="102" t="s">
        <v>1779</v>
      </c>
      <c r="B1180" s="102" t="s">
        <v>1113</v>
      </c>
      <c r="C1180" s="102">
        <v>166450</v>
      </c>
      <c r="D1180" s="102" t="s">
        <v>1779</v>
      </c>
      <c r="E1180" s="102"/>
    </row>
    <row r="1181" spans="1:5" x14ac:dyDescent="0.15">
      <c r="A1181" s="102" t="s">
        <v>1780</v>
      </c>
      <c r="B1181" s="102" t="s">
        <v>1122</v>
      </c>
      <c r="C1181" s="102">
        <v>210075</v>
      </c>
      <c r="D1181" s="102" t="s">
        <v>1780</v>
      </c>
      <c r="E1181" s="102"/>
    </row>
    <row r="1182" spans="1:5" x14ac:dyDescent="0.15">
      <c r="A1182" s="102" t="s">
        <v>2712</v>
      </c>
      <c r="B1182" s="102" t="s">
        <v>1928</v>
      </c>
      <c r="C1182" s="102">
        <v>163046</v>
      </c>
      <c r="D1182" s="102" t="s">
        <v>2712</v>
      </c>
      <c r="E1182" s="102"/>
    </row>
    <row r="1183" spans="1:5" x14ac:dyDescent="0.15">
      <c r="A1183" s="102" t="s">
        <v>2713</v>
      </c>
      <c r="B1183" s="102" t="s">
        <v>1825</v>
      </c>
      <c r="C1183" s="102">
        <v>178177</v>
      </c>
      <c r="D1183" s="102" t="s">
        <v>2713</v>
      </c>
      <c r="E1183" s="102"/>
    </row>
    <row r="1184" spans="1:5" x14ac:dyDescent="0.15">
      <c r="A1184" s="102" t="s">
        <v>2714</v>
      </c>
      <c r="B1184" s="102" t="s">
        <v>2715</v>
      </c>
      <c r="C1184" s="102">
        <v>247318</v>
      </c>
      <c r="D1184" s="102" t="s">
        <v>2714</v>
      </c>
      <c r="E1184" s="102"/>
    </row>
    <row r="1185" spans="1:5" x14ac:dyDescent="0.15">
      <c r="A1185" s="102" t="s">
        <v>2716</v>
      </c>
      <c r="B1185" s="102" t="s">
        <v>2717</v>
      </c>
      <c r="C1185" s="102">
        <v>214751</v>
      </c>
      <c r="D1185" s="102" t="s">
        <v>2716</v>
      </c>
      <c r="E1185" s="102"/>
    </row>
    <row r="1186" spans="1:5" x14ac:dyDescent="0.15">
      <c r="A1186" s="102" t="s">
        <v>2718</v>
      </c>
      <c r="B1186" s="102" t="s">
        <v>2719</v>
      </c>
      <c r="C1186" s="102">
        <v>213751</v>
      </c>
      <c r="D1186" s="102" t="s">
        <v>2718</v>
      </c>
      <c r="E1186" s="102"/>
    </row>
    <row r="1187" spans="1:5" x14ac:dyDescent="0.15">
      <c r="A1187" s="102" t="s">
        <v>2720</v>
      </c>
      <c r="B1187" s="102" t="s">
        <v>2721</v>
      </c>
      <c r="C1187" s="102">
        <v>224101</v>
      </c>
      <c r="D1187" s="102" t="s">
        <v>2720</v>
      </c>
      <c r="E1187" s="102"/>
    </row>
    <row r="1188" spans="1:5" x14ac:dyDescent="0.15">
      <c r="A1188" s="102" t="s">
        <v>1781</v>
      </c>
      <c r="B1188" s="102" t="s">
        <v>1104</v>
      </c>
      <c r="C1188" s="102">
        <v>173041</v>
      </c>
      <c r="D1188" s="102" t="s">
        <v>1781</v>
      </c>
      <c r="E1188" s="102"/>
    </row>
    <row r="1189" spans="1:5" x14ac:dyDescent="0.15">
      <c r="A1189" s="102" t="s">
        <v>2722</v>
      </c>
      <c r="B1189" s="102" t="s">
        <v>2723</v>
      </c>
      <c r="C1189" s="102">
        <v>221240</v>
      </c>
      <c r="D1189" s="102" t="s">
        <v>2722</v>
      </c>
      <c r="E1189" s="102"/>
    </row>
    <row r="1190" spans="1:5" x14ac:dyDescent="0.15">
      <c r="A1190" s="102" t="s">
        <v>2724</v>
      </c>
      <c r="B1190" s="102" t="s">
        <v>2725</v>
      </c>
      <c r="C1190" s="102">
        <v>217112</v>
      </c>
      <c r="D1190" s="102" t="s">
        <v>2724</v>
      </c>
      <c r="E1190" s="102"/>
    </row>
    <row r="1191" spans="1:5" x14ac:dyDescent="0.15">
      <c r="A1191" s="102" t="s">
        <v>2726</v>
      </c>
      <c r="B1191" s="102" t="s">
        <v>1825</v>
      </c>
      <c r="C1191" s="102">
        <v>166299</v>
      </c>
      <c r="D1191" s="102" t="s">
        <v>2726</v>
      </c>
      <c r="E1191" s="102"/>
    </row>
    <row r="1192" spans="1:5" x14ac:dyDescent="0.15">
      <c r="A1192" s="102" t="s">
        <v>2727</v>
      </c>
      <c r="B1192" s="102" t="s">
        <v>2728</v>
      </c>
      <c r="C1192" s="102">
        <v>215427</v>
      </c>
      <c r="D1192" s="102" t="s">
        <v>2727</v>
      </c>
      <c r="E1192" s="102"/>
    </row>
    <row r="1193" spans="1:5" x14ac:dyDescent="0.15">
      <c r="A1193" s="102" t="s">
        <v>2729</v>
      </c>
      <c r="B1193" s="102" t="s">
        <v>1825</v>
      </c>
      <c r="C1193" s="102">
        <v>165405</v>
      </c>
      <c r="D1193" s="102" t="s">
        <v>2729</v>
      </c>
      <c r="E1193" s="102"/>
    </row>
    <row r="1194" spans="1:5" x14ac:dyDescent="0.15">
      <c r="A1194" s="102" t="s">
        <v>2730</v>
      </c>
      <c r="B1194" s="102" t="s">
        <v>1825</v>
      </c>
      <c r="C1194" s="102">
        <v>178147</v>
      </c>
      <c r="D1194" s="102" t="s">
        <v>2730</v>
      </c>
      <c r="E1194" s="102"/>
    </row>
    <row r="1195" spans="1:5" x14ac:dyDescent="0.15">
      <c r="A1195" s="102" t="s">
        <v>2730</v>
      </c>
      <c r="B1195" s="102" t="s">
        <v>1825</v>
      </c>
      <c r="C1195" s="102">
        <v>213052</v>
      </c>
      <c r="D1195" s="102" t="s">
        <v>2730</v>
      </c>
      <c r="E1195" s="102"/>
    </row>
    <row r="1196" spans="1:5" x14ac:dyDescent="0.15">
      <c r="A1196" s="102" t="s">
        <v>2731</v>
      </c>
      <c r="B1196" s="102" t="s">
        <v>1928</v>
      </c>
      <c r="C1196" s="102">
        <v>160601</v>
      </c>
      <c r="D1196" s="102" t="s">
        <v>2731</v>
      </c>
      <c r="E1196" s="102"/>
    </row>
    <row r="1197" spans="1:5" x14ac:dyDescent="0.15">
      <c r="A1197" s="102" t="s">
        <v>2732</v>
      </c>
      <c r="B1197" s="102" t="s">
        <v>1825</v>
      </c>
      <c r="C1197" s="102">
        <v>178579</v>
      </c>
      <c r="D1197" s="102" t="s">
        <v>2732</v>
      </c>
      <c r="E1197" s="102"/>
    </row>
    <row r="1198" spans="1:5" x14ac:dyDescent="0.15">
      <c r="A1198" s="102" t="s">
        <v>2733</v>
      </c>
      <c r="B1198" s="102" t="s">
        <v>1825</v>
      </c>
      <c r="C1198" s="102">
        <v>178934</v>
      </c>
      <c r="D1198" s="102" t="s">
        <v>2733</v>
      </c>
      <c r="E1198" s="102"/>
    </row>
    <row r="1199" spans="1:5" x14ac:dyDescent="0.15">
      <c r="A1199" s="102" t="s">
        <v>2734</v>
      </c>
      <c r="B1199" s="102" t="s">
        <v>2735</v>
      </c>
      <c r="C1199" s="102">
        <v>236737</v>
      </c>
      <c r="D1199" s="102" t="s">
        <v>2734</v>
      </c>
      <c r="E1199" s="102"/>
    </row>
    <row r="1200" spans="1:5" x14ac:dyDescent="0.15">
      <c r="A1200" s="102" t="s">
        <v>2736</v>
      </c>
      <c r="B1200" s="102" t="s">
        <v>1928</v>
      </c>
      <c r="C1200" s="102">
        <v>155708</v>
      </c>
      <c r="D1200" s="102" t="s">
        <v>2736</v>
      </c>
      <c r="E1200" s="102"/>
    </row>
    <row r="1201" spans="1:5" x14ac:dyDescent="0.15">
      <c r="A1201" s="102" t="s">
        <v>2737</v>
      </c>
      <c r="B1201" s="102" t="s">
        <v>1823</v>
      </c>
      <c r="C1201" s="102">
        <v>155838</v>
      </c>
      <c r="D1201" s="102" t="s">
        <v>2737</v>
      </c>
      <c r="E1201" s="102"/>
    </row>
    <row r="1202" spans="1:5" x14ac:dyDescent="0.15">
      <c r="A1202" s="102" t="s">
        <v>1782</v>
      </c>
      <c r="B1202" s="102" t="s">
        <v>1113</v>
      </c>
      <c r="C1202" s="102">
        <v>166445</v>
      </c>
      <c r="D1202" s="102" t="s">
        <v>1782</v>
      </c>
      <c r="E1202" s="102"/>
    </row>
    <row r="1203" spans="1:5" x14ac:dyDescent="0.15">
      <c r="A1203" s="102" t="s">
        <v>1783</v>
      </c>
      <c r="B1203" s="102" t="s">
        <v>1104</v>
      </c>
      <c r="C1203" s="102">
        <v>173194</v>
      </c>
      <c r="D1203" s="102" t="s">
        <v>1783</v>
      </c>
      <c r="E1203" s="102"/>
    </row>
    <row r="1204" spans="1:5" x14ac:dyDescent="0.15">
      <c r="A1204" s="102" t="s">
        <v>1784</v>
      </c>
      <c r="B1204" s="102" t="s">
        <v>1122</v>
      </c>
      <c r="C1204" s="102">
        <v>216543</v>
      </c>
      <c r="D1204" s="102" t="s">
        <v>1784</v>
      </c>
      <c r="E1204" s="102"/>
    </row>
    <row r="1205" spans="1:5" x14ac:dyDescent="0.15">
      <c r="A1205" s="102" t="s">
        <v>1785</v>
      </c>
      <c r="B1205" s="102" t="s">
        <v>1107</v>
      </c>
      <c r="C1205" s="102">
        <v>171156</v>
      </c>
      <c r="D1205" s="102" t="s">
        <v>1785</v>
      </c>
      <c r="E1205" s="102"/>
    </row>
    <row r="1206" spans="1:5" x14ac:dyDescent="0.15">
      <c r="A1206" s="102" t="s">
        <v>2738</v>
      </c>
      <c r="B1206" s="102" t="s">
        <v>1825</v>
      </c>
      <c r="C1206" s="102">
        <v>207498</v>
      </c>
      <c r="D1206" s="102" t="s">
        <v>2738</v>
      </c>
      <c r="E1206" s="102"/>
    </row>
    <row r="1207" spans="1:5" x14ac:dyDescent="0.15">
      <c r="A1207" s="102" t="s">
        <v>2739</v>
      </c>
      <c r="B1207" s="102" t="s">
        <v>2740</v>
      </c>
      <c r="C1207" s="102">
        <v>213757</v>
      </c>
      <c r="D1207" s="102" t="s">
        <v>2739</v>
      </c>
      <c r="E1207" s="102"/>
    </row>
    <row r="1208" spans="1:5" x14ac:dyDescent="0.15">
      <c r="A1208" s="102" t="s">
        <v>2741</v>
      </c>
      <c r="B1208" s="102" t="s">
        <v>1823</v>
      </c>
      <c r="C1208" s="102">
        <v>157538</v>
      </c>
      <c r="D1208" s="102" t="s">
        <v>2741</v>
      </c>
      <c r="E1208" s="102"/>
    </row>
    <row r="1209" spans="1:5" x14ac:dyDescent="0.15">
      <c r="A1209" s="102" t="s">
        <v>2742</v>
      </c>
      <c r="B1209" s="102" t="s">
        <v>2743</v>
      </c>
      <c r="C1209" s="102">
        <v>225258</v>
      </c>
      <c r="D1209" s="102" t="s">
        <v>2742</v>
      </c>
      <c r="E1209" s="102"/>
    </row>
    <row r="1210" spans="1:5" x14ac:dyDescent="0.15">
      <c r="A1210" s="102" t="s">
        <v>2744</v>
      </c>
      <c r="B1210" s="102" t="s">
        <v>1823</v>
      </c>
      <c r="C1210" s="102">
        <v>119773</v>
      </c>
      <c r="D1210" s="102" t="s">
        <v>2744</v>
      </c>
      <c r="E1210" s="102"/>
    </row>
    <row r="1211" spans="1:5" x14ac:dyDescent="0.15">
      <c r="A1211" s="102" t="s">
        <v>2745</v>
      </c>
      <c r="B1211" s="102" t="s">
        <v>1823</v>
      </c>
      <c r="C1211" s="102">
        <v>155705</v>
      </c>
      <c r="D1211" s="102" t="s">
        <v>2745</v>
      </c>
      <c r="E1211" s="102"/>
    </row>
    <row r="1212" spans="1:5" x14ac:dyDescent="0.15">
      <c r="A1212" s="102" t="s">
        <v>2746</v>
      </c>
      <c r="B1212" s="102" t="s">
        <v>2747</v>
      </c>
      <c r="C1212" s="102">
        <v>245581</v>
      </c>
      <c r="D1212" s="102" t="s">
        <v>2746</v>
      </c>
      <c r="E1212" s="102"/>
    </row>
    <row r="1213" spans="1:5" x14ac:dyDescent="0.15">
      <c r="A1213" s="102" t="s">
        <v>1786</v>
      </c>
      <c r="B1213" s="102" t="s">
        <v>1113</v>
      </c>
      <c r="C1213" s="102">
        <v>166442</v>
      </c>
      <c r="D1213" s="102" t="s">
        <v>1786</v>
      </c>
      <c r="E1213" s="102"/>
    </row>
    <row r="1214" spans="1:5" x14ac:dyDescent="0.15">
      <c r="A1214" s="102" t="s">
        <v>2748</v>
      </c>
      <c r="B1214" s="102" t="s">
        <v>1825</v>
      </c>
      <c r="C1214" s="102">
        <v>162873</v>
      </c>
      <c r="D1214" s="102" t="s">
        <v>2748</v>
      </c>
      <c r="E1214" s="102"/>
    </row>
    <row r="1215" spans="1:5" x14ac:dyDescent="0.15">
      <c r="A1215" s="102" t="s">
        <v>2749</v>
      </c>
      <c r="B1215" s="102" t="s">
        <v>1825</v>
      </c>
      <c r="C1215" s="102">
        <v>191298</v>
      </c>
      <c r="D1215" s="102" t="s">
        <v>2749</v>
      </c>
      <c r="E1215" s="102"/>
    </row>
    <row r="1216" spans="1:5" x14ac:dyDescent="0.15">
      <c r="A1216" s="102" t="s">
        <v>1787</v>
      </c>
      <c r="B1216" s="102" t="s">
        <v>1113</v>
      </c>
      <c r="C1216" s="102">
        <v>166440</v>
      </c>
      <c r="D1216" s="102" t="s">
        <v>1787</v>
      </c>
      <c r="E1216" s="102"/>
    </row>
    <row r="1217" spans="1:5" x14ac:dyDescent="0.15">
      <c r="A1217" s="102" t="s">
        <v>2750</v>
      </c>
      <c r="B1217" s="102" t="s">
        <v>1825</v>
      </c>
      <c r="C1217" s="102">
        <v>202685</v>
      </c>
      <c r="D1217" s="102" t="s">
        <v>2750</v>
      </c>
      <c r="E1217" s="102"/>
    </row>
    <row r="1218" spans="1:5" x14ac:dyDescent="0.15">
      <c r="A1218" s="102" t="s">
        <v>2751</v>
      </c>
      <c r="B1218" s="102" t="s">
        <v>2752</v>
      </c>
      <c r="C1218" s="102">
        <v>228617</v>
      </c>
      <c r="D1218" s="102" t="s">
        <v>2751</v>
      </c>
      <c r="E1218" s="102"/>
    </row>
    <row r="1219" spans="1:5" x14ac:dyDescent="0.15">
      <c r="A1219" s="102" t="s">
        <v>2753</v>
      </c>
      <c r="B1219" s="102" t="s">
        <v>1825</v>
      </c>
      <c r="C1219" s="102">
        <v>172761</v>
      </c>
      <c r="D1219" s="102" t="s">
        <v>2753</v>
      </c>
      <c r="E1219" s="102"/>
    </row>
    <row r="1220" spans="1:5" x14ac:dyDescent="0.15">
      <c r="A1220" s="102" t="s">
        <v>1788</v>
      </c>
      <c r="B1220" s="102" t="s">
        <v>1104</v>
      </c>
      <c r="C1220" s="102">
        <v>172894</v>
      </c>
      <c r="D1220" s="102" t="s">
        <v>1788</v>
      </c>
      <c r="E1220" s="102"/>
    </row>
    <row r="1221" spans="1:5" x14ac:dyDescent="0.15">
      <c r="A1221" s="102" t="s">
        <v>2754</v>
      </c>
      <c r="B1221" s="102" t="s">
        <v>1823</v>
      </c>
      <c r="C1221" s="102">
        <v>120021</v>
      </c>
      <c r="D1221" s="102" t="s">
        <v>2755</v>
      </c>
      <c r="E1221" s="102"/>
    </row>
    <row r="1222" spans="1:5" x14ac:dyDescent="0.15">
      <c r="A1222" s="102" t="s">
        <v>1789</v>
      </c>
      <c r="B1222" s="102" t="s">
        <v>1113</v>
      </c>
      <c r="C1222" s="102">
        <v>166438</v>
      </c>
      <c r="D1222" s="102" t="s">
        <v>1789</v>
      </c>
      <c r="E1222" s="102"/>
    </row>
    <row r="1223" spans="1:5" x14ac:dyDescent="0.15">
      <c r="A1223" s="102" t="s">
        <v>2756</v>
      </c>
      <c r="B1223" s="102" t="s">
        <v>2757</v>
      </c>
      <c r="C1223" s="102">
        <v>231291</v>
      </c>
      <c r="D1223" s="102" t="s">
        <v>2756</v>
      </c>
      <c r="E1223" s="102"/>
    </row>
    <row r="1224" spans="1:5" x14ac:dyDescent="0.15">
      <c r="A1224" s="102" t="s">
        <v>2758</v>
      </c>
      <c r="B1224" s="102" t="s">
        <v>1823</v>
      </c>
      <c r="C1224" s="102">
        <v>155181</v>
      </c>
      <c r="D1224" s="102" t="s">
        <v>2758</v>
      </c>
      <c r="E1224" s="102"/>
    </row>
    <row r="1225" spans="1:5" x14ac:dyDescent="0.15">
      <c r="A1225" s="102" t="s">
        <v>2758</v>
      </c>
      <c r="B1225" s="102" t="s">
        <v>1823</v>
      </c>
      <c r="C1225" s="102">
        <v>155182</v>
      </c>
      <c r="D1225" s="102" t="s">
        <v>2758</v>
      </c>
      <c r="E1225" s="102"/>
    </row>
    <row r="1226" spans="1:5" x14ac:dyDescent="0.15">
      <c r="A1226" s="102" t="s">
        <v>2759</v>
      </c>
      <c r="B1226" s="102" t="s">
        <v>1823</v>
      </c>
      <c r="C1226" s="102">
        <v>103003</v>
      </c>
      <c r="D1226" s="102" t="s">
        <v>2759</v>
      </c>
      <c r="E1226" s="102"/>
    </row>
    <row r="1227" spans="1:5" x14ac:dyDescent="0.15">
      <c r="A1227" s="102" t="s">
        <v>2760</v>
      </c>
      <c r="B1227" s="102" t="s">
        <v>1825</v>
      </c>
      <c r="C1227" s="102">
        <v>164235</v>
      </c>
      <c r="D1227" s="102" t="s">
        <v>2760</v>
      </c>
      <c r="E1227" s="102"/>
    </row>
    <row r="1228" spans="1:5" x14ac:dyDescent="0.15">
      <c r="A1228" s="102" t="s">
        <v>2761</v>
      </c>
      <c r="B1228" s="102" t="s">
        <v>1825</v>
      </c>
      <c r="C1228" s="102">
        <v>165881</v>
      </c>
      <c r="D1228" s="102" t="s">
        <v>2761</v>
      </c>
      <c r="E1228" s="102"/>
    </row>
    <row r="1229" spans="1:5" x14ac:dyDescent="0.15">
      <c r="A1229" s="102" t="s">
        <v>2762</v>
      </c>
      <c r="B1229" s="102" t="s">
        <v>1825</v>
      </c>
      <c r="C1229" s="102">
        <v>162875</v>
      </c>
      <c r="D1229" s="102" t="s">
        <v>2762</v>
      </c>
      <c r="E1229" s="102"/>
    </row>
    <row r="1230" spans="1:5" x14ac:dyDescent="0.15">
      <c r="A1230" s="102" t="s">
        <v>2763</v>
      </c>
      <c r="B1230" s="102" t="s">
        <v>2764</v>
      </c>
      <c r="C1230" s="102">
        <v>231289</v>
      </c>
      <c r="D1230" s="102" t="s">
        <v>2763</v>
      </c>
      <c r="E1230" s="102"/>
    </row>
    <row r="1231" spans="1:5" x14ac:dyDescent="0.15">
      <c r="A1231" s="102" t="s">
        <v>1790</v>
      </c>
      <c r="B1231" s="102" t="s">
        <v>1104</v>
      </c>
      <c r="C1231" s="102">
        <v>191305</v>
      </c>
      <c r="D1231" s="102" t="s">
        <v>1790</v>
      </c>
      <c r="E1231" s="102"/>
    </row>
    <row r="1232" spans="1:5" x14ac:dyDescent="0.15">
      <c r="A1232" s="102" t="s">
        <v>1791</v>
      </c>
      <c r="B1232" s="102" t="s">
        <v>1113</v>
      </c>
      <c r="C1232" s="102">
        <v>166437</v>
      </c>
      <c r="D1232" s="102" t="s">
        <v>1792</v>
      </c>
      <c r="E1232" s="102"/>
    </row>
    <row r="1233" spans="1:5" x14ac:dyDescent="0.15">
      <c r="A1233" s="102" t="s">
        <v>2765</v>
      </c>
      <c r="B1233" s="102" t="s">
        <v>1823</v>
      </c>
      <c r="C1233" s="102">
        <v>101065</v>
      </c>
      <c r="D1233" s="102" t="s">
        <v>2765</v>
      </c>
      <c r="E1233" s="102"/>
    </row>
    <row r="1234" spans="1:5" x14ac:dyDescent="0.15">
      <c r="A1234" s="102" t="s">
        <v>2766</v>
      </c>
      <c r="B1234" s="102" t="s">
        <v>2767</v>
      </c>
      <c r="C1234" s="102">
        <v>218406</v>
      </c>
      <c r="D1234" s="102" t="s">
        <v>2766</v>
      </c>
      <c r="E1234" s="102"/>
    </row>
    <row r="1235" spans="1:5" x14ac:dyDescent="0.15">
      <c r="A1235" s="102" t="s">
        <v>1793</v>
      </c>
      <c r="B1235" s="102" t="s">
        <v>1113</v>
      </c>
      <c r="C1235" s="102">
        <v>166436</v>
      </c>
      <c r="D1235" s="102" t="s">
        <v>1794</v>
      </c>
      <c r="E1235" s="102"/>
    </row>
    <row r="1236" spans="1:5" x14ac:dyDescent="0.15">
      <c r="A1236" s="102" t="s">
        <v>2768</v>
      </c>
      <c r="B1236" s="102" t="s">
        <v>1823</v>
      </c>
      <c r="C1236" s="102">
        <v>97856</v>
      </c>
      <c r="D1236" s="102" t="s">
        <v>2768</v>
      </c>
      <c r="E1236" s="102"/>
    </row>
    <row r="1237" spans="1:5" x14ac:dyDescent="0.15">
      <c r="A1237" s="102" t="s">
        <v>1795</v>
      </c>
      <c r="B1237" s="102" t="s">
        <v>1113</v>
      </c>
      <c r="C1237" s="102">
        <v>166431</v>
      </c>
      <c r="D1237" s="102" t="s">
        <v>1795</v>
      </c>
      <c r="E1237" s="102"/>
    </row>
    <row r="1238" spans="1:5" x14ac:dyDescent="0.15">
      <c r="A1238" s="102" t="s">
        <v>2769</v>
      </c>
      <c r="B1238" s="102" t="s">
        <v>2770</v>
      </c>
      <c r="C1238" s="102">
        <v>243864</v>
      </c>
      <c r="D1238" s="102" t="s">
        <v>2769</v>
      </c>
      <c r="E1238" s="102"/>
    </row>
    <row r="1239" spans="1:5" x14ac:dyDescent="0.15">
      <c r="A1239" s="102" t="s">
        <v>1796</v>
      </c>
      <c r="B1239" s="102" t="s">
        <v>1101</v>
      </c>
      <c r="C1239" s="102">
        <v>172783</v>
      </c>
      <c r="D1239" s="102" t="s">
        <v>1796</v>
      </c>
      <c r="E1239" s="102"/>
    </row>
    <row r="1240" spans="1:5" x14ac:dyDescent="0.15">
      <c r="A1240" s="102" t="s">
        <v>1797</v>
      </c>
      <c r="B1240" s="102" t="s">
        <v>1113</v>
      </c>
      <c r="C1240" s="102">
        <v>166430</v>
      </c>
      <c r="D1240" s="102" t="s">
        <v>1797</v>
      </c>
      <c r="E1240" s="102"/>
    </row>
    <row r="1241" spans="1:5" x14ac:dyDescent="0.15">
      <c r="A1241" s="102" t="s">
        <v>2771</v>
      </c>
      <c r="B1241" s="102" t="s">
        <v>1823</v>
      </c>
      <c r="C1241" s="102">
        <v>155183</v>
      </c>
      <c r="D1241" s="102" t="s">
        <v>2771</v>
      </c>
      <c r="E1241" s="102"/>
    </row>
    <row r="1242" spans="1:5" x14ac:dyDescent="0.15">
      <c r="A1242" s="102" t="s">
        <v>2771</v>
      </c>
      <c r="B1242" s="102" t="s">
        <v>1823</v>
      </c>
      <c r="C1242" s="102">
        <v>155185</v>
      </c>
      <c r="D1242" s="102" t="s">
        <v>2771</v>
      </c>
      <c r="E1242" s="102"/>
    </row>
    <row r="1243" spans="1:5" x14ac:dyDescent="0.15">
      <c r="A1243" s="102" t="s">
        <v>2772</v>
      </c>
      <c r="B1243" s="102" t="s">
        <v>2513</v>
      </c>
      <c r="C1243" s="102">
        <v>225765</v>
      </c>
      <c r="D1243" s="102" t="s">
        <v>2772</v>
      </c>
      <c r="E1243" s="102"/>
    </row>
    <row r="1244" spans="1:5" x14ac:dyDescent="0.15">
      <c r="A1244" s="102" t="s">
        <v>1798</v>
      </c>
      <c r="B1244" s="102" t="s">
        <v>1104</v>
      </c>
      <c r="C1244" s="102">
        <v>172683</v>
      </c>
      <c r="D1244" s="102" t="s">
        <v>1798</v>
      </c>
      <c r="E1244" s="102"/>
    </row>
    <row r="1245" spans="1:5" x14ac:dyDescent="0.15">
      <c r="A1245" s="102" t="s">
        <v>2773</v>
      </c>
      <c r="B1245" s="102" t="s">
        <v>2774</v>
      </c>
      <c r="C1245" s="102">
        <v>245834</v>
      </c>
      <c r="D1245" s="102" t="s">
        <v>2773</v>
      </c>
      <c r="E1245" s="102"/>
    </row>
    <row r="1246" spans="1:5" x14ac:dyDescent="0.15">
      <c r="A1246" s="102" t="s">
        <v>1799</v>
      </c>
      <c r="B1246" s="102" t="s">
        <v>1113</v>
      </c>
      <c r="C1246" s="102">
        <v>166428</v>
      </c>
      <c r="D1246" s="102" t="s">
        <v>1799</v>
      </c>
      <c r="E1246" s="102"/>
    </row>
    <row r="1247" spans="1:5" x14ac:dyDescent="0.15">
      <c r="A1247" s="102" t="s">
        <v>2775</v>
      </c>
      <c r="B1247" s="102" t="s">
        <v>1928</v>
      </c>
      <c r="C1247" s="102">
        <v>178154</v>
      </c>
      <c r="D1247" s="102" t="s">
        <v>2775</v>
      </c>
      <c r="E1247" s="102"/>
    </row>
    <row r="1248" spans="1:5" x14ac:dyDescent="0.15">
      <c r="A1248" s="102" t="s">
        <v>1800</v>
      </c>
      <c r="B1248" s="102" t="s">
        <v>1107</v>
      </c>
      <c r="C1248" s="102">
        <v>166628</v>
      </c>
      <c r="D1248" s="102" t="s">
        <v>1800</v>
      </c>
      <c r="E1248" s="102"/>
    </row>
    <row r="1249" spans="1:5" x14ac:dyDescent="0.15">
      <c r="A1249" s="102" t="s">
        <v>2776</v>
      </c>
      <c r="B1249" s="102" t="s">
        <v>2777</v>
      </c>
      <c r="C1249" s="102">
        <v>215020</v>
      </c>
      <c r="D1249" s="102" t="s">
        <v>2776</v>
      </c>
      <c r="E1249" s="102"/>
    </row>
    <row r="1250" spans="1:5" x14ac:dyDescent="0.15">
      <c r="A1250" s="102" t="s">
        <v>1801</v>
      </c>
      <c r="B1250" s="102" t="s">
        <v>1104</v>
      </c>
      <c r="C1250" s="102">
        <v>172730</v>
      </c>
      <c r="D1250" s="102" t="s">
        <v>1802</v>
      </c>
      <c r="E1250" s="102"/>
    </row>
    <row r="1251" spans="1:5" x14ac:dyDescent="0.15">
      <c r="A1251" s="102" t="s">
        <v>1803</v>
      </c>
      <c r="B1251" s="102" t="s">
        <v>1101</v>
      </c>
      <c r="C1251" s="102">
        <v>166425</v>
      </c>
      <c r="D1251" s="102" t="s">
        <v>1804</v>
      </c>
      <c r="E1251" s="102"/>
    </row>
    <row r="1252" spans="1:5" x14ac:dyDescent="0.15">
      <c r="A1252" s="102" t="s">
        <v>2778</v>
      </c>
      <c r="B1252" s="102" t="s">
        <v>2779</v>
      </c>
      <c r="C1252" s="102">
        <v>228272</v>
      </c>
      <c r="D1252" s="102" t="s">
        <v>2778</v>
      </c>
      <c r="E1252" s="102"/>
    </row>
    <row r="1253" spans="1:5" x14ac:dyDescent="0.15">
      <c r="A1253" s="102" t="s">
        <v>1805</v>
      </c>
      <c r="B1253" s="102" t="s">
        <v>1122</v>
      </c>
      <c r="C1253" s="102">
        <v>228511</v>
      </c>
      <c r="D1253" s="102" t="s">
        <v>1805</v>
      </c>
      <c r="E1253" s="102"/>
    </row>
    <row r="1254" spans="1:5" x14ac:dyDescent="0.15">
      <c r="A1254" s="102" t="s">
        <v>2780</v>
      </c>
      <c r="B1254" s="102" t="s">
        <v>1823</v>
      </c>
      <c r="C1254" s="102">
        <v>103206</v>
      </c>
      <c r="D1254" s="102" t="s">
        <v>2780</v>
      </c>
      <c r="E1254" s="102"/>
    </row>
    <row r="1255" spans="1:5" x14ac:dyDescent="0.15">
      <c r="A1255" s="102" t="s">
        <v>2781</v>
      </c>
      <c r="B1255" s="102" t="s">
        <v>1825</v>
      </c>
      <c r="C1255" s="102">
        <v>164237</v>
      </c>
      <c r="D1255" s="102" t="s">
        <v>2782</v>
      </c>
      <c r="E1255" s="102"/>
    </row>
    <row r="1256" spans="1:5" x14ac:dyDescent="0.15">
      <c r="A1256" s="102" t="s">
        <v>1806</v>
      </c>
      <c r="B1256" s="102" t="s">
        <v>1122</v>
      </c>
      <c r="C1256" s="102">
        <v>207151</v>
      </c>
      <c r="D1256" s="102" t="s">
        <v>1806</v>
      </c>
      <c r="E1256" s="102"/>
    </row>
    <row r="1257" spans="1:5" x14ac:dyDescent="0.15">
      <c r="A1257" s="102" t="s">
        <v>2783</v>
      </c>
      <c r="B1257" s="102" t="s">
        <v>1825</v>
      </c>
      <c r="C1257" s="102">
        <v>172575</v>
      </c>
      <c r="D1257" s="102" t="s">
        <v>2783</v>
      </c>
      <c r="E1257" s="102"/>
    </row>
    <row r="1258" spans="1:5" x14ac:dyDescent="0.15">
      <c r="A1258" s="102" t="s">
        <v>2784</v>
      </c>
      <c r="B1258" s="102" t="s">
        <v>1928</v>
      </c>
      <c r="C1258" s="102">
        <v>178922</v>
      </c>
      <c r="D1258" s="102" t="s">
        <v>2784</v>
      </c>
      <c r="E1258" s="102"/>
    </row>
    <row r="1259" spans="1:5" x14ac:dyDescent="0.15">
      <c r="A1259" s="102" t="s">
        <v>2785</v>
      </c>
      <c r="B1259" s="102" t="s">
        <v>1825</v>
      </c>
      <c r="C1259" s="102">
        <v>158235</v>
      </c>
      <c r="D1259" s="102" t="s">
        <v>2785</v>
      </c>
      <c r="E1259" s="102"/>
    </row>
    <row r="1260" spans="1:5" x14ac:dyDescent="0.15">
      <c r="A1260" s="102" t="s">
        <v>2786</v>
      </c>
      <c r="B1260" s="102" t="s">
        <v>1825</v>
      </c>
      <c r="C1260" s="102">
        <v>157872</v>
      </c>
      <c r="D1260" s="102" t="s">
        <v>2786</v>
      </c>
      <c r="E1260" s="102"/>
    </row>
    <row r="1261" spans="1:5" x14ac:dyDescent="0.15">
      <c r="A1261" s="102" t="s">
        <v>2787</v>
      </c>
      <c r="B1261" s="102" t="s">
        <v>1825</v>
      </c>
      <c r="C1261" s="102">
        <v>158193</v>
      </c>
      <c r="D1261" s="102" t="s">
        <v>2787</v>
      </c>
      <c r="E1261" s="102"/>
    </row>
    <row r="1262" spans="1:5" x14ac:dyDescent="0.15">
      <c r="A1262" s="102" t="s">
        <v>2788</v>
      </c>
      <c r="B1262" s="102" t="s">
        <v>2789</v>
      </c>
      <c r="C1262" s="102">
        <v>236448</v>
      </c>
      <c r="D1262" s="102" t="s">
        <v>2788</v>
      </c>
      <c r="E1262" s="102"/>
    </row>
    <row r="1263" spans="1:5" x14ac:dyDescent="0.15">
      <c r="A1263" s="102" t="s">
        <v>1807</v>
      </c>
      <c r="B1263" s="102" t="s">
        <v>1113</v>
      </c>
      <c r="C1263" s="102">
        <v>166414</v>
      </c>
      <c r="D1263" s="102" t="s">
        <v>1807</v>
      </c>
      <c r="E1263" s="102"/>
    </row>
    <row r="1264" spans="1:5" x14ac:dyDescent="0.15">
      <c r="A1264" s="102" t="s">
        <v>2790</v>
      </c>
      <c r="B1264" s="102" t="s">
        <v>1825</v>
      </c>
      <c r="C1264" s="102">
        <v>178577</v>
      </c>
      <c r="D1264" s="102" t="s">
        <v>2790</v>
      </c>
      <c r="E1264" s="102"/>
    </row>
    <row r="1265" spans="1:5" x14ac:dyDescent="0.15">
      <c r="A1265" s="102" t="s">
        <v>1808</v>
      </c>
      <c r="B1265" s="102" t="s">
        <v>1122</v>
      </c>
      <c r="C1265" s="102">
        <v>230397</v>
      </c>
      <c r="D1265" s="102" t="s">
        <v>1808</v>
      </c>
      <c r="E1265" s="102"/>
    </row>
    <row r="1266" spans="1:5" x14ac:dyDescent="0.15">
      <c r="A1266" s="102" t="s">
        <v>2791</v>
      </c>
      <c r="B1266" s="102" t="s">
        <v>1825</v>
      </c>
      <c r="C1266" s="102">
        <v>192373</v>
      </c>
      <c r="D1266" s="102" t="s">
        <v>2791</v>
      </c>
      <c r="E1266" s="102"/>
    </row>
    <row r="1267" spans="1:5" x14ac:dyDescent="0.15">
      <c r="A1267" s="102" t="s">
        <v>1809</v>
      </c>
      <c r="B1267" s="102" t="s">
        <v>1113</v>
      </c>
      <c r="C1267" s="102">
        <v>166405</v>
      </c>
      <c r="D1267" s="102" t="s">
        <v>1809</v>
      </c>
      <c r="E1267" s="102"/>
    </row>
    <row r="1268" spans="1:5" x14ac:dyDescent="0.15">
      <c r="A1268" s="102" t="s">
        <v>2792</v>
      </c>
      <c r="B1268" s="102" t="s">
        <v>1823</v>
      </c>
      <c r="C1268" s="102">
        <v>112306</v>
      </c>
      <c r="D1268" s="102" t="s">
        <v>2792</v>
      </c>
      <c r="E1268" s="102"/>
    </row>
    <row r="1269" spans="1:5" x14ac:dyDescent="0.15">
      <c r="A1269" s="102" t="s">
        <v>2793</v>
      </c>
      <c r="B1269" s="102" t="s">
        <v>1928</v>
      </c>
      <c r="C1269" s="102">
        <v>172587</v>
      </c>
      <c r="D1269" s="102" t="s">
        <v>2793</v>
      </c>
      <c r="E1269" s="102"/>
    </row>
    <row r="1270" spans="1:5" x14ac:dyDescent="0.15">
      <c r="A1270" s="102" t="s">
        <v>1810</v>
      </c>
      <c r="B1270" s="102" t="s">
        <v>1811</v>
      </c>
      <c r="C1270" s="102">
        <v>245624</v>
      </c>
      <c r="D1270" s="102" t="s">
        <v>1810</v>
      </c>
      <c r="E1270" s="102"/>
    </row>
    <row r="1271" spans="1:5" x14ac:dyDescent="0.15">
      <c r="A1271" s="102" t="s">
        <v>1812</v>
      </c>
      <c r="B1271" s="102" t="s">
        <v>1113</v>
      </c>
      <c r="C1271" s="102">
        <v>166402</v>
      </c>
      <c r="D1271" s="102" t="s">
        <v>1812</v>
      </c>
      <c r="E1271" s="102"/>
    </row>
    <row r="1272" spans="1:5" x14ac:dyDescent="0.15">
      <c r="A1272" s="102" t="s">
        <v>2794</v>
      </c>
      <c r="B1272" s="102" t="s">
        <v>1823</v>
      </c>
      <c r="C1272" s="102">
        <v>103255</v>
      </c>
      <c r="D1272" s="102" t="s">
        <v>2794</v>
      </c>
      <c r="E1272" s="102"/>
    </row>
    <row r="1273" spans="1:5" x14ac:dyDescent="0.15">
      <c r="A1273" s="102" t="s">
        <v>1813</v>
      </c>
      <c r="B1273" s="102" t="s">
        <v>1113</v>
      </c>
      <c r="C1273" s="102">
        <v>166398</v>
      </c>
      <c r="D1273" s="102" t="s">
        <v>1813</v>
      </c>
      <c r="E1273" s="102"/>
    </row>
    <row r="1274" spans="1:5" x14ac:dyDescent="0.15">
      <c r="A1274" s="102" t="s">
        <v>1814</v>
      </c>
      <c r="B1274" s="102" t="s">
        <v>1815</v>
      </c>
      <c r="C1274" s="102">
        <v>244635</v>
      </c>
      <c r="D1274" s="102" t="s">
        <v>1814</v>
      </c>
      <c r="E1274" s="102"/>
    </row>
    <row r="1275" spans="1:5" x14ac:dyDescent="0.15">
      <c r="A1275" s="102" t="s">
        <v>1814</v>
      </c>
      <c r="B1275" s="102" t="s">
        <v>2447</v>
      </c>
      <c r="C1275" s="102">
        <v>244636</v>
      </c>
      <c r="D1275" s="102" t="s">
        <v>1814</v>
      </c>
      <c r="E1275" s="102"/>
    </row>
    <row r="1276" spans="1:5" x14ac:dyDescent="0.15">
      <c r="A1276" s="102" t="s">
        <v>1814</v>
      </c>
      <c r="B1276" s="102" t="s">
        <v>1816</v>
      </c>
      <c r="C1276" s="102">
        <v>248257</v>
      </c>
      <c r="D1276" s="102" t="s">
        <v>1814</v>
      </c>
      <c r="E1276" s="102"/>
    </row>
    <row r="1277" spans="1:5" x14ac:dyDescent="0.15">
      <c r="A1277" s="102" t="s">
        <v>2795</v>
      </c>
      <c r="B1277" s="102" t="s">
        <v>2796</v>
      </c>
      <c r="C1277" s="102">
        <v>214727</v>
      </c>
      <c r="D1277" s="102" t="s">
        <v>2795</v>
      </c>
      <c r="E1277" s="102"/>
    </row>
    <row r="1278" spans="1:5" x14ac:dyDescent="0.15">
      <c r="A1278" s="102" t="s">
        <v>2797</v>
      </c>
      <c r="B1278" s="102" t="s">
        <v>2798</v>
      </c>
      <c r="C1278" s="102">
        <v>213756</v>
      </c>
      <c r="D1278" s="102" t="s">
        <v>2797</v>
      </c>
      <c r="E1278" s="102"/>
    </row>
    <row r="1279" spans="1:5" x14ac:dyDescent="0.15">
      <c r="A1279" s="102" t="s">
        <v>2799</v>
      </c>
      <c r="B1279" s="102" t="s">
        <v>2800</v>
      </c>
      <c r="C1279" s="102">
        <v>209553</v>
      </c>
      <c r="D1279" s="102" t="s">
        <v>2799</v>
      </c>
      <c r="E1279" s="102"/>
    </row>
    <row r="1280" spans="1:5" x14ac:dyDescent="0.15">
      <c r="A1280" s="102" t="s">
        <v>2801</v>
      </c>
      <c r="B1280" s="102" t="s">
        <v>1825</v>
      </c>
      <c r="C1280" s="102">
        <v>160581</v>
      </c>
      <c r="D1280" s="102" t="s">
        <v>2801</v>
      </c>
      <c r="E1280" s="102"/>
    </row>
    <row r="1281" spans="1:5" x14ac:dyDescent="0.15">
      <c r="A1281" s="102" t="s">
        <v>2802</v>
      </c>
      <c r="B1281" s="102" t="s">
        <v>2803</v>
      </c>
      <c r="C1281" s="102">
        <v>218050</v>
      </c>
      <c r="D1281" s="102" t="s">
        <v>2802</v>
      </c>
      <c r="E1281" s="102"/>
    </row>
    <row r="1282" spans="1:5" x14ac:dyDescent="0.15">
      <c r="A1282" s="102" t="s">
        <v>2802</v>
      </c>
      <c r="B1282" s="102" t="s">
        <v>2804</v>
      </c>
      <c r="C1282" s="102">
        <v>218051</v>
      </c>
      <c r="D1282" s="102" t="s">
        <v>2802</v>
      </c>
      <c r="E1282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5"/>
  <dimension ref="A1:E735"/>
  <sheetViews>
    <sheetView topLeftCell="A2" workbookViewId="0">
      <selection activeCell="A161" sqref="A161"/>
    </sheetView>
  </sheetViews>
  <sheetFormatPr baseColWidth="10" defaultColWidth="11" defaultRowHeight="13" x14ac:dyDescent="0.15"/>
  <cols>
    <col min="1" max="1" width="79.5" bestFit="1" customWidth="1"/>
    <col min="2" max="2" width="25.5" bestFit="1" customWidth="1"/>
    <col min="3" max="3" width="6.83203125" bestFit="1" customWidth="1"/>
    <col min="4" max="4" width="79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1817</v>
      </c>
      <c r="B2" s="102" t="s">
        <v>1818</v>
      </c>
      <c r="C2" s="102">
        <v>232350</v>
      </c>
      <c r="D2" s="102" t="s">
        <v>1819</v>
      </c>
      <c r="E2" s="102"/>
    </row>
    <row r="3" spans="1:5" x14ac:dyDescent="0.15">
      <c r="A3" s="102" t="s">
        <v>1820</v>
      </c>
      <c r="B3" s="102" t="s">
        <v>1821</v>
      </c>
      <c r="C3" s="102">
        <v>228642</v>
      </c>
      <c r="D3" s="102" t="s">
        <v>1820</v>
      </c>
      <c r="E3" s="102"/>
    </row>
    <row r="4" spans="1:5" x14ac:dyDescent="0.15">
      <c r="A4" s="102" t="s">
        <v>1822</v>
      </c>
      <c r="B4" s="102" t="s">
        <v>1823</v>
      </c>
      <c r="C4" s="102">
        <v>101120</v>
      </c>
      <c r="D4" s="102" t="s">
        <v>1822</v>
      </c>
      <c r="E4" s="102"/>
    </row>
    <row r="5" spans="1:5" x14ac:dyDescent="0.15">
      <c r="A5" s="102" t="s">
        <v>1824</v>
      </c>
      <c r="B5" s="102" t="s">
        <v>1825</v>
      </c>
      <c r="C5" s="102">
        <v>172630</v>
      </c>
      <c r="D5" s="102" t="s">
        <v>1824</v>
      </c>
      <c r="E5" s="102"/>
    </row>
    <row r="6" spans="1:5" x14ac:dyDescent="0.15">
      <c r="A6" s="102" t="s">
        <v>1826</v>
      </c>
      <c r="B6" s="102" t="s">
        <v>1827</v>
      </c>
      <c r="C6" s="102">
        <v>181045</v>
      </c>
      <c r="D6" s="102" t="s">
        <v>1826</v>
      </c>
      <c r="E6" s="102"/>
    </row>
    <row r="7" spans="1:5" x14ac:dyDescent="0.15">
      <c r="A7" s="102" t="s">
        <v>1828</v>
      </c>
      <c r="B7" s="102" t="s">
        <v>1823</v>
      </c>
      <c r="C7" s="102">
        <v>121133</v>
      </c>
      <c r="D7" s="102" t="s">
        <v>1829</v>
      </c>
      <c r="E7" s="102"/>
    </row>
    <row r="8" spans="1:5" x14ac:dyDescent="0.15">
      <c r="A8" s="102" t="s">
        <v>1830</v>
      </c>
      <c r="B8" s="102" t="s">
        <v>1831</v>
      </c>
      <c r="C8" s="102">
        <v>225767</v>
      </c>
      <c r="D8" s="102" t="s">
        <v>1830</v>
      </c>
      <c r="E8" s="102"/>
    </row>
    <row r="9" spans="1:5" x14ac:dyDescent="0.15">
      <c r="A9" s="102" t="s">
        <v>1832</v>
      </c>
      <c r="B9" s="102" t="s">
        <v>1825</v>
      </c>
      <c r="C9" s="102">
        <v>202816</v>
      </c>
      <c r="D9" s="102" t="s">
        <v>1832</v>
      </c>
      <c r="E9" s="102"/>
    </row>
    <row r="10" spans="1:5" x14ac:dyDescent="0.15">
      <c r="A10" s="102" t="s">
        <v>1833</v>
      </c>
      <c r="B10" s="102" t="s">
        <v>1834</v>
      </c>
      <c r="C10" s="102">
        <v>233806</v>
      </c>
      <c r="D10" s="102" t="s">
        <v>1833</v>
      </c>
      <c r="E10" s="102"/>
    </row>
    <row r="11" spans="1:5" x14ac:dyDescent="0.15">
      <c r="A11" s="102" t="s">
        <v>1835</v>
      </c>
      <c r="B11" s="102" t="s">
        <v>1836</v>
      </c>
      <c r="C11" s="102">
        <v>232346</v>
      </c>
      <c r="D11" s="102" t="s">
        <v>1835</v>
      </c>
      <c r="E11" s="102"/>
    </row>
    <row r="12" spans="1:5" x14ac:dyDescent="0.15">
      <c r="A12" s="102" t="s">
        <v>1837</v>
      </c>
      <c r="B12" s="102" t="s">
        <v>1838</v>
      </c>
      <c r="C12" s="102">
        <v>228143</v>
      </c>
      <c r="D12" s="102" t="s">
        <v>1837</v>
      </c>
      <c r="E12" s="102"/>
    </row>
    <row r="13" spans="1:5" x14ac:dyDescent="0.15">
      <c r="A13" s="102" t="s">
        <v>1839</v>
      </c>
      <c r="B13" s="102" t="s">
        <v>1825</v>
      </c>
      <c r="C13" s="102">
        <v>202452</v>
      </c>
      <c r="D13" s="102" t="s">
        <v>1839</v>
      </c>
      <c r="E13" s="102"/>
    </row>
    <row r="14" spans="1:5" x14ac:dyDescent="0.15">
      <c r="A14" s="102" t="s">
        <v>1840</v>
      </c>
      <c r="B14" s="102" t="s">
        <v>1841</v>
      </c>
      <c r="C14" s="102">
        <v>217293</v>
      </c>
      <c r="D14" s="102" t="s">
        <v>1840</v>
      </c>
      <c r="E14" s="102"/>
    </row>
    <row r="15" spans="1:5" x14ac:dyDescent="0.15">
      <c r="A15" s="102" t="s">
        <v>1842</v>
      </c>
      <c r="B15" s="102" t="s">
        <v>1825</v>
      </c>
      <c r="C15" s="102">
        <v>178158</v>
      </c>
      <c r="D15" s="102" t="s">
        <v>1843</v>
      </c>
      <c r="E15" s="102"/>
    </row>
    <row r="16" spans="1:5" x14ac:dyDescent="0.15">
      <c r="A16" s="102" t="s">
        <v>1844</v>
      </c>
      <c r="B16" s="102" t="s">
        <v>1825</v>
      </c>
      <c r="C16" s="102">
        <v>178924</v>
      </c>
      <c r="D16" s="102" t="s">
        <v>1844</v>
      </c>
      <c r="E16" s="102"/>
    </row>
    <row r="17" spans="1:5" x14ac:dyDescent="0.15">
      <c r="A17" s="102" t="s">
        <v>1845</v>
      </c>
      <c r="B17" s="102" t="s">
        <v>1825</v>
      </c>
      <c r="C17" s="102">
        <v>202450</v>
      </c>
      <c r="D17" s="102" t="s">
        <v>1845</v>
      </c>
      <c r="E17" s="102"/>
    </row>
    <row r="18" spans="1:5" x14ac:dyDescent="0.15">
      <c r="A18" s="102" t="s">
        <v>1846</v>
      </c>
      <c r="B18" s="102" t="s">
        <v>1847</v>
      </c>
      <c r="C18" s="102">
        <v>247607</v>
      </c>
      <c r="D18" s="102" t="s">
        <v>1846</v>
      </c>
      <c r="E18" s="102"/>
    </row>
    <row r="19" spans="1:5" x14ac:dyDescent="0.15">
      <c r="A19" s="102" t="s">
        <v>1848</v>
      </c>
      <c r="B19" s="102" t="s">
        <v>1849</v>
      </c>
      <c r="C19" s="102">
        <v>244138</v>
      </c>
      <c r="D19" s="102" t="s">
        <v>1848</v>
      </c>
      <c r="E19" s="102"/>
    </row>
    <row r="20" spans="1:5" x14ac:dyDescent="0.15">
      <c r="A20" s="102" t="s">
        <v>1850</v>
      </c>
      <c r="B20" s="102" t="s">
        <v>1825</v>
      </c>
      <c r="C20" s="102">
        <v>192374</v>
      </c>
      <c r="D20" s="102" t="s">
        <v>1850</v>
      </c>
      <c r="E20" s="102"/>
    </row>
    <row r="21" spans="1:5" x14ac:dyDescent="0.15">
      <c r="A21" s="102" t="s">
        <v>1851</v>
      </c>
      <c r="B21" s="102" t="s">
        <v>1852</v>
      </c>
      <c r="C21" s="102">
        <v>230176</v>
      </c>
      <c r="D21" s="102" t="s">
        <v>1851</v>
      </c>
      <c r="E21" s="102"/>
    </row>
    <row r="22" spans="1:5" x14ac:dyDescent="0.15">
      <c r="A22" s="102" t="s">
        <v>1853</v>
      </c>
      <c r="B22" s="102" t="s">
        <v>1823</v>
      </c>
      <c r="C22" s="102">
        <v>121313</v>
      </c>
      <c r="D22" s="102" t="s">
        <v>1853</v>
      </c>
      <c r="E22" s="102"/>
    </row>
    <row r="23" spans="1:5" x14ac:dyDescent="0.15">
      <c r="A23" s="102" t="s">
        <v>1854</v>
      </c>
      <c r="B23" s="102" t="s">
        <v>1855</v>
      </c>
      <c r="C23" s="102">
        <v>247732</v>
      </c>
      <c r="D23" s="102" t="s">
        <v>1854</v>
      </c>
      <c r="E23" s="102"/>
    </row>
    <row r="24" spans="1:5" x14ac:dyDescent="0.15">
      <c r="A24" s="102" t="s">
        <v>1856</v>
      </c>
      <c r="B24" s="102" t="s">
        <v>1857</v>
      </c>
      <c r="C24" s="102">
        <v>232353</v>
      </c>
      <c r="D24" s="102" t="s">
        <v>1856</v>
      </c>
      <c r="E24" s="102"/>
    </row>
    <row r="25" spans="1:5" x14ac:dyDescent="0.15">
      <c r="A25" s="102" t="s">
        <v>1858</v>
      </c>
      <c r="B25" s="102" t="s">
        <v>1859</v>
      </c>
      <c r="C25" s="102">
        <v>233200</v>
      </c>
      <c r="D25" s="102" t="s">
        <v>1858</v>
      </c>
      <c r="E25" s="102"/>
    </row>
    <row r="26" spans="1:5" x14ac:dyDescent="0.15">
      <c r="A26" s="102" t="s">
        <v>1860</v>
      </c>
      <c r="B26" s="102" t="s">
        <v>1823</v>
      </c>
      <c r="C26" s="102">
        <v>103267</v>
      </c>
      <c r="D26" s="102" t="s">
        <v>1860</v>
      </c>
      <c r="E26" s="102"/>
    </row>
    <row r="27" spans="1:5" x14ac:dyDescent="0.15">
      <c r="A27" s="102" t="s">
        <v>1861</v>
      </c>
      <c r="B27" s="102" t="s">
        <v>1823</v>
      </c>
      <c r="C27" s="102">
        <v>112302</v>
      </c>
      <c r="D27" s="102" t="s">
        <v>1862</v>
      </c>
      <c r="E27" s="102"/>
    </row>
    <row r="28" spans="1:5" x14ac:dyDescent="0.15">
      <c r="A28" s="102" t="s">
        <v>1863</v>
      </c>
      <c r="B28" s="102" t="s">
        <v>1864</v>
      </c>
      <c r="C28" s="102">
        <v>224067</v>
      </c>
      <c r="D28" s="102" t="s">
        <v>1863</v>
      </c>
      <c r="E28" s="102"/>
    </row>
    <row r="29" spans="1:5" x14ac:dyDescent="0.15">
      <c r="A29" s="102" t="s">
        <v>1865</v>
      </c>
      <c r="B29" s="102" t="s">
        <v>1866</v>
      </c>
      <c r="C29" s="102">
        <v>246929</v>
      </c>
      <c r="D29" s="102" t="s">
        <v>1865</v>
      </c>
      <c r="E29" s="102"/>
    </row>
    <row r="30" spans="1:5" x14ac:dyDescent="0.15">
      <c r="A30" s="102" t="s">
        <v>1867</v>
      </c>
      <c r="B30" s="102" t="s">
        <v>1868</v>
      </c>
      <c r="C30" s="102">
        <v>242869</v>
      </c>
      <c r="D30" s="102" t="s">
        <v>1867</v>
      </c>
      <c r="E30" s="102"/>
    </row>
    <row r="31" spans="1:5" x14ac:dyDescent="0.15">
      <c r="A31" s="102" t="s">
        <v>1179</v>
      </c>
      <c r="B31" s="102" t="s">
        <v>1869</v>
      </c>
      <c r="C31" s="102">
        <v>248888</v>
      </c>
      <c r="D31" s="102" t="s">
        <v>1179</v>
      </c>
      <c r="E31" s="102"/>
    </row>
    <row r="32" spans="1:5" x14ac:dyDescent="0.15">
      <c r="A32" s="102" t="s">
        <v>1870</v>
      </c>
      <c r="B32" s="102" t="s">
        <v>1871</v>
      </c>
      <c r="C32" s="102">
        <v>214402</v>
      </c>
      <c r="D32" s="102" t="s">
        <v>1870</v>
      </c>
      <c r="E32" s="102"/>
    </row>
    <row r="33" spans="1:5" x14ac:dyDescent="0.15">
      <c r="A33" s="102" t="s">
        <v>1872</v>
      </c>
      <c r="B33" s="102" t="s">
        <v>1825</v>
      </c>
      <c r="C33" s="102">
        <v>160605</v>
      </c>
      <c r="D33" s="102" t="s">
        <v>1872</v>
      </c>
      <c r="E33" s="102"/>
    </row>
    <row r="34" spans="1:5" x14ac:dyDescent="0.15">
      <c r="A34" s="102" t="s">
        <v>1873</v>
      </c>
      <c r="B34" s="102" t="s">
        <v>1823</v>
      </c>
      <c r="C34" s="102">
        <v>112497</v>
      </c>
      <c r="D34" s="102" t="s">
        <v>1873</v>
      </c>
      <c r="E34" s="102"/>
    </row>
    <row r="35" spans="1:5" x14ac:dyDescent="0.15">
      <c r="A35" s="102" t="s">
        <v>1874</v>
      </c>
      <c r="B35" s="102" t="s">
        <v>1823</v>
      </c>
      <c r="C35" s="102">
        <v>110769</v>
      </c>
      <c r="D35" s="102" t="s">
        <v>1874</v>
      </c>
      <c r="E35" s="102"/>
    </row>
    <row r="36" spans="1:5" x14ac:dyDescent="0.15">
      <c r="A36" s="102" t="s">
        <v>1875</v>
      </c>
      <c r="B36" s="102" t="s">
        <v>1876</v>
      </c>
      <c r="C36" s="102">
        <v>247296</v>
      </c>
      <c r="D36" s="102" t="s">
        <v>1875</v>
      </c>
      <c r="E36" s="102"/>
    </row>
    <row r="37" spans="1:5" x14ac:dyDescent="0.15">
      <c r="A37" s="102" t="s">
        <v>1877</v>
      </c>
      <c r="B37" s="102" t="s">
        <v>1823</v>
      </c>
      <c r="C37" s="102">
        <v>110996</v>
      </c>
      <c r="D37" s="102" t="s">
        <v>1877</v>
      </c>
      <c r="E37" s="102"/>
    </row>
    <row r="38" spans="1:5" x14ac:dyDescent="0.15">
      <c r="A38" s="102" t="s">
        <v>1878</v>
      </c>
      <c r="B38" s="102" t="s">
        <v>1823</v>
      </c>
      <c r="C38" s="102">
        <v>98695</v>
      </c>
      <c r="D38" s="102" t="s">
        <v>1878</v>
      </c>
      <c r="E38" s="102"/>
    </row>
    <row r="39" spans="1:5" x14ac:dyDescent="0.15">
      <c r="A39" s="102" t="s">
        <v>1879</v>
      </c>
      <c r="B39" s="102" t="s">
        <v>1880</v>
      </c>
      <c r="C39" s="102">
        <v>215426</v>
      </c>
      <c r="D39" s="102" t="s">
        <v>1879</v>
      </c>
      <c r="E39" s="102"/>
    </row>
    <row r="40" spans="1:5" x14ac:dyDescent="0.15">
      <c r="A40" s="102" t="s">
        <v>1881</v>
      </c>
      <c r="B40" s="102" t="s">
        <v>1823</v>
      </c>
      <c r="C40" s="102">
        <v>112298</v>
      </c>
      <c r="D40" s="102" t="s">
        <v>1881</v>
      </c>
      <c r="E40" s="102"/>
    </row>
    <row r="41" spans="1:5" x14ac:dyDescent="0.15">
      <c r="A41" s="102" t="s">
        <v>1882</v>
      </c>
      <c r="B41" s="102" t="s">
        <v>1825</v>
      </c>
      <c r="C41" s="102">
        <v>160579</v>
      </c>
      <c r="D41" s="102" t="s">
        <v>1882</v>
      </c>
      <c r="E41" s="102"/>
    </row>
    <row r="42" spans="1:5" x14ac:dyDescent="0.15">
      <c r="A42" s="102" t="s">
        <v>1883</v>
      </c>
      <c r="B42" s="102" t="s">
        <v>1825</v>
      </c>
      <c r="C42" s="102">
        <v>162893</v>
      </c>
      <c r="D42" s="102" t="s">
        <v>1883</v>
      </c>
      <c r="E42" s="102"/>
    </row>
    <row r="43" spans="1:5" x14ac:dyDescent="0.15">
      <c r="A43" s="102" t="s">
        <v>1884</v>
      </c>
      <c r="B43" s="102" t="s">
        <v>1825</v>
      </c>
      <c r="C43" s="102">
        <v>205922</v>
      </c>
      <c r="D43" s="102" t="s">
        <v>1884</v>
      </c>
      <c r="E43" s="102"/>
    </row>
    <row r="44" spans="1:5" x14ac:dyDescent="0.15">
      <c r="A44" s="102" t="s">
        <v>1885</v>
      </c>
      <c r="B44" s="102" t="s">
        <v>1823</v>
      </c>
      <c r="C44" s="102">
        <v>103330</v>
      </c>
      <c r="D44" s="102" t="s">
        <v>1885</v>
      </c>
      <c r="E44" s="102"/>
    </row>
    <row r="45" spans="1:5" x14ac:dyDescent="0.15">
      <c r="A45" s="102" t="s">
        <v>1886</v>
      </c>
      <c r="B45" s="102" t="s">
        <v>1887</v>
      </c>
      <c r="C45" s="102">
        <v>217374</v>
      </c>
      <c r="D45" s="102" t="s">
        <v>1886</v>
      </c>
      <c r="E45" s="102"/>
    </row>
    <row r="46" spans="1:5" x14ac:dyDescent="0.15">
      <c r="A46" s="102" t="s">
        <v>1888</v>
      </c>
      <c r="B46" s="102" t="s">
        <v>1825</v>
      </c>
      <c r="C46" s="102">
        <v>193820</v>
      </c>
      <c r="D46" s="102" t="s">
        <v>1888</v>
      </c>
      <c r="E46" s="102"/>
    </row>
    <row r="47" spans="1:5" x14ac:dyDescent="0.15">
      <c r="A47" s="102" t="s">
        <v>1889</v>
      </c>
      <c r="B47" s="102" t="s">
        <v>1890</v>
      </c>
      <c r="C47" s="102">
        <v>245544</v>
      </c>
      <c r="D47" s="102" t="s">
        <v>1889</v>
      </c>
      <c r="E47" s="102"/>
    </row>
    <row r="48" spans="1:5" x14ac:dyDescent="0.15">
      <c r="A48" s="102" t="s">
        <v>1891</v>
      </c>
      <c r="B48" s="102" t="s">
        <v>1825</v>
      </c>
      <c r="C48" s="102">
        <v>203391</v>
      </c>
      <c r="D48" s="102" t="s">
        <v>1891</v>
      </c>
      <c r="E48" s="102"/>
    </row>
    <row r="49" spans="1:5" x14ac:dyDescent="0.15">
      <c r="A49" s="102" t="s">
        <v>1892</v>
      </c>
      <c r="B49" s="102" t="s">
        <v>1825</v>
      </c>
      <c r="C49" s="102">
        <v>172631</v>
      </c>
      <c r="D49" s="102" t="s">
        <v>1892</v>
      </c>
      <c r="E49" s="102"/>
    </row>
    <row r="50" spans="1:5" x14ac:dyDescent="0.15">
      <c r="A50" s="102" t="s">
        <v>1893</v>
      </c>
      <c r="B50" s="102" t="s">
        <v>1823</v>
      </c>
      <c r="C50" s="102">
        <v>110990</v>
      </c>
      <c r="D50" s="102" t="s">
        <v>1893</v>
      </c>
      <c r="E50" s="102"/>
    </row>
    <row r="51" spans="1:5" x14ac:dyDescent="0.15">
      <c r="A51" s="102" t="s">
        <v>1894</v>
      </c>
      <c r="B51" s="102" t="s">
        <v>1825</v>
      </c>
      <c r="C51" s="102">
        <v>160575</v>
      </c>
      <c r="D51" s="102" t="s">
        <v>1894</v>
      </c>
      <c r="E51" s="102"/>
    </row>
    <row r="52" spans="1:5" x14ac:dyDescent="0.15">
      <c r="A52" s="102" t="s">
        <v>1895</v>
      </c>
      <c r="B52" s="102" t="s">
        <v>1896</v>
      </c>
      <c r="C52" s="102">
        <v>246979</v>
      </c>
      <c r="D52" s="102" t="s">
        <v>1895</v>
      </c>
      <c r="E52" s="102"/>
    </row>
    <row r="53" spans="1:5" x14ac:dyDescent="0.15">
      <c r="A53" s="102" t="s">
        <v>1897</v>
      </c>
      <c r="B53" s="102" t="s">
        <v>1825</v>
      </c>
      <c r="C53" s="102">
        <v>182798</v>
      </c>
      <c r="D53" s="102" t="s">
        <v>1897</v>
      </c>
      <c r="E53" s="102"/>
    </row>
    <row r="54" spans="1:5" x14ac:dyDescent="0.15">
      <c r="A54" s="102" t="s">
        <v>1898</v>
      </c>
      <c r="B54" s="102" t="s">
        <v>1899</v>
      </c>
      <c r="C54" s="102">
        <v>228270</v>
      </c>
      <c r="D54" s="102" t="s">
        <v>1898</v>
      </c>
      <c r="E54" s="102"/>
    </row>
    <row r="55" spans="1:5" x14ac:dyDescent="0.15">
      <c r="A55" s="102" t="s">
        <v>1900</v>
      </c>
      <c r="B55" s="102" t="s">
        <v>1825</v>
      </c>
      <c r="C55" s="102">
        <v>172593</v>
      </c>
      <c r="D55" s="102" t="s">
        <v>1900</v>
      </c>
      <c r="E55" s="102"/>
    </row>
    <row r="56" spans="1:5" x14ac:dyDescent="0.15">
      <c r="A56" s="102" t="s">
        <v>1901</v>
      </c>
      <c r="B56" s="102" t="s">
        <v>1902</v>
      </c>
      <c r="C56" s="102">
        <v>246268</v>
      </c>
      <c r="D56" s="102" t="s">
        <v>1901</v>
      </c>
      <c r="E56" s="102"/>
    </row>
    <row r="57" spans="1:5" x14ac:dyDescent="0.15">
      <c r="A57" s="102" t="s">
        <v>1903</v>
      </c>
      <c r="B57" s="102" t="s">
        <v>1904</v>
      </c>
      <c r="C57" s="102">
        <v>247313</v>
      </c>
      <c r="D57" s="102" t="s">
        <v>1903</v>
      </c>
      <c r="E57" s="102"/>
    </row>
    <row r="58" spans="1:5" x14ac:dyDescent="0.15">
      <c r="A58" s="102" t="s">
        <v>1905</v>
      </c>
      <c r="B58" s="102" t="s">
        <v>1906</v>
      </c>
      <c r="C58" s="102">
        <v>218052</v>
      </c>
      <c r="D58" s="102" t="s">
        <v>1905</v>
      </c>
      <c r="E58" s="102"/>
    </row>
    <row r="59" spans="1:5" x14ac:dyDescent="0.15">
      <c r="A59" s="102" t="s">
        <v>1907</v>
      </c>
      <c r="B59" s="102" t="s">
        <v>1825</v>
      </c>
      <c r="C59" s="102">
        <v>157876</v>
      </c>
      <c r="D59" s="102" t="s">
        <v>1907</v>
      </c>
      <c r="E59" s="102"/>
    </row>
    <row r="60" spans="1:5" x14ac:dyDescent="0.15">
      <c r="A60" s="102" t="s">
        <v>1908</v>
      </c>
      <c r="B60" s="102" t="s">
        <v>1825</v>
      </c>
      <c r="C60" s="102">
        <v>172825</v>
      </c>
      <c r="D60" s="102" t="s">
        <v>1908</v>
      </c>
      <c r="E60" s="102"/>
    </row>
    <row r="61" spans="1:5" x14ac:dyDescent="0.15">
      <c r="A61" s="102" t="s">
        <v>1909</v>
      </c>
      <c r="B61" s="102" t="s">
        <v>1910</v>
      </c>
      <c r="C61" s="102">
        <v>248739</v>
      </c>
      <c r="D61" s="102" t="s">
        <v>1909</v>
      </c>
      <c r="E61" s="102"/>
    </row>
    <row r="62" spans="1:5" x14ac:dyDescent="0.15">
      <c r="A62" s="102" t="s">
        <v>1911</v>
      </c>
      <c r="B62" s="102" t="s">
        <v>1825</v>
      </c>
      <c r="C62" s="102">
        <v>160598</v>
      </c>
      <c r="D62" s="102" t="s">
        <v>1911</v>
      </c>
      <c r="E62" s="102"/>
    </row>
    <row r="63" spans="1:5" x14ac:dyDescent="0.15">
      <c r="A63" s="102" t="s">
        <v>1911</v>
      </c>
      <c r="B63" s="102" t="s">
        <v>1825</v>
      </c>
      <c r="C63" s="102">
        <v>160599</v>
      </c>
      <c r="D63" s="102" t="s">
        <v>1911</v>
      </c>
      <c r="E63" s="102"/>
    </row>
    <row r="64" spans="1:5" x14ac:dyDescent="0.15">
      <c r="A64" s="102" t="s">
        <v>1912</v>
      </c>
      <c r="B64" s="102" t="s">
        <v>1825</v>
      </c>
      <c r="C64" s="102">
        <v>160600</v>
      </c>
      <c r="D64" s="102" t="s">
        <v>1912</v>
      </c>
      <c r="E64" s="102"/>
    </row>
    <row r="65" spans="1:5" x14ac:dyDescent="0.15">
      <c r="A65" s="102" t="s">
        <v>1913</v>
      </c>
      <c r="B65" s="102" t="s">
        <v>1914</v>
      </c>
      <c r="C65" s="102">
        <v>246269</v>
      </c>
      <c r="D65" s="102" t="s">
        <v>1913</v>
      </c>
      <c r="E65" s="102"/>
    </row>
    <row r="66" spans="1:5" x14ac:dyDescent="0.15">
      <c r="A66" s="102" t="s">
        <v>1915</v>
      </c>
      <c r="B66" s="102" t="s">
        <v>1825</v>
      </c>
      <c r="C66" s="102">
        <v>162868</v>
      </c>
      <c r="D66" s="102" t="s">
        <v>1915</v>
      </c>
      <c r="E66" s="102"/>
    </row>
    <row r="67" spans="1:5" x14ac:dyDescent="0.15">
      <c r="A67" s="102" t="s">
        <v>1916</v>
      </c>
      <c r="B67" s="102" t="s">
        <v>1917</v>
      </c>
      <c r="C67" s="102">
        <v>247616</v>
      </c>
      <c r="D67" s="102" t="s">
        <v>1916</v>
      </c>
      <c r="E67" s="102"/>
    </row>
    <row r="68" spans="1:5" x14ac:dyDescent="0.15">
      <c r="A68" s="102" t="s">
        <v>1918</v>
      </c>
      <c r="B68" s="102" t="s">
        <v>1919</v>
      </c>
      <c r="C68" s="102">
        <v>247620</v>
      </c>
      <c r="D68" s="102" t="s">
        <v>1918</v>
      </c>
      <c r="E68" s="102"/>
    </row>
    <row r="69" spans="1:5" x14ac:dyDescent="0.15">
      <c r="A69" s="102" t="s">
        <v>1920</v>
      </c>
      <c r="B69" s="102" t="s">
        <v>1825</v>
      </c>
      <c r="C69" s="102">
        <v>160594</v>
      </c>
      <c r="D69" s="102" t="s">
        <v>1920</v>
      </c>
      <c r="E69" s="102"/>
    </row>
    <row r="70" spans="1:5" x14ac:dyDescent="0.15">
      <c r="A70" s="102" t="s">
        <v>1921</v>
      </c>
      <c r="B70" s="102" t="s">
        <v>1922</v>
      </c>
      <c r="C70" s="102">
        <v>224139</v>
      </c>
      <c r="D70" s="102" t="s">
        <v>1921</v>
      </c>
      <c r="E70" s="102"/>
    </row>
    <row r="71" spans="1:5" x14ac:dyDescent="0.15">
      <c r="A71" s="102" t="s">
        <v>1923</v>
      </c>
      <c r="B71" s="102" t="s">
        <v>1823</v>
      </c>
      <c r="C71" s="102">
        <v>103217</v>
      </c>
      <c r="D71" s="102" t="s">
        <v>1923</v>
      </c>
      <c r="E71" s="102"/>
    </row>
    <row r="72" spans="1:5" x14ac:dyDescent="0.15">
      <c r="A72" s="102" t="s">
        <v>1924</v>
      </c>
      <c r="B72" s="102" t="s">
        <v>1825</v>
      </c>
      <c r="C72" s="102">
        <v>160577</v>
      </c>
      <c r="D72" s="102" t="s">
        <v>1924</v>
      </c>
      <c r="E72" s="102"/>
    </row>
    <row r="73" spans="1:5" x14ac:dyDescent="0.15">
      <c r="A73" s="102" t="s">
        <v>1925</v>
      </c>
      <c r="B73" s="102" t="s">
        <v>1823</v>
      </c>
      <c r="C73" s="102">
        <v>155179</v>
      </c>
      <c r="D73" s="102" t="s">
        <v>1925</v>
      </c>
      <c r="E73" s="102"/>
    </row>
    <row r="74" spans="1:5" x14ac:dyDescent="0.15">
      <c r="A74" s="102" t="s">
        <v>1926</v>
      </c>
      <c r="B74" s="102" t="s">
        <v>1825</v>
      </c>
      <c r="C74" s="102">
        <v>157874</v>
      </c>
      <c r="D74" s="102" t="s">
        <v>1926</v>
      </c>
      <c r="E74" s="102"/>
    </row>
    <row r="75" spans="1:5" x14ac:dyDescent="0.15">
      <c r="A75" s="102" t="s">
        <v>1927</v>
      </c>
      <c r="B75" s="102" t="s">
        <v>1928</v>
      </c>
      <c r="C75" s="102">
        <v>119783</v>
      </c>
      <c r="D75" s="102" t="s">
        <v>1929</v>
      </c>
      <c r="E75" s="102"/>
    </row>
    <row r="76" spans="1:5" x14ac:dyDescent="0.15">
      <c r="A76" s="102" t="s">
        <v>1930</v>
      </c>
      <c r="B76" s="102" t="s">
        <v>1931</v>
      </c>
      <c r="C76" s="102">
        <v>217083</v>
      </c>
      <c r="D76" s="102" t="s">
        <v>1930</v>
      </c>
      <c r="E76" s="102"/>
    </row>
    <row r="77" spans="1:5" x14ac:dyDescent="0.15">
      <c r="A77" s="102" t="s">
        <v>1932</v>
      </c>
      <c r="B77" s="102" t="s">
        <v>1823</v>
      </c>
      <c r="C77" s="102">
        <v>98842</v>
      </c>
      <c r="D77" s="102" t="s">
        <v>1932</v>
      </c>
      <c r="E77" s="102"/>
    </row>
    <row r="78" spans="1:5" x14ac:dyDescent="0.15">
      <c r="A78" s="102" t="s">
        <v>1933</v>
      </c>
      <c r="B78" s="102" t="s">
        <v>1823</v>
      </c>
      <c r="C78" s="102">
        <v>98840</v>
      </c>
      <c r="D78" s="102" t="s">
        <v>1933</v>
      </c>
      <c r="E78" s="102"/>
    </row>
    <row r="79" spans="1:5" x14ac:dyDescent="0.15">
      <c r="A79" s="102" t="s">
        <v>1934</v>
      </c>
      <c r="B79" s="102" t="s">
        <v>1823</v>
      </c>
      <c r="C79" s="102">
        <v>155177</v>
      </c>
      <c r="D79" s="102" t="s">
        <v>1934</v>
      </c>
      <c r="E79" s="102"/>
    </row>
    <row r="80" spans="1:5" x14ac:dyDescent="0.15">
      <c r="A80" s="102" t="s">
        <v>1935</v>
      </c>
      <c r="B80" s="102" t="s">
        <v>1936</v>
      </c>
      <c r="C80" s="102">
        <v>233805</v>
      </c>
      <c r="D80" s="102" t="s">
        <v>1935</v>
      </c>
      <c r="E80" s="102"/>
    </row>
    <row r="81" spans="1:5" x14ac:dyDescent="0.15">
      <c r="A81" s="102" t="s">
        <v>1937</v>
      </c>
      <c r="B81" s="102" t="s">
        <v>1825</v>
      </c>
      <c r="C81" s="102">
        <v>178585</v>
      </c>
      <c r="D81" s="102" t="s">
        <v>1937</v>
      </c>
      <c r="E81" s="102"/>
    </row>
    <row r="82" spans="1:5" x14ac:dyDescent="0.15">
      <c r="A82" s="102" t="s">
        <v>1938</v>
      </c>
      <c r="B82" s="102" t="s">
        <v>1825</v>
      </c>
      <c r="C82" s="102">
        <v>157574</v>
      </c>
      <c r="D82" s="102" t="s">
        <v>1938</v>
      </c>
      <c r="E82" s="102"/>
    </row>
    <row r="83" spans="1:5" x14ac:dyDescent="0.15">
      <c r="A83" s="102" t="s">
        <v>1939</v>
      </c>
      <c r="B83" s="102" t="s">
        <v>1940</v>
      </c>
      <c r="C83" s="102">
        <v>209556</v>
      </c>
      <c r="D83" s="102" t="s">
        <v>1939</v>
      </c>
      <c r="E83" s="102"/>
    </row>
    <row r="84" spans="1:5" x14ac:dyDescent="0.15">
      <c r="A84" s="102" t="s">
        <v>1941</v>
      </c>
      <c r="B84" s="102" t="s">
        <v>1825</v>
      </c>
      <c r="C84" s="102">
        <v>204394</v>
      </c>
      <c r="D84" s="102" t="s">
        <v>1941</v>
      </c>
      <c r="E84" s="102"/>
    </row>
    <row r="85" spans="1:5" x14ac:dyDescent="0.15">
      <c r="A85" s="102" t="s">
        <v>1942</v>
      </c>
      <c r="B85" s="102" t="s">
        <v>1825</v>
      </c>
      <c r="C85" s="102">
        <v>204393</v>
      </c>
      <c r="D85" s="102" t="s">
        <v>1942</v>
      </c>
      <c r="E85" s="102"/>
    </row>
    <row r="86" spans="1:5" x14ac:dyDescent="0.15">
      <c r="A86" s="102" t="s">
        <v>1943</v>
      </c>
      <c r="B86" s="102" t="s">
        <v>1825</v>
      </c>
      <c r="C86" s="102">
        <v>193871</v>
      </c>
      <c r="D86" s="102" t="s">
        <v>1943</v>
      </c>
      <c r="E86" s="102"/>
    </row>
    <row r="87" spans="1:5" x14ac:dyDescent="0.15">
      <c r="A87" s="102" t="s">
        <v>1944</v>
      </c>
      <c r="B87" s="102" t="s">
        <v>1945</v>
      </c>
      <c r="C87" s="102">
        <v>229555</v>
      </c>
      <c r="D87" s="102" t="s">
        <v>1944</v>
      </c>
      <c r="E87" s="102"/>
    </row>
    <row r="88" spans="1:5" x14ac:dyDescent="0.15">
      <c r="A88" s="102" t="s">
        <v>1946</v>
      </c>
      <c r="B88" s="102" t="s">
        <v>1947</v>
      </c>
      <c r="C88" s="102">
        <v>243860</v>
      </c>
      <c r="D88" s="102" t="s">
        <v>1946</v>
      </c>
      <c r="E88" s="102"/>
    </row>
    <row r="89" spans="1:5" x14ac:dyDescent="0.15">
      <c r="A89" s="102" t="s">
        <v>1948</v>
      </c>
      <c r="B89" s="102" t="s">
        <v>1825</v>
      </c>
      <c r="C89" s="102">
        <v>162880</v>
      </c>
      <c r="D89" s="102" t="s">
        <v>1948</v>
      </c>
      <c r="E89" s="102"/>
    </row>
    <row r="90" spans="1:5" x14ac:dyDescent="0.15">
      <c r="A90" s="102" t="s">
        <v>1949</v>
      </c>
      <c r="B90" s="102" t="s">
        <v>1823</v>
      </c>
      <c r="C90" s="102">
        <v>103261</v>
      </c>
      <c r="D90" s="102" t="s">
        <v>1949</v>
      </c>
      <c r="E90" s="102"/>
    </row>
    <row r="91" spans="1:5" x14ac:dyDescent="0.15">
      <c r="A91" s="102" t="s">
        <v>1950</v>
      </c>
      <c r="B91" s="102" t="s">
        <v>1951</v>
      </c>
      <c r="C91" s="102">
        <v>248741</v>
      </c>
      <c r="D91" s="102" t="s">
        <v>1950</v>
      </c>
      <c r="E91" s="102"/>
    </row>
    <row r="92" spans="1:5" x14ac:dyDescent="0.15">
      <c r="A92" s="102" t="s">
        <v>1952</v>
      </c>
      <c r="B92" s="102" t="s">
        <v>1823</v>
      </c>
      <c r="C92" s="102">
        <v>103148</v>
      </c>
      <c r="D92" s="102" t="s">
        <v>1952</v>
      </c>
      <c r="E92" s="102"/>
    </row>
    <row r="93" spans="1:5" x14ac:dyDescent="0.15">
      <c r="A93" s="102" t="s">
        <v>1953</v>
      </c>
      <c r="B93" s="102" t="s">
        <v>1825</v>
      </c>
      <c r="C93" s="102">
        <v>198979</v>
      </c>
      <c r="D93" s="102" t="s">
        <v>1953</v>
      </c>
      <c r="E93" s="102"/>
    </row>
    <row r="94" spans="1:5" x14ac:dyDescent="0.15">
      <c r="A94" s="102" t="s">
        <v>1954</v>
      </c>
      <c r="B94" s="102" t="s">
        <v>1928</v>
      </c>
      <c r="C94" s="102">
        <v>102857</v>
      </c>
      <c r="D94" s="102" t="s">
        <v>1954</v>
      </c>
      <c r="E94" s="102"/>
    </row>
    <row r="95" spans="1:5" x14ac:dyDescent="0.15">
      <c r="A95" s="102" t="s">
        <v>1955</v>
      </c>
      <c r="B95" s="102" t="s">
        <v>1825</v>
      </c>
      <c r="C95" s="102">
        <v>172924</v>
      </c>
      <c r="D95" s="102" t="s">
        <v>1955</v>
      </c>
      <c r="E95" s="102"/>
    </row>
    <row r="96" spans="1:5" x14ac:dyDescent="0.15">
      <c r="A96" s="102" t="s">
        <v>1956</v>
      </c>
      <c r="B96" s="102" t="s">
        <v>1825</v>
      </c>
      <c r="C96" s="102">
        <v>166301</v>
      </c>
      <c r="D96" s="102" t="s">
        <v>1956</v>
      </c>
      <c r="E96" s="102"/>
    </row>
    <row r="97" spans="1:5" x14ac:dyDescent="0.15">
      <c r="A97" s="102" t="s">
        <v>1957</v>
      </c>
      <c r="B97" s="102" t="s">
        <v>1823</v>
      </c>
      <c r="C97" s="102">
        <v>103151</v>
      </c>
      <c r="D97" s="102" t="s">
        <v>1957</v>
      </c>
      <c r="E97" s="102"/>
    </row>
    <row r="98" spans="1:5" x14ac:dyDescent="0.15">
      <c r="A98" s="102" t="s">
        <v>1958</v>
      </c>
      <c r="B98" s="102" t="s">
        <v>1959</v>
      </c>
      <c r="C98" s="102">
        <v>246927</v>
      </c>
      <c r="D98" s="102" t="s">
        <v>1958</v>
      </c>
      <c r="E98" s="102"/>
    </row>
    <row r="99" spans="1:5" x14ac:dyDescent="0.15">
      <c r="A99" s="102" t="s">
        <v>1960</v>
      </c>
      <c r="B99" s="102" t="s">
        <v>1823</v>
      </c>
      <c r="C99" s="102">
        <v>112150</v>
      </c>
      <c r="D99" s="102" t="s">
        <v>1960</v>
      </c>
      <c r="E99" s="102"/>
    </row>
    <row r="100" spans="1:5" x14ac:dyDescent="0.15">
      <c r="A100" s="102" t="s">
        <v>1961</v>
      </c>
      <c r="B100" s="102" t="s">
        <v>1962</v>
      </c>
      <c r="C100" s="102">
        <v>224066</v>
      </c>
      <c r="D100" s="102" t="s">
        <v>1961</v>
      </c>
      <c r="E100" s="102"/>
    </row>
    <row r="101" spans="1:5" x14ac:dyDescent="0.15">
      <c r="A101" s="102" t="s">
        <v>1963</v>
      </c>
      <c r="B101" s="102" t="s">
        <v>1825</v>
      </c>
      <c r="C101" s="102">
        <v>172923</v>
      </c>
      <c r="D101" s="102" t="s">
        <v>1963</v>
      </c>
      <c r="E101" s="102"/>
    </row>
    <row r="102" spans="1:5" x14ac:dyDescent="0.15">
      <c r="A102" s="102" t="s">
        <v>1964</v>
      </c>
      <c r="B102" s="102" t="s">
        <v>1823</v>
      </c>
      <c r="C102" s="102">
        <v>103367</v>
      </c>
      <c r="D102" s="102" t="s">
        <v>1964</v>
      </c>
      <c r="E102" s="102"/>
    </row>
    <row r="103" spans="1:5" x14ac:dyDescent="0.15">
      <c r="A103" s="102" t="s">
        <v>1964</v>
      </c>
      <c r="B103" s="102" t="s">
        <v>1825</v>
      </c>
      <c r="C103" s="102">
        <v>160584</v>
      </c>
      <c r="D103" s="102" t="s">
        <v>1964</v>
      </c>
      <c r="E103" s="102"/>
    </row>
    <row r="104" spans="1:5" x14ac:dyDescent="0.15">
      <c r="A104" s="102" t="s">
        <v>1965</v>
      </c>
      <c r="B104" s="102" t="s">
        <v>1825</v>
      </c>
      <c r="C104" s="102">
        <v>166296</v>
      </c>
      <c r="D104" s="102" t="s">
        <v>1965</v>
      </c>
      <c r="E104" s="102"/>
    </row>
    <row r="105" spans="1:5" x14ac:dyDescent="0.15">
      <c r="A105" s="102" t="s">
        <v>1966</v>
      </c>
      <c r="B105" s="102" t="s">
        <v>1967</v>
      </c>
      <c r="C105" s="102">
        <v>215432</v>
      </c>
      <c r="D105" s="102" t="s">
        <v>1966</v>
      </c>
      <c r="E105" s="102"/>
    </row>
    <row r="106" spans="1:5" x14ac:dyDescent="0.15">
      <c r="A106" s="102" t="s">
        <v>1968</v>
      </c>
      <c r="B106" s="102" t="s">
        <v>1825</v>
      </c>
      <c r="C106" s="102">
        <v>200080</v>
      </c>
      <c r="D106" s="102" t="s">
        <v>1968</v>
      </c>
      <c r="E106" s="102"/>
    </row>
    <row r="107" spans="1:5" x14ac:dyDescent="0.15">
      <c r="A107" s="102" t="s">
        <v>1969</v>
      </c>
      <c r="B107" s="102" t="s">
        <v>1970</v>
      </c>
      <c r="C107" s="102">
        <v>243865</v>
      </c>
      <c r="D107" s="102" t="s">
        <v>1969</v>
      </c>
      <c r="E107" s="102"/>
    </row>
    <row r="108" spans="1:5" x14ac:dyDescent="0.15">
      <c r="A108" s="102" t="s">
        <v>1971</v>
      </c>
      <c r="B108" s="102" t="s">
        <v>1972</v>
      </c>
      <c r="C108" s="102">
        <v>157567</v>
      </c>
      <c r="D108" s="102" t="s">
        <v>1971</v>
      </c>
      <c r="E108" s="102"/>
    </row>
    <row r="109" spans="1:5" x14ac:dyDescent="0.15">
      <c r="A109" s="102" t="s">
        <v>1973</v>
      </c>
      <c r="B109" s="102" t="s">
        <v>1823</v>
      </c>
      <c r="C109" s="102">
        <v>103209</v>
      </c>
      <c r="D109" s="102" t="s">
        <v>1973</v>
      </c>
      <c r="E109" s="102"/>
    </row>
    <row r="110" spans="1:5" x14ac:dyDescent="0.15">
      <c r="A110" s="102" t="s">
        <v>1974</v>
      </c>
      <c r="B110" s="102" t="s">
        <v>1823</v>
      </c>
      <c r="C110" s="102">
        <v>119976</v>
      </c>
      <c r="D110" s="102" t="s">
        <v>1974</v>
      </c>
      <c r="E110" s="102"/>
    </row>
    <row r="111" spans="1:5" x14ac:dyDescent="0.15">
      <c r="A111" s="102" t="s">
        <v>1975</v>
      </c>
      <c r="B111" s="102" t="s">
        <v>1823</v>
      </c>
      <c r="C111" s="102">
        <v>101064</v>
      </c>
      <c r="D111" s="102" t="s">
        <v>1975</v>
      </c>
      <c r="E111" s="102"/>
    </row>
    <row r="112" spans="1:5" x14ac:dyDescent="0.15">
      <c r="A112" s="102" t="s">
        <v>1976</v>
      </c>
      <c r="B112" s="102" t="s">
        <v>1825</v>
      </c>
      <c r="C112" s="102">
        <v>162879</v>
      </c>
      <c r="D112" s="102" t="s">
        <v>1976</v>
      </c>
      <c r="E112" s="102"/>
    </row>
    <row r="113" spans="1:5" x14ac:dyDescent="0.15">
      <c r="A113" s="102" t="s">
        <v>1977</v>
      </c>
      <c r="B113" s="102" t="s">
        <v>1978</v>
      </c>
      <c r="C113" s="102">
        <v>213753</v>
      </c>
      <c r="D113" s="102" t="s">
        <v>1977</v>
      </c>
      <c r="E113" s="102"/>
    </row>
    <row r="114" spans="1:5" x14ac:dyDescent="0.15">
      <c r="A114" s="102" t="s">
        <v>1979</v>
      </c>
      <c r="B114" s="102" t="s">
        <v>1825</v>
      </c>
      <c r="C114" s="102">
        <v>162876</v>
      </c>
      <c r="D114" s="102" t="s">
        <v>1979</v>
      </c>
      <c r="E114" s="102"/>
    </row>
    <row r="115" spans="1:5" x14ac:dyDescent="0.15">
      <c r="A115" s="102" t="s">
        <v>1980</v>
      </c>
      <c r="B115" s="102" t="s">
        <v>1825</v>
      </c>
      <c r="C115" s="102">
        <v>202454</v>
      </c>
      <c r="D115" s="102" t="s">
        <v>1980</v>
      </c>
      <c r="E115" s="102"/>
    </row>
    <row r="116" spans="1:5" x14ac:dyDescent="0.15">
      <c r="A116" s="102" t="s">
        <v>1981</v>
      </c>
      <c r="B116" s="102" t="s">
        <v>1823</v>
      </c>
      <c r="C116" s="102">
        <v>110994</v>
      </c>
      <c r="D116" s="102" t="s">
        <v>1982</v>
      </c>
      <c r="E116" s="102"/>
    </row>
    <row r="117" spans="1:5" x14ac:dyDescent="0.15">
      <c r="A117" s="102" t="s">
        <v>1983</v>
      </c>
      <c r="B117" s="102" t="s">
        <v>1984</v>
      </c>
      <c r="C117" s="102">
        <v>217516</v>
      </c>
      <c r="D117" s="102" t="s">
        <v>1985</v>
      </c>
      <c r="E117" s="102"/>
    </row>
    <row r="118" spans="1:5" x14ac:dyDescent="0.15">
      <c r="A118" s="102" t="s">
        <v>1986</v>
      </c>
      <c r="B118" s="102" t="s">
        <v>1823</v>
      </c>
      <c r="C118" s="102">
        <v>155654</v>
      </c>
      <c r="D118" s="102" t="s">
        <v>1986</v>
      </c>
      <c r="E118" s="102"/>
    </row>
    <row r="119" spans="1:5" x14ac:dyDescent="0.15">
      <c r="A119" s="102" t="s">
        <v>1987</v>
      </c>
      <c r="B119" s="102" t="s">
        <v>1988</v>
      </c>
      <c r="C119" s="102">
        <v>217298</v>
      </c>
      <c r="D119" s="102" t="s">
        <v>1987</v>
      </c>
      <c r="E119" s="102"/>
    </row>
    <row r="120" spans="1:5" x14ac:dyDescent="0.15">
      <c r="A120" s="102" t="s">
        <v>1989</v>
      </c>
      <c r="B120" s="102" t="s">
        <v>1823</v>
      </c>
      <c r="C120" s="102">
        <v>111930</v>
      </c>
      <c r="D120" s="102" t="s">
        <v>1989</v>
      </c>
      <c r="E120" s="102"/>
    </row>
    <row r="121" spans="1:5" x14ac:dyDescent="0.15">
      <c r="A121" s="102" t="s">
        <v>1990</v>
      </c>
      <c r="B121" s="102" t="s">
        <v>1991</v>
      </c>
      <c r="C121" s="102">
        <v>223524</v>
      </c>
      <c r="D121" s="102" t="s">
        <v>1990</v>
      </c>
      <c r="E121" s="102"/>
    </row>
    <row r="122" spans="1:5" x14ac:dyDescent="0.15">
      <c r="A122" s="102" t="s">
        <v>1992</v>
      </c>
      <c r="B122" s="102" t="s">
        <v>1823</v>
      </c>
      <c r="C122" s="102">
        <v>155842</v>
      </c>
      <c r="D122" s="102" t="s">
        <v>1992</v>
      </c>
      <c r="E122" s="102"/>
    </row>
    <row r="123" spans="1:5" x14ac:dyDescent="0.15">
      <c r="A123" s="102" t="s">
        <v>1993</v>
      </c>
      <c r="B123" s="102" t="s">
        <v>1994</v>
      </c>
      <c r="C123" s="102">
        <v>98460</v>
      </c>
      <c r="D123" s="102" t="s">
        <v>1993</v>
      </c>
      <c r="E123" s="102"/>
    </row>
    <row r="124" spans="1:5" x14ac:dyDescent="0.15">
      <c r="A124" s="102" t="s">
        <v>1995</v>
      </c>
      <c r="B124" s="102" t="s">
        <v>1996</v>
      </c>
      <c r="C124" s="102">
        <v>245542</v>
      </c>
      <c r="D124" s="102" t="s">
        <v>1995</v>
      </c>
      <c r="E124" s="102"/>
    </row>
    <row r="125" spans="1:5" x14ac:dyDescent="0.15">
      <c r="A125" s="102" t="s">
        <v>1997</v>
      </c>
      <c r="B125" s="102" t="s">
        <v>1825</v>
      </c>
      <c r="C125" s="102">
        <v>207494</v>
      </c>
      <c r="D125" s="102" t="s">
        <v>1997</v>
      </c>
      <c r="E125" s="102"/>
    </row>
    <row r="126" spans="1:5" x14ac:dyDescent="0.15">
      <c r="A126" s="102" t="s">
        <v>1998</v>
      </c>
      <c r="B126" s="102" t="s">
        <v>1928</v>
      </c>
      <c r="C126" s="102">
        <v>202314</v>
      </c>
      <c r="D126" s="102" t="s">
        <v>1998</v>
      </c>
      <c r="E126" s="102"/>
    </row>
    <row r="127" spans="1:5" x14ac:dyDescent="0.15">
      <c r="A127" s="102" t="s">
        <v>1999</v>
      </c>
      <c r="B127" s="102" t="s">
        <v>1825</v>
      </c>
      <c r="C127" s="102">
        <v>172754</v>
      </c>
      <c r="D127" s="102" t="s">
        <v>1999</v>
      </c>
      <c r="E127" s="102"/>
    </row>
    <row r="128" spans="1:5" x14ac:dyDescent="0.15">
      <c r="A128" s="102" t="s">
        <v>2000</v>
      </c>
      <c r="B128" s="102" t="s">
        <v>1825</v>
      </c>
      <c r="C128" s="102">
        <v>162860</v>
      </c>
      <c r="D128" s="102" t="s">
        <v>2000</v>
      </c>
      <c r="E128" s="102"/>
    </row>
    <row r="129" spans="1:5" x14ac:dyDescent="0.15">
      <c r="A129" s="102" t="s">
        <v>2001</v>
      </c>
      <c r="B129" s="102" t="s">
        <v>1928</v>
      </c>
      <c r="C129" s="102">
        <v>115447</v>
      </c>
      <c r="D129" s="102" t="s">
        <v>2001</v>
      </c>
      <c r="E129" s="102"/>
    </row>
    <row r="130" spans="1:5" x14ac:dyDescent="0.15">
      <c r="A130" s="102" t="s">
        <v>2002</v>
      </c>
      <c r="B130" s="102" t="s">
        <v>1823</v>
      </c>
      <c r="C130" s="102">
        <v>110473</v>
      </c>
      <c r="D130" s="102" t="s">
        <v>2002</v>
      </c>
      <c r="E130" s="102"/>
    </row>
    <row r="131" spans="1:5" x14ac:dyDescent="0.15">
      <c r="A131" s="102" t="s">
        <v>2003</v>
      </c>
      <c r="B131" s="102" t="s">
        <v>1928</v>
      </c>
      <c r="C131" s="102">
        <v>119829</v>
      </c>
      <c r="D131" s="102" t="s">
        <v>2003</v>
      </c>
      <c r="E131" s="102"/>
    </row>
    <row r="132" spans="1:5" x14ac:dyDescent="0.15">
      <c r="A132" s="102" t="s">
        <v>2004</v>
      </c>
      <c r="B132" s="102" t="s">
        <v>1825</v>
      </c>
      <c r="C132" s="102">
        <v>204308</v>
      </c>
      <c r="D132" s="102" t="s">
        <v>2004</v>
      </c>
      <c r="E132" s="102"/>
    </row>
    <row r="133" spans="1:5" x14ac:dyDescent="0.15">
      <c r="A133" s="102" t="s">
        <v>2005</v>
      </c>
      <c r="B133" s="102" t="s">
        <v>1825</v>
      </c>
      <c r="C133" s="102">
        <v>162580</v>
      </c>
      <c r="D133" s="102" t="s">
        <v>2005</v>
      </c>
      <c r="E133" s="102"/>
    </row>
    <row r="134" spans="1:5" x14ac:dyDescent="0.15">
      <c r="A134" s="102" t="s">
        <v>2006</v>
      </c>
      <c r="B134" s="102" t="s">
        <v>2007</v>
      </c>
      <c r="C134" s="102">
        <v>248740</v>
      </c>
      <c r="D134" s="102" t="s">
        <v>2006</v>
      </c>
      <c r="E134" s="102"/>
    </row>
    <row r="135" spans="1:5" x14ac:dyDescent="0.15">
      <c r="A135" s="102" t="s">
        <v>2008</v>
      </c>
      <c r="B135" s="102" t="s">
        <v>2009</v>
      </c>
      <c r="C135" s="102">
        <v>245788</v>
      </c>
      <c r="D135" s="102" t="s">
        <v>2008</v>
      </c>
      <c r="E135" s="102"/>
    </row>
    <row r="136" spans="1:5" x14ac:dyDescent="0.15">
      <c r="A136" s="102" t="s">
        <v>2010</v>
      </c>
      <c r="B136" s="102" t="s">
        <v>1928</v>
      </c>
      <c r="C136" s="102">
        <v>98463</v>
      </c>
      <c r="D136" s="102" t="s">
        <v>2010</v>
      </c>
      <c r="E136" s="102"/>
    </row>
    <row r="137" spans="1:5" x14ac:dyDescent="0.15">
      <c r="A137" s="102" t="s">
        <v>2011</v>
      </c>
      <c r="B137" s="102" t="s">
        <v>1825</v>
      </c>
      <c r="C137" s="102">
        <v>181821</v>
      </c>
      <c r="D137" s="102" t="s">
        <v>2011</v>
      </c>
      <c r="E137" s="102"/>
    </row>
    <row r="138" spans="1:5" x14ac:dyDescent="0.15">
      <c r="A138" s="102" t="s">
        <v>2012</v>
      </c>
      <c r="B138" s="102" t="s">
        <v>1823</v>
      </c>
      <c r="C138" s="102">
        <v>103333</v>
      </c>
      <c r="D138" s="102" t="s">
        <v>2012</v>
      </c>
      <c r="E138" s="102"/>
    </row>
    <row r="139" spans="1:5" x14ac:dyDescent="0.15">
      <c r="A139" s="102" t="s">
        <v>2013</v>
      </c>
      <c r="B139" s="102" t="s">
        <v>1825</v>
      </c>
      <c r="C139" s="102">
        <v>158054</v>
      </c>
      <c r="D139" s="102" t="s">
        <v>2013</v>
      </c>
      <c r="E139" s="102"/>
    </row>
    <row r="140" spans="1:5" x14ac:dyDescent="0.15">
      <c r="A140" s="102" t="s">
        <v>2014</v>
      </c>
      <c r="B140" s="102" t="s">
        <v>2015</v>
      </c>
      <c r="C140" s="102">
        <v>243867</v>
      </c>
      <c r="D140" s="102" t="s">
        <v>2014</v>
      </c>
      <c r="E140" s="102"/>
    </row>
    <row r="141" spans="1:5" x14ac:dyDescent="0.15">
      <c r="A141" s="102" t="s">
        <v>2016</v>
      </c>
      <c r="B141" s="102" t="s">
        <v>2017</v>
      </c>
      <c r="C141" s="102">
        <v>216250</v>
      </c>
      <c r="D141" s="102" t="s">
        <v>2016</v>
      </c>
      <c r="E141" s="102"/>
    </row>
    <row r="142" spans="1:5" x14ac:dyDescent="0.15">
      <c r="A142" s="102" t="s">
        <v>2018</v>
      </c>
      <c r="B142" s="102" t="s">
        <v>2019</v>
      </c>
      <c r="C142" s="102">
        <v>247310</v>
      </c>
      <c r="D142" s="102" t="s">
        <v>2018</v>
      </c>
      <c r="E142" s="102"/>
    </row>
    <row r="143" spans="1:5" x14ac:dyDescent="0.15">
      <c r="A143" s="102" t="s">
        <v>2020</v>
      </c>
      <c r="B143" s="102" t="s">
        <v>1928</v>
      </c>
      <c r="C143" s="102">
        <v>162871</v>
      </c>
      <c r="D143" s="102" t="s">
        <v>2020</v>
      </c>
      <c r="E143" s="102"/>
    </row>
    <row r="144" spans="1:5" x14ac:dyDescent="0.15">
      <c r="A144" s="102" t="s">
        <v>2021</v>
      </c>
      <c r="B144" s="102" t="s">
        <v>2022</v>
      </c>
      <c r="C144" s="102">
        <v>244638</v>
      </c>
      <c r="D144" s="102" t="s">
        <v>2021</v>
      </c>
      <c r="E144" s="102"/>
    </row>
    <row r="145" spans="1:5" x14ac:dyDescent="0.15">
      <c r="A145" s="102" t="s">
        <v>2023</v>
      </c>
      <c r="B145" s="102" t="s">
        <v>1823</v>
      </c>
      <c r="C145" s="102">
        <v>103275</v>
      </c>
      <c r="D145" s="102" t="s">
        <v>2024</v>
      </c>
      <c r="E145" s="102"/>
    </row>
    <row r="146" spans="1:5" x14ac:dyDescent="0.15">
      <c r="A146" s="102" t="s">
        <v>2025</v>
      </c>
      <c r="B146" s="102" t="s">
        <v>2026</v>
      </c>
      <c r="C146" s="102">
        <v>217000</v>
      </c>
      <c r="D146" s="102" t="s">
        <v>2025</v>
      </c>
      <c r="E146" s="102"/>
    </row>
    <row r="147" spans="1:5" x14ac:dyDescent="0.15">
      <c r="A147" s="102" t="s">
        <v>2027</v>
      </c>
      <c r="B147" s="102" t="s">
        <v>2028</v>
      </c>
      <c r="C147" s="102">
        <v>216998</v>
      </c>
      <c r="D147" s="102" t="s">
        <v>2027</v>
      </c>
      <c r="E147" s="102"/>
    </row>
    <row r="148" spans="1:5" x14ac:dyDescent="0.15">
      <c r="A148" s="102" t="s">
        <v>2029</v>
      </c>
      <c r="B148" s="102" t="s">
        <v>2019</v>
      </c>
      <c r="C148" s="102">
        <v>247311</v>
      </c>
      <c r="D148" s="102" t="s">
        <v>2029</v>
      </c>
      <c r="E148" s="102"/>
    </row>
    <row r="149" spans="1:5" x14ac:dyDescent="0.15">
      <c r="A149" s="102" t="s">
        <v>2030</v>
      </c>
      <c r="B149" s="102" t="s">
        <v>2031</v>
      </c>
      <c r="C149" s="102">
        <v>247733</v>
      </c>
      <c r="D149" s="102" t="s">
        <v>2030</v>
      </c>
      <c r="E149" s="102"/>
    </row>
    <row r="150" spans="1:5" x14ac:dyDescent="0.15">
      <c r="A150" s="102" t="s">
        <v>2032</v>
      </c>
      <c r="B150" s="102" t="s">
        <v>1896</v>
      </c>
      <c r="C150" s="102">
        <v>246980</v>
      </c>
      <c r="D150" s="102" t="s">
        <v>2032</v>
      </c>
      <c r="E150" s="102"/>
    </row>
    <row r="151" spans="1:5" x14ac:dyDescent="0.15">
      <c r="A151" s="102" t="s">
        <v>2033</v>
      </c>
      <c r="B151" s="102" t="s">
        <v>2034</v>
      </c>
      <c r="C151" s="102">
        <v>218403</v>
      </c>
      <c r="D151" s="102" t="s">
        <v>2033</v>
      </c>
      <c r="E151" s="102"/>
    </row>
    <row r="152" spans="1:5" x14ac:dyDescent="0.15">
      <c r="A152" s="102" t="s">
        <v>2035</v>
      </c>
      <c r="B152" s="102" t="s">
        <v>1825</v>
      </c>
      <c r="C152" s="102">
        <v>164722</v>
      </c>
      <c r="D152" s="102" t="s">
        <v>2035</v>
      </c>
      <c r="E152" s="102"/>
    </row>
    <row r="153" spans="1:5" x14ac:dyDescent="0.15">
      <c r="A153" s="102" t="s">
        <v>2036</v>
      </c>
      <c r="B153" s="102" t="s">
        <v>1823</v>
      </c>
      <c r="C153" s="102">
        <v>98985</v>
      </c>
      <c r="D153" s="102" t="s">
        <v>2036</v>
      </c>
      <c r="E153" s="102"/>
    </row>
    <row r="154" spans="1:5" x14ac:dyDescent="0.15">
      <c r="A154" s="102" t="s">
        <v>2037</v>
      </c>
      <c r="B154" s="102" t="s">
        <v>1823</v>
      </c>
      <c r="C154" s="102">
        <v>111928</v>
      </c>
      <c r="D154" s="102" t="s">
        <v>2037</v>
      </c>
      <c r="E154" s="102"/>
    </row>
    <row r="155" spans="1:5" x14ac:dyDescent="0.15">
      <c r="A155" s="102" t="s">
        <v>2038</v>
      </c>
      <c r="B155" s="102" t="s">
        <v>1928</v>
      </c>
      <c r="C155" s="102">
        <v>178153</v>
      </c>
      <c r="D155" s="102" t="s">
        <v>2038</v>
      </c>
      <c r="E155" s="102"/>
    </row>
    <row r="156" spans="1:5" x14ac:dyDescent="0.15">
      <c r="A156" s="102" t="s">
        <v>2039</v>
      </c>
      <c r="B156" s="102" t="s">
        <v>1823</v>
      </c>
      <c r="C156" s="102">
        <v>121315</v>
      </c>
      <c r="D156" s="102" t="s">
        <v>2039</v>
      </c>
      <c r="E156" s="102"/>
    </row>
    <row r="157" spans="1:5" x14ac:dyDescent="0.15">
      <c r="A157" s="102" t="s">
        <v>2040</v>
      </c>
      <c r="B157" s="102" t="s">
        <v>1823</v>
      </c>
      <c r="C157" s="102">
        <v>120245</v>
      </c>
      <c r="D157" s="102" t="s">
        <v>2040</v>
      </c>
      <c r="E157" s="102"/>
    </row>
    <row r="158" spans="1:5" x14ac:dyDescent="0.15">
      <c r="A158" s="102" t="s">
        <v>2041</v>
      </c>
      <c r="B158" s="102" t="s">
        <v>1825</v>
      </c>
      <c r="C158" s="102">
        <v>202453</v>
      </c>
      <c r="D158" s="102" t="s">
        <v>2041</v>
      </c>
      <c r="E158" s="102"/>
    </row>
    <row r="159" spans="1:5" x14ac:dyDescent="0.15">
      <c r="A159" s="102" t="s">
        <v>2042</v>
      </c>
      <c r="B159" s="102" t="s">
        <v>2043</v>
      </c>
      <c r="C159" s="102">
        <v>232981</v>
      </c>
      <c r="D159" s="102" t="s">
        <v>2042</v>
      </c>
      <c r="E159" s="102"/>
    </row>
    <row r="160" spans="1:5" x14ac:dyDescent="0.15">
      <c r="A160" s="102" t="s">
        <v>2044</v>
      </c>
      <c r="B160" s="102" t="s">
        <v>2045</v>
      </c>
      <c r="C160" s="102">
        <v>235785</v>
      </c>
      <c r="D160" s="102" t="s">
        <v>2044</v>
      </c>
      <c r="E160" s="102"/>
    </row>
    <row r="161" spans="1:5" x14ac:dyDescent="0.15">
      <c r="A161" s="102" t="s">
        <v>2046</v>
      </c>
      <c r="B161" s="102" t="s">
        <v>2047</v>
      </c>
      <c r="C161" s="102">
        <v>223036</v>
      </c>
      <c r="D161" s="102" t="s">
        <v>2046</v>
      </c>
      <c r="E161" s="102"/>
    </row>
    <row r="162" spans="1:5" x14ac:dyDescent="0.15">
      <c r="A162" s="102" t="s">
        <v>2048</v>
      </c>
      <c r="B162" s="102" t="s">
        <v>2049</v>
      </c>
      <c r="C162" s="102">
        <v>215431</v>
      </c>
      <c r="D162" s="102" t="s">
        <v>2048</v>
      </c>
      <c r="E162" s="102"/>
    </row>
    <row r="163" spans="1:5" x14ac:dyDescent="0.15">
      <c r="A163" s="102" t="s">
        <v>2050</v>
      </c>
      <c r="B163" s="102" t="s">
        <v>1823</v>
      </c>
      <c r="C163" s="102">
        <v>121244</v>
      </c>
      <c r="D163" s="102" t="s">
        <v>2050</v>
      </c>
      <c r="E163" s="102"/>
    </row>
    <row r="164" spans="1:5" x14ac:dyDescent="0.15">
      <c r="A164" s="102" t="s">
        <v>2051</v>
      </c>
      <c r="B164" s="102" t="s">
        <v>1825</v>
      </c>
      <c r="C164" s="102">
        <v>205125</v>
      </c>
      <c r="D164" s="102" t="s">
        <v>2051</v>
      </c>
      <c r="E164" s="102"/>
    </row>
    <row r="165" spans="1:5" x14ac:dyDescent="0.15">
      <c r="A165" s="102" t="s">
        <v>2052</v>
      </c>
      <c r="B165" s="102" t="s">
        <v>1823</v>
      </c>
      <c r="C165" s="102">
        <v>98872</v>
      </c>
      <c r="D165" s="102" t="s">
        <v>2052</v>
      </c>
      <c r="E165" s="102"/>
    </row>
    <row r="166" spans="1:5" x14ac:dyDescent="0.15">
      <c r="A166" s="102" t="s">
        <v>2053</v>
      </c>
      <c r="B166" s="102" t="s">
        <v>2054</v>
      </c>
      <c r="C166" s="102">
        <v>218404</v>
      </c>
      <c r="D166" s="102" t="s">
        <v>2053</v>
      </c>
      <c r="E166" s="102"/>
    </row>
    <row r="167" spans="1:5" x14ac:dyDescent="0.15">
      <c r="A167" s="102" t="s">
        <v>2055</v>
      </c>
      <c r="B167" s="102" t="s">
        <v>2056</v>
      </c>
      <c r="C167" s="102">
        <v>224140</v>
      </c>
      <c r="D167" s="102" t="s">
        <v>2055</v>
      </c>
      <c r="E167" s="102"/>
    </row>
    <row r="168" spans="1:5" x14ac:dyDescent="0.15">
      <c r="A168" s="102" t="s">
        <v>2057</v>
      </c>
      <c r="B168" s="102" t="s">
        <v>2058</v>
      </c>
      <c r="C168" s="102">
        <v>243696</v>
      </c>
      <c r="D168" s="102" t="s">
        <v>2057</v>
      </c>
      <c r="E168" s="102"/>
    </row>
    <row r="169" spans="1:5" x14ac:dyDescent="0.15">
      <c r="A169" s="102" t="s">
        <v>2059</v>
      </c>
      <c r="B169" s="102" t="s">
        <v>1928</v>
      </c>
      <c r="C169" s="102">
        <v>202457</v>
      </c>
      <c r="D169" s="102" t="s">
        <v>2059</v>
      </c>
      <c r="E169" s="102"/>
    </row>
    <row r="170" spans="1:5" x14ac:dyDescent="0.15">
      <c r="A170" s="102" t="s">
        <v>2060</v>
      </c>
      <c r="B170" s="102" t="s">
        <v>2061</v>
      </c>
      <c r="C170" s="102">
        <v>245833</v>
      </c>
      <c r="D170" s="102" t="s">
        <v>2060</v>
      </c>
      <c r="E170" s="102"/>
    </row>
    <row r="171" spans="1:5" x14ac:dyDescent="0.15">
      <c r="A171" s="102" t="s">
        <v>2062</v>
      </c>
      <c r="B171" s="102" t="s">
        <v>1823</v>
      </c>
      <c r="C171" s="102">
        <v>98464</v>
      </c>
      <c r="D171" s="102" t="s">
        <v>2062</v>
      </c>
      <c r="E171" s="102"/>
    </row>
    <row r="172" spans="1:5" x14ac:dyDescent="0.15">
      <c r="A172" s="102" t="s">
        <v>2063</v>
      </c>
      <c r="B172" s="102" t="s">
        <v>2064</v>
      </c>
      <c r="C172" s="102">
        <v>228141</v>
      </c>
      <c r="D172" s="102" t="s">
        <v>2063</v>
      </c>
      <c r="E172" s="102"/>
    </row>
    <row r="173" spans="1:5" x14ac:dyDescent="0.15">
      <c r="A173" s="102" t="s">
        <v>2065</v>
      </c>
      <c r="B173" s="102" t="s">
        <v>2066</v>
      </c>
      <c r="C173" s="102">
        <v>245789</v>
      </c>
      <c r="D173" s="102" t="s">
        <v>2065</v>
      </c>
      <c r="E173" s="102"/>
    </row>
    <row r="174" spans="1:5" x14ac:dyDescent="0.15">
      <c r="A174" s="102" t="s">
        <v>2067</v>
      </c>
      <c r="B174" s="102" t="s">
        <v>2068</v>
      </c>
      <c r="C174" s="102">
        <v>243665</v>
      </c>
      <c r="D174" s="102" t="s">
        <v>2067</v>
      </c>
      <c r="E174" s="102"/>
    </row>
    <row r="175" spans="1:5" x14ac:dyDescent="0.15">
      <c r="A175" s="102" t="s">
        <v>2069</v>
      </c>
      <c r="B175" s="102" t="s">
        <v>1825</v>
      </c>
      <c r="C175" s="102">
        <v>160582</v>
      </c>
      <c r="D175" s="102" t="s">
        <v>2069</v>
      </c>
      <c r="E175" s="102"/>
    </row>
    <row r="176" spans="1:5" x14ac:dyDescent="0.15">
      <c r="A176" s="102" t="s">
        <v>2070</v>
      </c>
      <c r="B176" s="102" t="s">
        <v>2071</v>
      </c>
      <c r="C176" s="102">
        <v>233203</v>
      </c>
      <c r="D176" s="102" t="s">
        <v>2070</v>
      </c>
      <c r="E176" s="102"/>
    </row>
    <row r="177" spans="1:5" x14ac:dyDescent="0.15">
      <c r="A177" s="102" t="s">
        <v>2072</v>
      </c>
      <c r="B177" s="102" t="s">
        <v>1825</v>
      </c>
      <c r="C177" s="102">
        <v>214152</v>
      </c>
      <c r="D177" s="102" t="s">
        <v>2072</v>
      </c>
      <c r="E177" s="102"/>
    </row>
    <row r="178" spans="1:5" x14ac:dyDescent="0.15">
      <c r="A178" s="102" t="s">
        <v>2073</v>
      </c>
      <c r="B178" s="102" t="s">
        <v>2074</v>
      </c>
      <c r="C178" s="102">
        <v>246723</v>
      </c>
      <c r="D178" s="102" t="s">
        <v>2073</v>
      </c>
      <c r="E178" s="102"/>
    </row>
    <row r="179" spans="1:5" x14ac:dyDescent="0.15">
      <c r="A179" s="102" t="s">
        <v>2075</v>
      </c>
      <c r="B179" s="102" t="s">
        <v>1825</v>
      </c>
      <c r="C179" s="102">
        <v>182799</v>
      </c>
      <c r="D179" s="102" t="s">
        <v>2075</v>
      </c>
      <c r="E179" s="102"/>
    </row>
    <row r="180" spans="1:5" x14ac:dyDescent="0.15">
      <c r="A180" s="102" t="s">
        <v>2076</v>
      </c>
      <c r="B180" s="102" t="s">
        <v>2077</v>
      </c>
      <c r="C180" s="102">
        <v>243669</v>
      </c>
      <c r="D180" s="102" t="s">
        <v>2076</v>
      </c>
      <c r="E180" s="102"/>
    </row>
    <row r="181" spans="1:5" x14ac:dyDescent="0.15">
      <c r="A181" s="102" t="s">
        <v>2078</v>
      </c>
      <c r="B181" s="102" t="s">
        <v>2079</v>
      </c>
      <c r="C181" s="102">
        <v>248971</v>
      </c>
      <c r="D181" s="102" t="s">
        <v>2078</v>
      </c>
      <c r="E181" s="102"/>
    </row>
    <row r="182" spans="1:5" x14ac:dyDescent="0.15">
      <c r="A182" s="102" t="s">
        <v>2080</v>
      </c>
      <c r="B182" s="102" t="s">
        <v>1825</v>
      </c>
      <c r="C182" s="102">
        <v>163053</v>
      </c>
      <c r="D182" s="102" t="s">
        <v>2080</v>
      </c>
      <c r="E182" s="102"/>
    </row>
    <row r="183" spans="1:5" x14ac:dyDescent="0.15">
      <c r="A183" s="102" t="s">
        <v>2081</v>
      </c>
      <c r="B183" s="102" t="s">
        <v>1823</v>
      </c>
      <c r="C183" s="102">
        <v>155841</v>
      </c>
      <c r="D183" s="102" t="s">
        <v>2081</v>
      </c>
      <c r="E183" s="102"/>
    </row>
    <row r="184" spans="1:5" x14ac:dyDescent="0.15">
      <c r="A184" s="102" t="s">
        <v>2082</v>
      </c>
      <c r="B184" s="102" t="s">
        <v>2083</v>
      </c>
      <c r="C184" s="102">
        <v>230107</v>
      </c>
      <c r="D184" s="102" t="s">
        <v>2082</v>
      </c>
      <c r="E184" s="102"/>
    </row>
    <row r="185" spans="1:5" x14ac:dyDescent="0.15">
      <c r="A185" s="102" t="s">
        <v>2084</v>
      </c>
      <c r="B185" s="102" t="s">
        <v>1823</v>
      </c>
      <c r="C185" s="102">
        <v>119975</v>
      </c>
      <c r="D185" s="102" t="s">
        <v>2084</v>
      </c>
      <c r="E185" s="102"/>
    </row>
    <row r="186" spans="1:5" x14ac:dyDescent="0.15">
      <c r="A186" s="102" t="s">
        <v>2085</v>
      </c>
      <c r="B186" s="102" t="s">
        <v>2086</v>
      </c>
      <c r="C186" s="102">
        <v>241086</v>
      </c>
      <c r="D186" s="102" t="s">
        <v>2085</v>
      </c>
      <c r="E186" s="102"/>
    </row>
    <row r="187" spans="1:5" x14ac:dyDescent="0.15">
      <c r="A187" s="102" t="s">
        <v>2087</v>
      </c>
      <c r="B187" s="102" t="s">
        <v>2088</v>
      </c>
      <c r="C187" s="102">
        <v>241087</v>
      </c>
      <c r="D187" s="102" t="s">
        <v>2087</v>
      </c>
      <c r="E187" s="102"/>
    </row>
    <row r="188" spans="1:5" x14ac:dyDescent="0.15">
      <c r="A188" s="102" t="s">
        <v>2089</v>
      </c>
      <c r="B188" s="102" t="s">
        <v>1823</v>
      </c>
      <c r="C188" s="102">
        <v>155839</v>
      </c>
      <c r="D188" s="102" t="s">
        <v>2089</v>
      </c>
      <c r="E188" s="102"/>
    </row>
    <row r="189" spans="1:5" x14ac:dyDescent="0.15">
      <c r="A189" s="102" t="s">
        <v>2090</v>
      </c>
      <c r="B189" s="102" t="s">
        <v>2091</v>
      </c>
      <c r="C189" s="102">
        <v>215887</v>
      </c>
      <c r="D189" s="102" t="s">
        <v>2090</v>
      </c>
      <c r="E189" s="102"/>
    </row>
    <row r="190" spans="1:5" x14ac:dyDescent="0.15">
      <c r="A190" s="102" t="s">
        <v>2092</v>
      </c>
      <c r="B190" s="102" t="s">
        <v>1825</v>
      </c>
      <c r="C190" s="102">
        <v>162920</v>
      </c>
      <c r="D190" s="102" t="s">
        <v>2092</v>
      </c>
      <c r="E190" s="102"/>
    </row>
    <row r="191" spans="1:5" x14ac:dyDescent="0.15">
      <c r="A191" s="102" t="s">
        <v>2093</v>
      </c>
      <c r="B191" s="102" t="s">
        <v>1823</v>
      </c>
      <c r="C191" s="102">
        <v>111932</v>
      </c>
      <c r="D191" s="102" t="s">
        <v>2093</v>
      </c>
      <c r="E191" s="102"/>
    </row>
    <row r="192" spans="1:5" x14ac:dyDescent="0.15">
      <c r="A192" s="102" t="s">
        <v>2094</v>
      </c>
      <c r="B192" s="102" t="s">
        <v>2095</v>
      </c>
      <c r="C192" s="102">
        <v>243868</v>
      </c>
      <c r="D192" s="102" t="s">
        <v>2094</v>
      </c>
      <c r="E192" s="102"/>
    </row>
    <row r="193" spans="1:5" x14ac:dyDescent="0.15">
      <c r="A193" s="102" t="s">
        <v>2096</v>
      </c>
      <c r="B193" s="102" t="s">
        <v>1825</v>
      </c>
      <c r="C193" s="102">
        <v>158043</v>
      </c>
      <c r="D193" s="102" t="s">
        <v>2096</v>
      </c>
      <c r="E193" s="102"/>
    </row>
    <row r="194" spans="1:5" x14ac:dyDescent="0.15">
      <c r="A194" s="102" t="s">
        <v>2097</v>
      </c>
      <c r="B194" s="102" t="s">
        <v>1825</v>
      </c>
      <c r="C194" s="102">
        <v>182796</v>
      </c>
      <c r="D194" s="102" t="s">
        <v>2097</v>
      </c>
      <c r="E194" s="102"/>
    </row>
    <row r="195" spans="1:5" x14ac:dyDescent="0.15">
      <c r="A195" s="102" t="s">
        <v>2098</v>
      </c>
      <c r="B195" s="102" t="s">
        <v>1825</v>
      </c>
      <c r="C195" s="102">
        <v>207493</v>
      </c>
      <c r="D195" s="102" t="s">
        <v>2098</v>
      </c>
      <c r="E195" s="102"/>
    </row>
    <row r="196" spans="1:5" x14ac:dyDescent="0.15">
      <c r="A196" s="102" t="s">
        <v>2099</v>
      </c>
      <c r="B196" s="102" t="s">
        <v>2100</v>
      </c>
      <c r="C196" s="102">
        <v>222846</v>
      </c>
      <c r="D196" s="102" t="s">
        <v>2099</v>
      </c>
      <c r="E196" s="102"/>
    </row>
    <row r="197" spans="1:5" x14ac:dyDescent="0.15">
      <c r="A197" s="102" t="s">
        <v>2101</v>
      </c>
      <c r="B197" s="102" t="s">
        <v>1825</v>
      </c>
      <c r="C197" s="102">
        <v>166298</v>
      </c>
      <c r="D197" s="102" t="s">
        <v>2101</v>
      </c>
      <c r="E197" s="102"/>
    </row>
    <row r="198" spans="1:5" x14ac:dyDescent="0.15">
      <c r="A198" s="102" t="s">
        <v>2102</v>
      </c>
      <c r="B198" s="102" t="s">
        <v>1823</v>
      </c>
      <c r="C198" s="102">
        <v>120246</v>
      </c>
      <c r="D198" s="102" t="s">
        <v>2102</v>
      </c>
      <c r="E198" s="102"/>
    </row>
    <row r="199" spans="1:5" x14ac:dyDescent="0.15">
      <c r="A199" s="102" t="s">
        <v>2103</v>
      </c>
      <c r="B199" s="102" t="s">
        <v>2104</v>
      </c>
      <c r="C199" s="102">
        <v>245787</v>
      </c>
      <c r="D199" s="102" t="s">
        <v>2103</v>
      </c>
      <c r="E199" s="102"/>
    </row>
    <row r="200" spans="1:5" x14ac:dyDescent="0.15">
      <c r="A200" s="102" t="s">
        <v>2105</v>
      </c>
      <c r="B200" s="102" t="s">
        <v>2106</v>
      </c>
      <c r="C200" s="102">
        <v>233807</v>
      </c>
      <c r="D200" s="102" t="s">
        <v>2105</v>
      </c>
      <c r="E200" s="102"/>
    </row>
    <row r="201" spans="1:5" x14ac:dyDescent="0.15">
      <c r="A201" s="102" t="s">
        <v>2107</v>
      </c>
      <c r="B201" s="102" t="s">
        <v>1825</v>
      </c>
      <c r="C201" s="102">
        <v>202823</v>
      </c>
      <c r="D201" s="102" t="s">
        <v>2107</v>
      </c>
      <c r="E201" s="102"/>
    </row>
    <row r="202" spans="1:5" x14ac:dyDescent="0.15">
      <c r="A202" s="102" t="s">
        <v>2108</v>
      </c>
      <c r="B202" s="102" t="s">
        <v>1823</v>
      </c>
      <c r="C202" s="102">
        <v>155325</v>
      </c>
      <c r="D202" s="102" t="s">
        <v>2108</v>
      </c>
      <c r="E202" s="102"/>
    </row>
    <row r="203" spans="1:5" x14ac:dyDescent="0.15">
      <c r="A203" s="102" t="s">
        <v>2109</v>
      </c>
      <c r="B203" s="102" t="s">
        <v>2110</v>
      </c>
      <c r="C203" s="102">
        <v>225761</v>
      </c>
      <c r="D203" s="102" t="s">
        <v>2109</v>
      </c>
      <c r="E203" s="102"/>
    </row>
    <row r="204" spans="1:5" x14ac:dyDescent="0.15">
      <c r="A204" s="102" t="s">
        <v>2111</v>
      </c>
      <c r="B204" s="102" t="s">
        <v>1823</v>
      </c>
      <c r="C204" s="102">
        <v>103364</v>
      </c>
      <c r="D204" s="102" t="s">
        <v>2111</v>
      </c>
      <c r="E204" s="102"/>
    </row>
    <row r="205" spans="1:5" x14ac:dyDescent="0.15">
      <c r="A205" s="102" t="s">
        <v>2112</v>
      </c>
      <c r="B205" s="102" t="s">
        <v>1825</v>
      </c>
      <c r="C205" s="102">
        <v>178591</v>
      </c>
      <c r="D205" s="102" t="s">
        <v>2112</v>
      </c>
      <c r="E205" s="102"/>
    </row>
    <row r="206" spans="1:5" x14ac:dyDescent="0.15">
      <c r="A206" s="102" t="s">
        <v>2113</v>
      </c>
      <c r="B206" s="102" t="s">
        <v>1825</v>
      </c>
      <c r="C206" s="102">
        <v>160603</v>
      </c>
      <c r="D206" s="102" t="s">
        <v>2113</v>
      </c>
      <c r="E206" s="102"/>
    </row>
    <row r="207" spans="1:5" x14ac:dyDescent="0.15">
      <c r="A207" s="102" t="s">
        <v>2114</v>
      </c>
      <c r="B207" s="102" t="s">
        <v>1823</v>
      </c>
      <c r="C207" s="102">
        <v>103250</v>
      </c>
      <c r="D207" s="102" t="s">
        <v>2114</v>
      </c>
      <c r="E207" s="102"/>
    </row>
    <row r="208" spans="1:5" x14ac:dyDescent="0.15">
      <c r="A208" s="102" t="s">
        <v>2115</v>
      </c>
      <c r="B208" s="102" t="s">
        <v>2116</v>
      </c>
      <c r="C208" s="102">
        <v>218416</v>
      </c>
      <c r="D208" s="102" t="s">
        <v>2115</v>
      </c>
      <c r="E208" s="102"/>
    </row>
    <row r="209" spans="1:5" x14ac:dyDescent="0.15">
      <c r="A209" s="102" t="s">
        <v>2117</v>
      </c>
      <c r="B209" s="102" t="s">
        <v>2118</v>
      </c>
      <c r="C209" s="102">
        <v>218412</v>
      </c>
      <c r="D209" s="102" t="s">
        <v>2117</v>
      </c>
      <c r="E209" s="102"/>
    </row>
    <row r="210" spans="1:5" x14ac:dyDescent="0.15">
      <c r="A210" s="102" t="s">
        <v>2119</v>
      </c>
      <c r="B210" s="102" t="s">
        <v>1825</v>
      </c>
      <c r="C210" s="102">
        <v>172629</v>
      </c>
      <c r="D210" s="102" t="s">
        <v>2119</v>
      </c>
      <c r="E210" s="102"/>
    </row>
    <row r="211" spans="1:5" x14ac:dyDescent="0.15">
      <c r="A211" s="102" t="s">
        <v>2120</v>
      </c>
      <c r="B211" s="102" t="s">
        <v>2121</v>
      </c>
      <c r="C211" s="102">
        <v>231963</v>
      </c>
      <c r="D211" s="102" t="s">
        <v>2120</v>
      </c>
      <c r="E211" s="102"/>
    </row>
    <row r="212" spans="1:5" x14ac:dyDescent="0.15">
      <c r="A212" s="102" t="s">
        <v>2122</v>
      </c>
      <c r="B212" s="102" t="s">
        <v>2123</v>
      </c>
      <c r="C212" s="102">
        <v>110466</v>
      </c>
      <c r="D212" s="102" t="s">
        <v>2122</v>
      </c>
      <c r="E212" s="102"/>
    </row>
    <row r="213" spans="1:5" x14ac:dyDescent="0.15">
      <c r="A213" s="102" t="s">
        <v>2124</v>
      </c>
      <c r="B213" s="102" t="s">
        <v>1823</v>
      </c>
      <c r="C213" s="102">
        <v>103260</v>
      </c>
      <c r="D213" s="102" t="s">
        <v>2124</v>
      </c>
      <c r="E213" s="102"/>
    </row>
    <row r="214" spans="1:5" x14ac:dyDescent="0.15">
      <c r="A214" s="102" t="s">
        <v>2125</v>
      </c>
      <c r="B214" s="102" t="s">
        <v>1825</v>
      </c>
      <c r="C214" s="102">
        <v>162916</v>
      </c>
      <c r="D214" s="102" t="s">
        <v>2125</v>
      </c>
      <c r="E214" s="102"/>
    </row>
    <row r="215" spans="1:5" x14ac:dyDescent="0.15">
      <c r="A215" s="102" t="s">
        <v>2126</v>
      </c>
      <c r="B215" s="102" t="s">
        <v>2127</v>
      </c>
      <c r="C215" s="102">
        <v>218047</v>
      </c>
      <c r="D215" s="102" t="s">
        <v>2126</v>
      </c>
      <c r="E215" s="102"/>
    </row>
    <row r="216" spans="1:5" x14ac:dyDescent="0.15">
      <c r="A216" s="102" t="s">
        <v>2128</v>
      </c>
      <c r="B216" s="102" t="s">
        <v>1823</v>
      </c>
      <c r="C216" s="102">
        <v>110764</v>
      </c>
      <c r="D216" s="102" t="s">
        <v>2128</v>
      </c>
      <c r="E216" s="102"/>
    </row>
    <row r="217" spans="1:5" x14ac:dyDescent="0.15">
      <c r="A217" s="102" t="s">
        <v>2129</v>
      </c>
      <c r="B217" s="102" t="s">
        <v>1825</v>
      </c>
      <c r="C217" s="102">
        <v>160606</v>
      </c>
      <c r="D217" s="102" t="s">
        <v>2129</v>
      </c>
      <c r="E217" s="102"/>
    </row>
    <row r="218" spans="1:5" x14ac:dyDescent="0.15">
      <c r="A218" s="102" t="s">
        <v>2130</v>
      </c>
      <c r="B218" s="102" t="s">
        <v>1825</v>
      </c>
      <c r="C218" s="102">
        <v>165391</v>
      </c>
      <c r="D218" s="102" t="s">
        <v>2130</v>
      </c>
      <c r="E218" s="102"/>
    </row>
    <row r="219" spans="1:5" x14ac:dyDescent="0.15">
      <c r="A219" s="102" t="s">
        <v>2131</v>
      </c>
      <c r="B219" s="102" t="s">
        <v>1823</v>
      </c>
      <c r="C219" s="102">
        <v>112300</v>
      </c>
      <c r="D219" s="102" t="s">
        <v>2131</v>
      </c>
      <c r="E219" s="102"/>
    </row>
    <row r="220" spans="1:5" x14ac:dyDescent="0.15">
      <c r="A220" s="102" t="s">
        <v>2132</v>
      </c>
      <c r="B220" s="102" t="s">
        <v>2133</v>
      </c>
      <c r="C220" s="102">
        <v>240270</v>
      </c>
      <c r="D220" s="102" t="s">
        <v>2132</v>
      </c>
      <c r="E220" s="102"/>
    </row>
    <row r="221" spans="1:5" x14ac:dyDescent="0.15">
      <c r="A221" s="102" t="s">
        <v>2134</v>
      </c>
      <c r="B221" s="102" t="s">
        <v>2135</v>
      </c>
      <c r="C221" s="102">
        <v>246978</v>
      </c>
      <c r="D221" s="102" t="s">
        <v>2134</v>
      </c>
      <c r="E221" s="102"/>
    </row>
    <row r="222" spans="1:5" x14ac:dyDescent="0.15">
      <c r="A222" s="102" t="s">
        <v>2136</v>
      </c>
      <c r="B222" s="102" t="s">
        <v>1823</v>
      </c>
      <c r="C222" s="102">
        <v>155837</v>
      </c>
      <c r="D222" s="102" t="s">
        <v>2136</v>
      </c>
      <c r="E222" s="102"/>
    </row>
    <row r="223" spans="1:5" x14ac:dyDescent="0.15">
      <c r="A223" s="102" t="s">
        <v>2137</v>
      </c>
      <c r="B223" s="102" t="s">
        <v>1825</v>
      </c>
      <c r="C223" s="102">
        <v>178580</v>
      </c>
      <c r="D223" s="102" t="s">
        <v>2137</v>
      </c>
      <c r="E223" s="102"/>
    </row>
    <row r="224" spans="1:5" x14ac:dyDescent="0.15">
      <c r="A224" s="102" t="s">
        <v>2138</v>
      </c>
      <c r="B224" s="102" t="s">
        <v>2139</v>
      </c>
      <c r="C224" s="102">
        <v>240269</v>
      </c>
      <c r="D224" s="102" t="s">
        <v>2138</v>
      </c>
      <c r="E224" s="102"/>
    </row>
    <row r="225" spans="1:5" x14ac:dyDescent="0.15">
      <c r="A225" s="102" t="s">
        <v>2140</v>
      </c>
      <c r="B225" s="102" t="s">
        <v>1825</v>
      </c>
      <c r="C225" s="102">
        <v>164727</v>
      </c>
      <c r="D225" s="102" t="s">
        <v>2140</v>
      </c>
      <c r="E225" s="102"/>
    </row>
    <row r="226" spans="1:5" x14ac:dyDescent="0.15">
      <c r="A226" s="102" t="s">
        <v>2141</v>
      </c>
      <c r="B226" s="102" t="s">
        <v>1823</v>
      </c>
      <c r="C226" s="102">
        <v>120139</v>
      </c>
      <c r="D226" s="102" t="s">
        <v>2141</v>
      </c>
      <c r="E226" s="102"/>
    </row>
    <row r="227" spans="1:5" x14ac:dyDescent="0.15">
      <c r="A227" s="102" t="s">
        <v>2142</v>
      </c>
      <c r="B227" s="102" t="s">
        <v>2143</v>
      </c>
      <c r="C227" s="102">
        <v>246267</v>
      </c>
      <c r="D227" s="102" t="s">
        <v>2142</v>
      </c>
      <c r="E227" s="102"/>
    </row>
    <row r="228" spans="1:5" x14ac:dyDescent="0.15">
      <c r="A228" s="102" t="s">
        <v>1399</v>
      </c>
      <c r="B228" s="102" t="s">
        <v>1825</v>
      </c>
      <c r="C228" s="102">
        <v>192377</v>
      </c>
      <c r="D228" s="102" t="s">
        <v>1399</v>
      </c>
      <c r="E228" s="102"/>
    </row>
    <row r="229" spans="1:5" x14ac:dyDescent="0.15">
      <c r="A229" s="102" t="s">
        <v>2144</v>
      </c>
      <c r="B229" s="102" t="s">
        <v>1825</v>
      </c>
      <c r="C229" s="102">
        <v>204511</v>
      </c>
      <c r="D229" s="102" t="s">
        <v>2144</v>
      </c>
      <c r="E229" s="102"/>
    </row>
    <row r="230" spans="1:5" x14ac:dyDescent="0.15">
      <c r="A230" s="102" t="s">
        <v>2145</v>
      </c>
      <c r="B230" s="102" t="s">
        <v>2146</v>
      </c>
      <c r="C230" s="102">
        <v>243126</v>
      </c>
      <c r="D230" s="102" t="s">
        <v>2145</v>
      </c>
      <c r="E230" s="102"/>
    </row>
    <row r="231" spans="1:5" x14ac:dyDescent="0.15">
      <c r="A231" s="102" t="s">
        <v>2147</v>
      </c>
      <c r="B231" s="102" t="s">
        <v>2148</v>
      </c>
      <c r="C231" s="102">
        <v>242773</v>
      </c>
      <c r="D231" s="102" t="s">
        <v>2147</v>
      </c>
      <c r="E231" s="102"/>
    </row>
    <row r="232" spans="1:5" x14ac:dyDescent="0.15">
      <c r="A232" s="102" t="s">
        <v>2149</v>
      </c>
      <c r="B232" s="102" t="s">
        <v>1825</v>
      </c>
      <c r="C232" s="102">
        <v>162859</v>
      </c>
      <c r="D232" s="102" t="s">
        <v>2149</v>
      </c>
      <c r="E232" s="102"/>
    </row>
    <row r="233" spans="1:5" x14ac:dyDescent="0.15">
      <c r="A233" s="102" t="s">
        <v>2150</v>
      </c>
      <c r="B233" s="102" t="s">
        <v>1825</v>
      </c>
      <c r="C233" s="102">
        <v>157573</v>
      </c>
      <c r="D233" s="102" t="s">
        <v>2151</v>
      </c>
      <c r="E233" s="102"/>
    </row>
    <row r="234" spans="1:5" x14ac:dyDescent="0.15">
      <c r="A234" s="102" t="s">
        <v>2152</v>
      </c>
      <c r="B234" s="102" t="s">
        <v>1825</v>
      </c>
      <c r="C234" s="102">
        <v>157568</v>
      </c>
      <c r="D234" s="102" t="s">
        <v>2152</v>
      </c>
      <c r="E234" s="102"/>
    </row>
    <row r="235" spans="1:5" x14ac:dyDescent="0.15">
      <c r="A235" s="102" t="s">
        <v>2153</v>
      </c>
      <c r="B235" s="102" t="s">
        <v>2154</v>
      </c>
      <c r="C235" s="102">
        <v>228147</v>
      </c>
      <c r="D235" s="102" t="s">
        <v>2153</v>
      </c>
      <c r="E235" s="102"/>
    </row>
    <row r="236" spans="1:5" x14ac:dyDescent="0.15">
      <c r="A236" s="102" t="s">
        <v>2155</v>
      </c>
      <c r="B236" s="102" t="s">
        <v>2156</v>
      </c>
      <c r="C236" s="102">
        <v>225259</v>
      </c>
      <c r="D236" s="102" t="s">
        <v>2155</v>
      </c>
      <c r="E236" s="102"/>
    </row>
    <row r="237" spans="1:5" x14ac:dyDescent="0.15">
      <c r="A237" s="102" t="s">
        <v>2157</v>
      </c>
      <c r="B237" s="102" t="s">
        <v>1825</v>
      </c>
      <c r="C237" s="102">
        <v>172954</v>
      </c>
      <c r="D237" s="102" t="s">
        <v>2157</v>
      </c>
      <c r="E237" s="102"/>
    </row>
    <row r="238" spans="1:5" x14ac:dyDescent="0.15">
      <c r="A238" s="102" t="s">
        <v>2158</v>
      </c>
      <c r="B238" s="102" t="s">
        <v>2159</v>
      </c>
      <c r="C238" s="102">
        <v>245537</v>
      </c>
      <c r="D238" s="102" t="s">
        <v>2158</v>
      </c>
      <c r="E238" s="102"/>
    </row>
    <row r="239" spans="1:5" x14ac:dyDescent="0.15">
      <c r="A239" s="102" t="s">
        <v>2160</v>
      </c>
      <c r="B239" s="102" t="s">
        <v>1825</v>
      </c>
      <c r="C239" s="102">
        <v>204306</v>
      </c>
      <c r="D239" s="102" t="s">
        <v>2160</v>
      </c>
      <c r="E239" s="102"/>
    </row>
    <row r="240" spans="1:5" x14ac:dyDescent="0.15">
      <c r="A240" s="102" t="s">
        <v>2161</v>
      </c>
      <c r="B240" s="102" t="s">
        <v>1825</v>
      </c>
      <c r="C240" s="102">
        <v>158133</v>
      </c>
      <c r="D240" s="102" t="s">
        <v>2161</v>
      </c>
      <c r="E240" s="102"/>
    </row>
    <row r="241" spans="1:5" x14ac:dyDescent="0.15">
      <c r="A241" s="102" t="s">
        <v>2162</v>
      </c>
      <c r="B241" s="102" t="s">
        <v>2163</v>
      </c>
      <c r="C241" s="102">
        <v>224141</v>
      </c>
      <c r="D241" s="102" t="s">
        <v>2162</v>
      </c>
      <c r="E241" s="102"/>
    </row>
    <row r="242" spans="1:5" x14ac:dyDescent="0.15">
      <c r="A242" s="102" t="s">
        <v>2164</v>
      </c>
      <c r="B242" s="102" t="s">
        <v>2165</v>
      </c>
      <c r="C242" s="102">
        <v>213267</v>
      </c>
      <c r="D242" s="102" t="s">
        <v>2164</v>
      </c>
      <c r="E242" s="102"/>
    </row>
    <row r="243" spans="1:5" x14ac:dyDescent="0.15">
      <c r="A243" s="102" t="s">
        <v>2166</v>
      </c>
      <c r="B243" s="102" t="s">
        <v>2167</v>
      </c>
      <c r="C243" s="102">
        <v>248373</v>
      </c>
      <c r="D243" s="102" t="s">
        <v>2166</v>
      </c>
      <c r="E243" s="102"/>
    </row>
    <row r="244" spans="1:5" x14ac:dyDescent="0.15">
      <c r="A244" s="102" t="s">
        <v>2168</v>
      </c>
      <c r="B244" s="102" t="s">
        <v>1825</v>
      </c>
      <c r="C244" s="102">
        <v>162892</v>
      </c>
      <c r="D244" s="102" t="s">
        <v>2168</v>
      </c>
      <c r="E244" s="102"/>
    </row>
    <row r="245" spans="1:5" x14ac:dyDescent="0.15">
      <c r="A245" s="102" t="s">
        <v>2169</v>
      </c>
      <c r="B245" s="102" t="s">
        <v>1823</v>
      </c>
      <c r="C245" s="102">
        <v>155840</v>
      </c>
      <c r="D245" s="102" t="s">
        <v>2169</v>
      </c>
      <c r="E245" s="102"/>
    </row>
    <row r="246" spans="1:5" x14ac:dyDescent="0.15">
      <c r="A246" s="102" t="s">
        <v>2170</v>
      </c>
      <c r="B246" s="102" t="s">
        <v>1825</v>
      </c>
      <c r="C246" s="102">
        <v>178213</v>
      </c>
      <c r="D246" s="102" t="s">
        <v>2170</v>
      </c>
      <c r="E246" s="102"/>
    </row>
    <row r="247" spans="1:5" x14ac:dyDescent="0.15">
      <c r="A247" s="102" t="s">
        <v>2171</v>
      </c>
      <c r="B247" s="102" t="s">
        <v>1825</v>
      </c>
      <c r="C247" s="102">
        <v>182981</v>
      </c>
      <c r="D247" s="102" t="s">
        <v>2171</v>
      </c>
      <c r="E247" s="102"/>
    </row>
    <row r="248" spans="1:5" x14ac:dyDescent="0.15">
      <c r="A248" s="102" t="s">
        <v>2172</v>
      </c>
      <c r="B248" s="102" t="s">
        <v>1928</v>
      </c>
      <c r="C248" s="102">
        <v>181046</v>
      </c>
      <c r="D248" s="102" t="s">
        <v>2172</v>
      </c>
      <c r="E248" s="102"/>
    </row>
    <row r="249" spans="1:5" x14ac:dyDescent="0.15">
      <c r="A249" s="102" t="s">
        <v>2173</v>
      </c>
      <c r="B249" s="102" t="s">
        <v>1825</v>
      </c>
      <c r="C249" s="102">
        <v>198981</v>
      </c>
      <c r="D249" s="102" t="s">
        <v>2173</v>
      </c>
      <c r="E249" s="102"/>
    </row>
    <row r="250" spans="1:5" x14ac:dyDescent="0.15">
      <c r="A250" s="102" t="s">
        <v>2174</v>
      </c>
      <c r="B250" s="102" t="s">
        <v>2175</v>
      </c>
      <c r="C250" s="102">
        <v>245832</v>
      </c>
      <c r="D250" s="102" t="s">
        <v>2174</v>
      </c>
      <c r="E250" s="102"/>
    </row>
    <row r="251" spans="1:5" x14ac:dyDescent="0.15">
      <c r="A251" s="102" t="s">
        <v>2176</v>
      </c>
      <c r="B251" s="102" t="s">
        <v>1825</v>
      </c>
      <c r="C251" s="102">
        <v>160572</v>
      </c>
      <c r="D251" s="102" t="s">
        <v>2176</v>
      </c>
      <c r="E251" s="102"/>
    </row>
    <row r="252" spans="1:5" x14ac:dyDescent="0.15">
      <c r="A252" s="102" t="s">
        <v>2177</v>
      </c>
      <c r="B252" s="102" t="s">
        <v>1825</v>
      </c>
      <c r="C252" s="102">
        <v>160569</v>
      </c>
      <c r="D252" s="102" t="s">
        <v>2177</v>
      </c>
      <c r="E252" s="102"/>
    </row>
    <row r="253" spans="1:5" x14ac:dyDescent="0.15">
      <c r="A253" s="102" t="s">
        <v>2178</v>
      </c>
      <c r="B253" s="102" t="s">
        <v>2179</v>
      </c>
      <c r="C253" s="102">
        <v>249381</v>
      </c>
      <c r="D253" s="102" t="s">
        <v>2178</v>
      </c>
      <c r="E253" s="102"/>
    </row>
    <row r="254" spans="1:5" x14ac:dyDescent="0.15">
      <c r="A254" s="102" t="s">
        <v>2180</v>
      </c>
      <c r="B254" s="102" t="s">
        <v>2181</v>
      </c>
      <c r="C254" s="102">
        <v>241091</v>
      </c>
      <c r="D254" s="102" t="s">
        <v>2180</v>
      </c>
      <c r="E254" s="102"/>
    </row>
    <row r="255" spans="1:5" x14ac:dyDescent="0.15">
      <c r="A255" s="102" t="s">
        <v>2182</v>
      </c>
      <c r="B255" s="102" t="s">
        <v>1823</v>
      </c>
      <c r="C255" s="102">
        <v>155960</v>
      </c>
      <c r="D255" s="102" t="s">
        <v>2182</v>
      </c>
      <c r="E255" s="102"/>
    </row>
    <row r="256" spans="1:5" x14ac:dyDescent="0.15">
      <c r="A256" s="102" t="s">
        <v>2183</v>
      </c>
      <c r="B256" s="102" t="s">
        <v>1823</v>
      </c>
      <c r="C256" s="102">
        <v>101080</v>
      </c>
      <c r="D256" s="102" t="s">
        <v>2183</v>
      </c>
      <c r="E256" s="102"/>
    </row>
    <row r="257" spans="1:5" x14ac:dyDescent="0.15">
      <c r="A257" s="102" t="s">
        <v>2184</v>
      </c>
      <c r="B257" s="102" t="s">
        <v>1823</v>
      </c>
      <c r="C257" s="102">
        <v>110995</v>
      </c>
      <c r="D257" s="102" t="s">
        <v>2184</v>
      </c>
      <c r="E257" s="102"/>
    </row>
    <row r="258" spans="1:5" x14ac:dyDescent="0.15">
      <c r="A258" s="102" t="s">
        <v>2185</v>
      </c>
      <c r="B258" s="102" t="s">
        <v>1823</v>
      </c>
      <c r="C258" s="102">
        <v>103278</v>
      </c>
      <c r="D258" s="102" t="s">
        <v>2185</v>
      </c>
      <c r="E258" s="102"/>
    </row>
    <row r="259" spans="1:5" x14ac:dyDescent="0.15">
      <c r="A259" s="102" t="s">
        <v>2186</v>
      </c>
      <c r="B259" s="102" t="s">
        <v>1823</v>
      </c>
      <c r="C259" s="102">
        <v>121096</v>
      </c>
      <c r="D259" s="102" t="s">
        <v>2186</v>
      </c>
      <c r="E259" s="102"/>
    </row>
    <row r="260" spans="1:5" x14ac:dyDescent="0.15">
      <c r="A260" s="102" t="s">
        <v>2187</v>
      </c>
      <c r="B260" s="102" t="s">
        <v>2188</v>
      </c>
      <c r="C260" s="102">
        <v>214726</v>
      </c>
      <c r="D260" s="102" t="s">
        <v>2187</v>
      </c>
      <c r="E260" s="102"/>
    </row>
    <row r="261" spans="1:5" x14ac:dyDescent="0.15">
      <c r="A261" s="102" t="s">
        <v>2189</v>
      </c>
      <c r="B261" s="102" t="s">
        <v>1825</v>
      </c>
      <c r="C261" s="102">
        <v>209552</v>
      </c>
      <c r="D261" s="102" t="s">
        <v>2189</v>
      </c>
      <c r="E261" s="102"/>
    </row>
    <row r="262" spans="1:5" x14ac:dyDescent="0.15">
      <c r="A262" s="102" t="s">
        <v>2190</v>
      </c>
      <c r="B262" s="102" t="s">
        <v>1823</v>
      </c>
      <c r="C262" s="102">
        <v>110753</v>
      </c>
      <c r="D262" s="102" t="s">
        <v>2190</v>
      </c>
      <c r="E262" s="102"/>
    </row>
    <row r="263" spans="1:5" x14ac:dyDescent="0.15">
      <c r="A263" s="102" t="s">
        <v>2191</v>
      </c>
      <c r="B263" s="102" t="s">
        <v>1823</v>
      </c>
      <c r="C263" s="102">
        <v>102852</v>
      </c>
      <c r="D263" s="102" t="s">
        <v>2192</v>
      </c>
      <c r="E263" s="102"/>
    </row>
    <row r="264" spans="1:5" x14ac:dyDescent="0.15">
      <c r="A264" s="102" t="s">
        <v>2193</v>
      </c>
      <c r="B264" s="102" t="s">
        <v>2194</v>
      </c>
      <c r="C264" s="102">
        <v>245783</v>
      </c>
      <c r="D264" s="102" t="s">
        <v>2193</v>
      </c>
      <c r="E264" s="102"/>
    </row>
    <row r="265" spans="1:5" x14ac:dyDescent="0.15">
      <c r="A265" s="102" t="s">
        <v>2195</v>
      </c>
      <c r="B265" s="102" t="s">
        <v>1825</v>
      </c>
      <c r="C265" s="102">
        <v>178211</v>
      </c>
      <c r="D265" s="102" t="s">
        <v>2195</v>
      </c>
      <c r="E265" s="102"/>
    </row>
    <row r="266" spans="1:5" x14ac:dyDescent="0.15">
      <c r="A266" s="102" t="s">
        <v>2196</v>
      </c>
      <c r="B266" s="102" t="s">
        <v>1823</v>
      </c>
      <c r="C266" s="102">
        <v>121092</v>
      </c>
      <c r="D266" s="102" t="s">
        <v>2197</v>
      </c>
      <c r="E266" s="102"/>
    </row>
    <row r="267" spans="1:5" x14ac:dyDescent="0.15">
      <c r="A267" s="102" t="s">
        <v>2198</v>
      </c>
      <c r="B267" s="102" t="s">
        <v>1823</v>
      </c>
      <c r="C267" s="102">
        <v>103188</v>
      </c>
      <c r="D267" s="102" t="s">
        <v>2198</v>
      </c>
      <c r="E267" s="102"/>
    </row>
    <row r="268" spans="1:5" x14ac:dyDescent="0.15">
      <c r="A268" s="102" t="s">
        <v>2199</v>
      </c>
      <c r="B268" s="102" t="s">
        <v>2200</v>
      </c>
      <c r="C268" s="102">
        <v>240271</v>
      </c>
      <c r="D268" s="102" t="s">
        <v>2199</v>
      </c>
      <c r="E268" s="102"/>
    </row>
    <row r="269" spans="1:5" x14ac:dyDescent="0.15">
      <c r="A269" s="102" t="s">
        <v>2201</v>
      </c>
      <c r="B269" s="102" t="s">
        <v>1825</v>
      </c>
      <c r="C269" s="102">
        <v>164238</v>
      </c>
      <c r="D269" s="102" t="s">
        <v>2201</v>
      </c>
      <c r="E269" s="102"/>
    </row>
    <row r="270" spans="1:5" x14ac:dyDescent="0.15">
      <c r="A270" s="102" t="s">
        <v>2202</v>
      </c>
      <c r="B270" s="102" t="s">
        <v>1825</v>
      </c>
      <c r="C270" s="102">
        <v>178212</v>
      </c>
      <c r="D270" s="102" t="s">
        <v>2202</v>
      </c>
      <c r="E270" s="102"/>
    </row>
    <row r="271" spans="1:5" x14ac:dyDescent="0.15">
      <c r="A271" s="102" t="s">
        <v>2203</v>
      </c>
      <c r="B271" s="102" t="s">
        <v>1823</v>
      </c>
      <c r="C271" s="102">
        <v>155835</v>
      </c>
      <c r="D271" s="102" t="s">
        <v>2203</v>
      </c>
      <c r="E271" s="102"/>
    </row>
    <row r="272" spans="1:5" x14ac:dyDescent="0.15">
      <c r="A272" s="102" t="s">
        <v>2204</v>
      </c>
      <c r="B272" s="102" t="s">
        <v>1823</v>
      </c>
      <c r="C272" s="102">
        <v>119775</v>
      </c>
      <c r="D272" s="102" t="s">
        <v>2204</v>
      </c>
      <c r="E272" s="102"/>
    </row>
    <row r="273" spans="1:5" x14ac:dyDescent="0.15">
      <c r="A273" s="102" t="s">
        <v>2205</v>
      </c>
      <c r="B273" s="102" t="s">
        <v>1825</v>
      </c>
      <c r="C273" s="102">
        <v>158195</v>
      </c>
      <c r="D273" s="102" t="s">
        <v>2205</v>
      </c>
      <c r="E273" s="102"/>
    </row>
    <row r="274" spans="1:5" x14ac:dyDescent="0.15">
      <c r="A274" s="102" t="s">
        <v>2206</v>
      </c>
      <c r="B274" s="102" t="s">
        <v>1825</v>
      </c>
      <c r="C274" s="102">
        <v>158201</v>
      </c>
      <c r="D274" s="102" t="s">
        <v>2206</v>
      </c>
      <c r="E274" s="102"/>
    </row>
    <row r="275" spans="1:5" x14ac:dyDescent="0.15">
      <c r="A275" s="102" t="s">
        <v>2207</v>
      </c>
      <c r="B275" s="102" t="s">
        <v>2208</v>
      </c>
      <c r="C275" s="102">
        <v>215940</v>
      </c>
      <c r="D275" s="102" t="s">
        <v>2207</v>
      </c>
      <c r="E275" s="102"/>
    </row>
    <row r="276" spans="1:5" x14ac:dyDescent="0.15">
      <c r="A276" s="102" t="s">
        <v>2209</v>
      </c>
      <c r="B276" s="102" t="s">
        <v>1825</v>
      </c>
      <c r="C276" s="102">
        <v>177643</v>
      </c>
      <c r="D276" s="102" t="s">
        <v>2209</v>
      </c>
      <c r="E276" s="102"/>
    </row>
    <row r="277" spans="1:5" x14ac:dyDescent="0.15">
      <c r="A277" s="102" t="s">
        <v>2210</v>
      </c>
      <c r="B277" s="102" t="s">
        <v>1825</v>
      </c>
      <c r="C277" s="102">
        <v>207495</v>
      </c>
      <c r="D277" s="102" t="s">
        <v>2210</v>
      </c>
      <c r="E277" s="102"/>
    </row>
    <row r="278" spans="1:5" x14ac:dyDescent="0.15">
      <c r="A278" s="102" t="s">
        <v>2211</v>
      </c>
      <c r="B278" s="102" t="s">
        <v>2212</v>
      </c>
      <c r="C278" s="102">
        <v>232345</v>
      </c>
      <c r="D278" s="102" t="s">
        <v>2211</v>
      </c>
      <c r="E278" s="102"/>
    </row>
    <row r="279" spans="1:5" x14ac:dyDescent="0.15">
      <c r="A279" s="102" t="s">
        <v>2213</v>
      </c>
      <c r="B279" s="102" t="s">
        <v>2214</v>
      </c>
      <c r="C279" s="102">
        <v>230174</v>
      </c>
      <c r="D279" s="102" t="s">
        <v>2213</v>
      </c>
      <c r="E279" s="102"/>
    </row>
    <row r="280" spans="1:5" x14ac:dyDescent="0.15">
      <c r="A280" s="102" t="s">
        <v>2215</v>
      </c>
      <c r="B280" s="102" t="s">
        <v>2216</v>
      </c>
      <c r="C280" s="102">
        <v>247287</v>
      </c>
      <c r="D280" s="102" t="s">
        <v>2215</v>
      </c>
      <c r="E280" s="102"/>
    </row>
    <row r="281" spans="1:5" x14ac:dyDescent="0.15">
      <c r="A281" s="102" t="s">
        <v>2217</v>
      </c>
      <c r="B281" s="102" t="s">
        <v>1825</v>
      </c>
      <c r="C281" s="102">
        <v>202820</v>
      </c>
      <c r="D281" s="102" t="s">
        <v>2217</v>
      </c>
      <c r="E281" s="102"/>
    </row>
    <row r="282" spans="1:5" x14ac:dyDescent="0.15">
      <c r="A282" s="102" t="s">
        <v>2218</v>
      </c>
      <c r="B282" s="102" t="s">
        <v>2219</v>
      </c>
      <c r="C282" s="102">
        <v>228972</v>
      </c>
      <c r="D282" s="102" t="s">
        <v>2218</v>
      </c>
      <c r="E282" s="102"/>
    </row>
    <row r="283" spans="1:5" x14ac:dyDescent="0.15">
      <c r="A283" s="102" t="s">
        <v>2220</v>
      </c>
      <c r="B283" s="102" t="s">
        <v>1823</v>
      </c>
      <c r="C283" s="102">
        <v>98982</v>
      </c>
      <c r="D283" s="102" t="s">
        <v>2220</v>
      </c>
      <c r="E283" s="102"/>
    </row>
    <row r="284" spans="1:5" x14ac:dyDescent="0.15">
      <c r="A284" s="102" t="s">
        <v>2221</v>
      </c>
      <c r="B284" s="102" t="s">
        <v>1825</v>
      </c>
      <c r="C284" s="102">
        <v>160688</v>
      </c>
      <c r="D284" s="102" t="s">
        <v>2221</v>
      </c>
      <c r="E284" s="102"/>
    </row>
    <row r="285" spans="1:5" x14ac:dyDescent="0.15">
      <c r="A285" s="102" t="s">
        <v>2222</v>
      </c>
      <c r="B285" s="102" t="s">
        <v>1825</v>
      </c>
      <c r="C285" s="102">
        <v>157879</v>
      </c>
      <c r="D285" s="102" t="s">
        <v>2222</v>
      </c>
      <c r="E285" s="102"/>
    </row>
    <row r="286" spans="1:5" x14ac:dyDescent="0.15">
      <c r="A286" s="102" t="s">
        <v>2223</v>
      </c>
      <c r="B286" s="102" t="s">
        <v>1825</v>
      </c>
      <c r="C286" s="102">
        <v>157878</v>
      </c>
      <c r="D286" s="102" t="s">
        <v>2223</v>
      </c>
      <c r="E286" s="102"/>
    </row>
    <row r="287" spans="1:5" x14ac:dyDescent="0.15">
      <c r="A287" s="102" t="s">
        <v>2224</v>
      </c>
      <c r="B287" s="102" t="s">
        <v>1825</v>
      </c>
      <c r="C287" s="102">
        <v>205124</v>
      </c>
      <c r="D287" s="102" t="s">
        <v>2224</v>
      </c>
      <c r="E287" s="102"/>
    </row>
    <row r="288" spans="1:5" x14ac:dyDescent="0.15">
      <c r="A288" s="102" t="s">
        <v>2225</v>
      </c>
      <c r="B288" s="102" t="s">
        <v>1825</v>
      </c>
      <c r="C288" s="102">
        <v>160592</v>
      </c>
      <c r="D288" s="102" t="s">
        <v>2225</v>
      </c>
      <c r="E288" s="102"/>
    </row>
    <row r="289" spans="1:5" x14ac:dyDescent="0.15">
      <c r="A289" s="102" t="s">
        <v>2226</v>
      </c>
      <c r="B289" s="102" t="s">
        <v>2227</v>
      </c>
      <c r="C289" s="102">
        <v>155178</v>
      </c>
      <c r="D289" s="102" t="s">
        <v>2228</v>
      </c>
      <c r="E289" s="102"/>
    </row>
    <row r="290" spans="1:5" x14ac:dyDescent="0.15">
      <c r="A290" s="102" t="s">
        <v>2229</v>
      </c>
      <c r="B290" s="102" t="s">
        <v>2230</v>
      </c>
      <c r="C290" s="102">
        <v>215429</v>
      </c>
      <c r="D290" s="102" t="s">
        <v>2229</v>
      </c>
      <c r="E290" s="102"/>
    </row>
    <row r="291" spans="1:5" x14ac:dyDescent="0.15">
      <c r="A291" s="102" t="s">
        <v>2231</v>
      </c>
      <c r="B291" s="102" t="s">
        <v>1823</v>
      </c>
      <c r="C291" s="102">
        <v>120019</v>
      </c>
      <c r="D291" s="102" t="s">
        <v>2231</v>
      </c>
      <c r="E291" s="102"/>
    </row>
    <row r="292" spans="1:5" x14ac:dyDescent="0.15">
      <c r="A292" s="102" t="s">
        <v>2232</v>
      </c>
      <c r="B292" s="102" t="s">
        <v>1825</v>
      </c>
      <c r="C292" s="102">
        <v>209555</v>
      </c>
      <c r="D292" s="102" t="s">
        <v>2232</v>
      </c>
      <c r="E292" s="102"/>
    </row>
    <row r="293" spans="1:5" x14ac:dyDescent="0.15">
      <c r="A293" s="102" t="s">
        <v>2233</v>
      </c>
      <c r="B293" s="102" t="s">
        <v>2234</v>
      </c>
      <c r="C293" s="102">
        <v>247748</v>
      </c>
      <c r="D293" s="102" t="s">
        <v>2233</v>
      </c>
      <c r="E293" s="102"/>
    </row>
    <row r="294" spans="1:5" x14ac:dyDescent="0.15">
      <c r="A294" s="102" t="s">
        <v>2235</v>
      </c>
      <c r="B294" s="102" t="s">
        <v>2236</v>
      </c>
      <c r="C294" s="102">
        <v>215430</v>
      </c>
      <c r="D294" s="102" t="s">
        <v>2235</v>
      </c>
      <c r="E294" s="102"/>
    </row>
    <row r="295" spans="1:5" x14ac:dyDescent="0.15">
      <c r="A295" s="102" t="s">
        <v>2237</v>
      </c>
      <c r="B295" s="102" t="s">
        <v>1825</v>
      </c>
      <c r="C295" s="102">
        <v>163047</v>
      </c>
      <c r="D295" s="102" t="s">
        <v>2237</v>
      </c>
      <c r="E295" s="102"/>
    </row>
    <row r="296" spans="1:5" x14ac:dyDescent="0.15">
      <c r="A296" s="102" t="s">
        <v>2237</v>
      </c>
      <c r="B296" s="102" t="s">
        <v>1825</v>
      </c>
      <c r="C296" s="102">
        <v>165638</v>
      </c>
      <c r="D296" s="102" t="s">
        <v>2237</v>
      </c>
      <c r="E296" s="102"/>
    </row>
    <row r="297" spans="1:5" x14ac:dyDescent="0.15">
      <c r="A297" s="102" t="s">
        <v>2238</v>
      </c>
      <c r="B297" s="102" t="s">
        <v>2239</v>
      </c>
      <c r="C297" s="102">
        <v>228968</v>
      </c>
      <c r="D297" s="102" t="s">
        <v>2238</v>
      </c>
      <c r="E297" s="102"/>
    </row>
    <row r="298" spans="1:5" x14ac:dyDescent="0.15">
      <c r="A298" s="102" t="s">
        <v>2240</v>
      </c>
      <c r="B298" s="102" t="s">
        <v>1825</v>
      </c>
      <c r="C298" s="102">
        <v>158052</v>
      </c>
      <c r="D298" s="102" t="s">
        <v>2240</v>
      </c>
      <c r="E298" s="102"/>
    </row>
    <row r="299" spans="1:5" x14ac:dyDescent="0.15">
      <c r="A299" s="102" t="s">
        <v>2241</v>
      </c>
      <c r="B299" s="102" t="s">
        <v>1823</v>
      </c>
      <c r="C299" s="102">
        <v>120058</v>
      </c>
      <c r="D299" s="102" t="s">
        <v>2241</v>
      </c>
      <c r="E299" s="102"/>
    </row>
    <row r="300" spans="1:5" x14ac:dyDescent="0.15">
      <c r="A300" s="102" t="s">
        <v>2242</v>
      </c>
      <c r="B300" s="102" t="s">
        <v>1825</v>
      </c>
      <c r="C300" s="102">
        <v>158194</v>
      </c>
      <c r="D300" s="102" t="s">
        <v>2242</v>
      </c>
      <c r="E300" s="102"/>
    </row>
    <row r="301" spans="1:5" x14ac:dyDescent="0.15">
      <c r="A301" s="102" t="s">
        <v>2243</v>
      </c>
      <c r="B301" s="102" t="s">
        <v>1825</v>
      </c>
      <c r="C301" s="102">
        <v>208891</v>
      </c>
      <c r="D301" s="102" t="s">
        <v>2243</v>
      </c>
      <c r="E301" s="102"/>
    </row>
    <row r="302" spans="1:5" x14ac:dyDescent="0.15">
      <c r="A302" s="102" t="s">
        <v>2244</v>
      </c>
      <c r="B302" s="102" t="s">
        <v>1825</v>
      </c>
      <c r="C302" s="102">
        <v>158191</v>
      </c>
      <c r="D302" s="102" t="s">
        <v>2244</v>
      </c>
      <c r="E302" s="102"/>
    </row>
    <row r="303" spans="1:5" x14ac:dyDescent="0.15">
      <c r="A303" s="102" t="s">
        <v>2245</v>
      </c>
      <c r="B303" s="102" t="s">
        <v>1823</v>
      </c>
      <c r="C303" s="102">
        <v>112152</v>
      </c>
      <c r="D303" s="102" t="s">
        <v>2245</v>
      </c>
      <c r="E303" s="102"/>
    </row>
    <row r="304" spans="1:5" x14ac:dyDescent="0.15">
      <c r="A304" s="102" t="s">
        <v>2246</v>
      </c>
      <c r="B304" s="102" t="s">
        <v>1823</v>
      </c>
      <c r="C304" s="102">
        <v>155124</v>
      </c>
      <c r="D304" s="102" t="s">
        <v>2246</v>
      </c>
      <c r="E304" s="102"/>
    </row>
    <row r="305" spans="1:5" x14ac:dyDescent="0.15">
      <c r="A305" s="102" t="s">
        <v>2246</v>
      </c>
      <c r="B305" s="102" t="s">
        <v>1823</v>
      </c>
      <c r="C305" s="102">
        <v>155180</v>
      </c>
      <c r="D305" s="102" t="s">
        <v>2246</v>
      </c>
      <c r="E305" s="102"/>
    </row>
    <row r="306" spans="1:5" x14ac:dyDescent="0.15">
      <c r="A306" s="102" t="s">
        <v>2247</v>
      </c>
      <c r="B306" s="102" t="s">
        <v>1825</v>
      </c>
      <c r="C306" s="102">
        <v>214147</v>
      </c>
      <c r="D306" s="102" t="s">
        <v>2247</v>
      </c>
      <c r="E306" s="102"/>
    </row>
    <row r="307" spans="1:5" x14ac:dyDescent="0.15">
      <c r="A307" s="102" t="s">
        <v>2248</v>
      </c>
      <c r="B307" s="102" t="s">
        <v>1825</v>
      </c>
      <c r="C307" s="102">
        <v>163151</v>
      </c>
      <c r="D307" s="102" t="s">
        <v>2248</v>
      </c>
      <c r="E307" s="102"/>
    </row>
    <row r="308" spans="1:5" x14ac:dyDescent="0.15">
      <c r="A308" s="102" t="s">
        <v>2249</v>
      </c>
      <c r="B308" s="102" t="s">
        <v>1825</v>
      </c>
      <c r="C308" s="102">
        <v>165636</v>
      </c>
      <c r="D308" s="102" t="s">
        <v>2249</v>
      </c>
      <c r="E308" s="102"/>
    </row>
    <row r="309" spans="1:5" x14ac:dyDescent="0.15">
      <c r="A309" s="102" t="s">
        <v>2250</v>
      </c>
      <c r="B309" s="102" t="s">
        <v>1825</v>
      </c>
      <c r="C309" s="102">
        <v>163048</v>
      </c>
      <c r="D309" s="102" t="s">
        <v>2250</v>
      </c>
      <c r="E309" s="102"/>
    </row>
    <row r="310" spans="1:5" x14ac:dyDescent="0.15">
      <c r="A310" s="102" t="s">
        <v>2251</v>
      </c>
      <c r="B310" s="102" t="s">
        <v>2252</v>
      </c>
      <c r="C310" s="102">
        <v>214729</v>
      </c>
      <c r="D310" s="102" t="s">
        <v>2251</v>
      </c>
      <c r="E310" s="102"/>
    </row>
    <row r="311" spans="1:5" x14ac:dyDescent="0.15">
      <c r="A311" s="102" t="s">
        <v>2253</v>
      </c>
      <c r="B311" s="102" t="s">
        <v>2254</v>
      </c>
      <c r="C311" s="102">
        <v>232347</v>
      </c>
      <c r="D311" s="102" t="s">
        <v>2253</v>
      </c>
      <c r="E311" s="102"/>
    </row>
    <row r="312" spans="1:5" x14ac:dyDescent="0.15">
      <c r="A312" s="102" t="s">
        <v>2253</v>
      </c>
      <c r="B312" s="102" t="s">
        <v>2255</v>
      </c>
      <c r="C312" s="102">
        <v>232348</v>
      </c>
      <c r="D312" s="102" t="s">
        <v>2253</v>
      </c>
      <c r="E312" s="102"/>
    </row>
    <row r="313" spans="1:5" x14ac:dyDescent="0.15">
      <c r="A313" s="102" t="s">
        <v>2253</v>
      </c>
      <c r="B313" s="102" t="s">
        <v>2256</v>
      </c>
      <c r="C313" s="102">
        <v>232357</v>
      </c>
      <c r="D313" s="102" t="s">
        <v>2253</v>
      </c>
      <c r="E313" s="102"/>
    </row>
    <row r="314" spans="1:5" x14ac:dyDescent="0.15">
      <c r="A314" s="102" t="s">
        <v>2253</v>
      </c>
      <c r="B314" s="102" t="s">
        <v>2257</v>
      </c>
      <c r="C314" s="102">
        <v>247568</v>
      </c>
      <c r="D314" s="102" t="s">
        <v>2253</v>
      </c>
      <c r="E314" s="102"/>
    </row>
    <row r="315" spans="1:5" x14ac:dyDescent="0.15">
      <c r="A315" s="102" t="s">
        <v>2253</v>
      </c>
      <c r="B315" s="102" t="s">
        <v>2258</v>
      </c>
      <c r="C315" s="102">
        <v>247574</v>
      </c>
      <c r="D315" s="102" t="s">
        <v>2253</v>
      </c>
      <c r="E315" s="102"/>
    </row>
    <row r="316" spans="1:5" x14ac:dyDescent="0.15">
      <c r="A316" s="102" t="s">
        <v>2253</v>
      </c>
      <c r="B316" s="102" t="s">
        <v>2259</v>
      </c>
      <c r="C316" s="102">
        <v>247576</v>
      </c>
      <c r="D316" s="102" t="s">
        <v>2253</v>
      </c>
      <c r="E316" s="102"/>
    </row>
    <row r="317" spans="1:5" x14ac:dyDescent="0.15">
      <c r="A317" s="102" t="s">
        <v>2253</v>
      </c>
      <c r="B317" s="102" t="s">
        <v>2260</v>
      </c>
      <c r="C317" s="102">
        <v>247580</v>
      </c>
      <c r="D317" s="102" t="s">
        <v>2253</v>
      </c>
      <c r="E317" s="102"/>
    </row>
    <row r="318" spans="1:5" x14ac:dyDescent="0.15">
      <c r="A318" s="102" t="s">
        <v>2253</v>
      </c>
      <c r="B318" s="102" t="s">
        <v>2261</v>
      </c>
      <c r="C318" s="102">
        <v>247581</v>
      </c>
      <c r="D318" s="102" t="s">
        <v>2253</v>
      </c>
      <c r="E318" s="102"/>
    </row>
    <row r="319" spans="1:5" x14ac:dyDescent="0.15">
      <c r="A319" s="102" t="s">
        <v>2253</v>
      </c>
      <c r="B319" s="102" t="s">
        <v>2262</v>
      </c>
      <c r="C319" s="102">
        <v>248370</v>
      </c>
      <c r="D319" s="102" t="s">
        <v>2253</v>
      </c>
      <c r="E319" s="102"/>
    </row>
    <row r="320" spans="1:5" x14ac:dyDescent="0.15">
      <c r="A320" s="102" t="s">
        <v>2253</v>
      </c>
      <c r="B320" s="102" t="s">
        <v>2263</v>
      </c>
      <c r="C320" s="102">
        <v>249382</v>
      </c>
      <c r="D320" s="102" t="s">
        <v>2253</v>
      </c>
      <c r="E320" s="102"/>
    </row>
    <row r="321" spans="1:5" x14ac:dyDescent="0.15">
      <c r="A321" s="102" t="s">
        <v>2264</v>
      </c>
      <c r="B321" s="102" t="s">
        <v>2265</v>
      </c>
      <c r="C321" s="102">
        <v>212106</v>
      </c>
      <c r="D321" s="102" t="s">
        <v>2264</v>
      </c>
      <c r="E321" s="102"/>
    </row>
    <row r="322" spans="1:5" x14ac:dyDescent="0.15">
      <c r="A322" s="102" t="s">
        <v>2266</v>
      </c>
      <c r="B322" s="102" t="s">
        <v>2267</v>
      </c>
      <c r="C322" s="102">
        <v>217042</v>
      </c>
      <c r="D322" s="102" t="s">
        <v>2266</v>
      </c>
      <c r="E322" s="102"/>
    </row>
    <row r="323" spans="1:5" x14ac:dyDescent="0.15">
      <c r="A323" s="102" t="s">
        <v>2268</v>
      </c>
      <c r="B323" s="102" t="s">
        <v>1823</v>
      </c>
      <c r="C323" s="102">
        <v>112307</v>
      </c>
      <c r="D323" s="102" t="s">
        <v>2268</v>
      </c>
      <c r="E323" s="102"/>
    </row>
    <row r="324" spans="1:5" x14ac:dyDescent="0.15">
      <c r="A324" s="102" t="s">
        <v>2269</v>
      </c>
      <c r="B324" s="102" t="s">
        <v>1825</v>
      </c>
      <c r="C324" s="102">
        <v>157560</v>
      </c>
      <c r="D324" s="102" t="s">
        <v>2269</v>
      </c>
      <c r="E324" s="102"/>
    </row>
    <row r="325" spans="1:5" x14ac:dyDescent="0.15">
      <c r="A325" s="102" t="s">
        <v>2269</v>
      </c>
      <c r="B325" s="102" t="s">
        <v>1825</v>
      </c>
      <c r="C325" s="102">
        <v>157561</v>
      </c>
      <c r="D325" s="102" t="s">
        <v>2269</v>
      </c>
      <c r="E325" s="102"/>
    </row>
    <row r="326" spans="1:5" x14ac:dyDescent="0.15">
      <c r="A326" s="102" t="s">
        <v>2270</v>
      </c>
      <c r="B326" s="102" t="s">
        <v>2271</v>
      </c>
      <c r="C326" s="102">
        <v>216994</v>
      </c>
      <c r="D326" s="102" t="s">
        <v>2270</v>
      </c>
      <c r="E326" s="102"/>
    </row>
    <row r="327" spans="1:5" x14ac:dyDescent="0.15">
      <c r="A327" s="102" t="s">
        <v>2272</v>
      </c>
      <c r="B327" s="102" t="s">
        <v>1823</v>
      </c>
      <c r="C327" s="102">
        <v>103160</v>
      </c>
      <c r="D327" s="102" t="s">
        <v>2272</v>
      </c>
      <c r="E327" s="102"/>
    </row>
    <row r="328" spans="1:5" x14ac:dyDescent="0.15">
      <c r="A328" s="102" t="s">
        <v>2273</v>
      </c>
      <c r="B328" s="102" t="s">
        <v>1825</v>
      </c>
      <c r="C328" s="102">
        <v>158200</v>
      </c>
      <c r="D328" s="102" t="s">
        <v>2273</v>
      </c>
      <c r="E328" s="102"/>
    </row>
    <row r="329" spans="1:5" x14ac:dyDescent="0.15">
      <c r="A329" s="102" t="s">
        <v>2274</v>
      </c>
      <c r="B329" s="102" t="s">
        <v>1823</v>
      </c>
      <c r="C329" s="102">
        <v>155932</v>
      </c>
      <c r="D329" s="102" t="s">
        <v>2274</v>
      </c>
      <c r="E329" s="102"/>
    </row>
    <row r="330" spans="1:5" x14ac:dyDescent="0.15">
      <c r="A330" s="102" t="s">
        <v>2275</v>
      </c>
      <c r="B330" s="102" t="s">
        <v>2276</v>
      </c>
      <c r="C330" s="102">
        <v>155929</v>
      </c>
      <c r="D330" s="102" t="s">
        <v>2275</v>
      </c>
      <c r="E330" s="102"/>
    </row>
    <row r="331" spans="1:5" x14ac:dyDescent="0.15">
      <c r="A331" s="102" t="s">
        <v>2277</v>
      </c>
      <c r="B331" s="102" t="s">
        <v>2278</v>
      </c>
      <c r="C331" s="102">
        <v>214836</v>
      </c>
      <c r="D331" s="102" t="s">
        <v>2277</v>
      </c>
      <c r="E331" s="102"/>
    </row>
    <row r="332" spans="1:5" x14ac:dyDescent="0.15">
      <c r="A332" s="102" t="s">
        <v>2279</v>
      </c>
      <c r="B332" s="102" t="s">
        <v>2280</v>
      </c>
      <c r="C332" s="102">
        <v>243866</v>
      </c>
      <c r="D332" s="102" t="s">
        <v>2279</v>
      </c>
      <c r="E332" s="102"/>
    </row>
    <row r="333" spans="1:5" x14ac:dyDescent="0.15">
      <c r="A333" s="102" t="s">
        <v>2281</v>
      </c>
      <c r="B333" s="102" t="s">
        <v>2282</v>
      </c>
      <c r="C333" s="102">
        <v>215015</v>
      </c>
      <c r="D333" s="102" t="s">
        <v>2281</v>
      </c>
      <c r="E333" s="102"/>
    </row>
    <row r="334" spans="1:5" x14ac:dyDescent="0.15">
      <c r="A334" s="102" t="s">
        <v>2283</v>
      </c>
      <c r="B334" s="102" t="s">
        <v>1825</v>
      </c>
      <c r="C334" s="102">
        <v>160593</v>
      </c>
      <c r="D334" s="102" t="s">
        <v>2283</v>
      </c>
      <c r="E334" s="102"/>
    </row>
    <row r="335" spans="1:5" x14ac:dyDescent="0.15">
      <c r="A335" s="102" t="s">
        <v>2284</v>
      </c>
      <c r="B335" s="102" t="s">
        <v>1825</v>
      </c>
      <c r="C335" s="102">
        <v>178588</v>
      </c>
      <c r="D335" s="102" t="s">
        <v>2284</v>
      </c>
      <c r="E335" s="102"/>
    </row>
    <row r="336" spans="1:5" x14ac:dyDescent="0.15">
      <c r="A336" s="102" t="s">
        <v>2285</v>
      </c>
      <c r="B336" s="102" t="s">
        <v>2286</v>
      </c>
      <c r="C336" s="102">
        <v>247289</v>
      </c>
      <c r="D336" s="102" t="s">
        <v>2285</v>
      </c>
      <c r="E336" s="102"/>
    </row>
    <row r="337" spans="1:5" x14ac:dyDescent="0.15">
      <c r="A337" s="102" t="s">
        <v>2287</v>
      </c>
      <c r="B337" s="102" t="s">
        <v>2083</v>
      </c>
      <c r="C337" s="102">
        <v>230108</v>
      </c>
      <c r="D337" s="102" t="s">
        <v>2287</v>
      </c>
      <c r="E337" s="102"/>
    </row>
    <row r="338" spans="1:5" x14ac:dyDescent="0.15">
      <c r="A338" s="102" t="s">
        <v>2288</v>
      </c>
      <c r="B338" s="102" t="s">
        <v>1825</v>
      </c>
      <c r="C338" s="102">
        <v>202456</v>
      </c>
      <c r="D338" s="102" t="s">
        <v>2288</v>
      </c>
      <c r="E338" s="102"/>
    </row>
    <row r="339" spans="1:5" x14ac:dyDescent="0.15">
      <c r="A339" s="102" t="s">
        <v>2289</v>
      </c>
      <c r="B339" s="102" t="s">
        <v>1823</v>
      </c>
      <c r="C339" s="102">
        <v>103472</v>
      </c>
      <c r="D339" s="102" t="s">
        <v>2289</v>
      </c>
      <c r="E339" s="102"/>
    </row>
    <row r="340" spans="1:5" x14ac:dyDescent="0.15">
      <c r="A340" s="102" t="s">
        <v>2290</v>
      </c>
      <c r="B340" s="102" t="s">
        <v>2291</v>
      </c>
      <c r="C340" s="102">
        <v>243668</v>
      </c>
      <c r="D340" s="102" t="s">
        <v>2290</v>
      </c>
      <c r="E340" s="102"/>
    </row>
    <row r="341" spans="1:5" x14ac:dyDescent="0.15">
      <c r="A341" s="102" t="s">
        <v>2292</v>
      </c>
      <c r="B341" s="102" t="s">
        <v>2293</v>
      </c>
      <c r="C341" s="102">
        <v>246739</v>
      </c>
      <c r="D341" s="102" t="s">
        <v>2292</v>
      </c>
      <c r="E341" s="102"/>
    </row>
    <row r="342" spans="1:5" x14ac:dyDescent="0.15">
      <c r="A342" s="102" t="s">
        <v>2294</v>
      </c>
      <c r="B342" s="102" t="s">
        <v>1825</v>
      </c>
      <c r="C342" s="102">
        <v>162882</v>
      </c>
      <c r="D342" s="102" t="s">
        <v>2294</v>
      </c>
      <c r="E342" s="102"/>
    </row>
    <row r="343" spans="1:5" x14ac:dyDescent="0.15">
      <c r="A343" s="102" t="s">
        <v>2295</v>
      </c>
      <c r="B343" s="102" t="s">
        <v>1825</v>
      </c>
      <c r="C343" s="102">
        <v>157871</v>
      </c>
      <c r="D343" s="102" t="s">
        <v>2295</v>
      </c>
      <c r="E343" s="102"/>
    </row>
    <row r="344" spans="1:5" x14ac:dyDescent="0.15">
      <c r="A344" s="102" t="s">
        <v>2296</v>
      </c>
      <c r="B344" s="102" t="s">
        <v>1823</v>
      </c>
      <c r="C344" s="102">
        <v>121071</v>
      </c>
      <c r="D344" s="102" t="s">
        <v>2296</v>
      </c>
      <c r="E344" s="102"/>
    </row>
    <row r="345" spans="1:5" x14ac:dyDescent="0.15">
      <c r="A345" s="102" t="s">
        <v>2297</v>
      </c>
      <c r="B345" s="102" t="s">
        <v>1823</v>
      </c>
      <c r="C345" s="102">
        <v>103327</v>
      </c>
      <c r="D345" s="102" t="s">
        <v>2297</v>
      </c>
      <c r="E345" s="102"/>
    </row>
    <row r="346" spans="1:5" x14ac:dyDescent="0.15">
      <c r="A346" s="102" t="s">
        <v>2298</v>
      </c>
      <c r="B346" s="102" t="s">
        <v>1825</v>
      </c>
      <c r="C346" s="102">
        <v>157875</v>
      </c>
      <c r="D346" s="102" t="s">
        <v>2298</v>
      </c>
      <c r="E346" s="102"/>
    </row>
    <row r="347" spans="1:5" x14ac:dyDescent="0.15">
      <c r="A347" s="102" t="s">
        <v>2299</v>
      </c>
      <c r="B347" s="102" t="s">
        <v>2300</v>
      </c>
      <c r="C347" s="102">
        <v>228643</v>
      </c>
      <c r="D347" s="102" t="s">
        <v>2299</v>
      </c>
      <c r="E347" s="102"/>
    </row>
    <row r="348" spans="1:5" x14ac:dyDescent="0.15">
      <c r="A348" s="102" t="s">
        <v>2301</v>
      </c>
      <c r="B348" s="102" t="s">
        <v>1825</v>
      </c>
      <c r="C348" s="102">
        <v>192375</v>
      </c>
      <c r="D348" s="102" t="s">
        <v>2301</v>
      </c>
      <c r="E348" s="102"/>
    </row>
    <row r="349" spans="1:5" x14ac:dyDescent="0.15">
      <c r="A349" s="102" t="s">
        <v>2302</v>
      </c>
      <c r="B349" s="102" t="s">
        <v>1825</v>
      </c>
      <c r="C349" s="102">
        <v>207411</v>
      </c>
      <c r="D349" s="102" t="s">
        <v>2302</v>
      </c>
      <c r="E349" s="102"/>
    </row>
    <row r="350" spans="1:5" x14ac:dyDescent="0.15">
      <c r="A350" s="102" t="s">
        <v>2303</v>
      </c>
      <c r="B350" s="102" t="s">
        <v>1825</v>
      </c>
      <c r="C350" s="102">
        <v>178156</v>
      </c>
      <c r="D350" s="102" t="s">
        <v>2303</v>
      </c>
      <c r="E350" s="102"/>
    </row>
    <row r="351" spans="1:5" x14ac:dyDescent="0.15">
      <c r="A351" s="102" t="s">
        <v>2304</v>
      </c>
      <c r="B351" s="102" t="s">
        <v>2305</v>
      </c>
      <c r="C351" s="102">
        <v>232349</v>
      </c>
      <c r="D351" s="102" t="s">
        <v>2304</v>
      </c>
      <c r="E351" s="102"/>
    </row>
    <row r="352" spans="1:5" x14ac:dyDescent="0.15">
      <c r="A352" s="102" t="s">
        <v>2306</v>
      </c>
      <c r="B352" s="102" t="s">
        <v>2307</v>
      </c>
      <c r="C352" s="102">
        <v>228145</v>
      </c>
      <c r="D352" s="102" t="s">
        <v>2306</v>
      </c>
      <c r="E352" s="102"/>
    </row>
    <row r="353" spans="1:5" x14ac:dyDescent="0.15">
      <c r="A353" s="102" t="s">
        <v>2308</v>
      </c>
      <c r="B353" s="102" t="s">
        <v>1825</v>
      </c>
      <c r="C353" s="102">
        <v>162874</v>
      </c>
      <c r="D353" s="102" t="s">
        <v>2308</v>
      </c>
      <c r="E353" s="102"/>
    </row>
    <row r="354" spans="1:5" x14ac:dyDescent="0.15">
      <c r="A354" s="102" t="s">
        <v>2309</v>
      </c>
      <c r="B354" s="102" t="s">
        <v>1825</v>
      </c>
      <c r="C354" s="102">
        <v>182978</v>
      </c>
      <c r="D354" s="102" t="s">
        <v>2309</v>
      </c>
      <c r="E354" s="102"/>
    </row>
    <row r="355" spans="1:5" x14ac:dyDescent="0.15">
      <c r="A355" s="102" t="s">
        <v>2310</v>
      </c>
      <c r="B355" s="102" t="s">
        <v>1825</v>
      </c>
      <c r="C355" s="102">
        <v>203158</v>
      </c>
      <c r="D355" s="102" t="s">
        <v>2310</v>
      </c>
      <c r="E355" s="102"/>
    </row>
    <row r="356" spans="1:5" x14ac:dyDescent="0.15">
      <c r="A356" s="102" t="s">
        <v>2311</v>
      </c>
      <c r="B356" s="102" t="s">
        <v>1823</v>
      </c>
      <c r="C356" s="102">
        <v>110475</v>
      </c>
      <c r="D356" s="102" t="s">
        <v>2311</v>
      </c>
      <c r="E356" s="102"/>
    </row>
    <row r="357" spans="1:5" x14ac:dyDescent="0.15">
      <c r="A357" s="102" t="s">
        <v>2312</v>
      </c>
      <c r="B357" s="102" t="s">
        <v>2313</v>
      </c>
      <c r="C357" s="102">
        <v>236724</v>
      </c>
      <c r="D357" s="102" t="s">
        <v>2312</v>
      </c>
      <c r="E357" s="102"/>
    </row>
    <row r="358" spans="1:5" x14ac:dyDescent="0.15">
      <c r="A358" s="102" t="s">
        <v>2314</v>
      </c>
      <c r="B358" s="102" t="s">
        <v>1825</v>
      </c>
      <c r="C358" s="102">
        <v>204956</v>
      </c>
      <c r="D358" s="102" t="s">
        <v>2314</v>
      </c>
      <c r="E358" s="102"/>
    </row>
    <row r="359" spans="1:5" x14ac:dyDescent="0.15">
      <c r="A359" s="102" t="s">
        <v>2314</v>
      </c>
      <c r="B359" s="102" t="s">
        <v>1825</v>
      </c>
      <c r="C359" s="102">
        <v>204957</v>
      </c>
      <c r="D359" s="102" t="s">
        <v>2314</v>
      </c>
      <c r="E359" s="102"/>
    </row>
    <row r="360" spans="1:5" x14ac:dyDescent="0.15">
      <c r="A360" s="102" t="s">
        <v>2315</v>
      </c>
      <c r="B360" s="102" t="s">
        <v>1928</v>
      </c>
      <c r="C360" s="102">
        <v>181037</v>
      </c>
      <c r="D360" s="102" t="s">
        <v>2315</v>
      </c>
      <c r="E360" s="102"/>
    </row>
    <row r="361" spans="1:5" x14ac:dyDescent="0.15">
      <c r="A361" s="102" t="s">
        <v>2316</v>
      </c>
      <c r="B361" s="102" t="s">
        <v>2317</v>
      </c>
      <c r="C361" s="102">
        <v>215013</v>
      </c>
      <c r="D361" s="102" t="s">
        <v>2316</v>
      </c>
      <c r="E361" s="102"/>
    </row>
    <row r="362" spans="1:5" x14ac:dyDescent="0.15">
      <c r="A362" s="102" t="s">
        <v>2318</v>
      </c>
      <c r="B362" s="102" t="s">
        <v>2319</v>
      </c>
      <c r="C362" s="102">
        <v>246977</v>
      </c>
      <c r="D362" s="102" t="s">
        <v>2318</v>
      </c>
      <c r="E362" s="102"/>
    </row>
    <row r="363" spans="1:5" x14ac:dyDescent="0.15">
      <c r="A363" s="102" t="s">
        <v>2320</v>
      </c>
      <c r="B363" s="102" t="s">
        <v>2321</v>
      </c>
      <c r="C363" s="102">
        <v>247297</v>
      </c>
      <c r="D363" s="102" t="s">
        <v>2320</v>
      </c>
      <c r="E363" s="102"/>
    </row>
    <row r="364" spans="1:5" x14ac:dyDescent="0.15">
      <c r="A364" s="102" t="s">
        <v>2322</v>
      </c>
      <c r="B364" s="102" t="s">
        <v>1825</v>
      </c>
      <c r="C364" s="102">
        <v>160588</v>
      </c>
      <c r="D364" s="102" t="s">
        <v>2322</v>
      </c>
      <c r="E364" s="102"/>
    </row>
    <row r="365" spans="1:5" x14ac:dyDescent="0.15">
      <c r="A365" s="102" t="s">
        <v>2323</v>
      </c>
      <c r="B365" s="102" t="s">
        <v>1823</v>
      </c>
      <c r="C365" s="102">
        <v>155751</v>
      </c>
      <c r="D365" s="102" t="s">
        <v>2323</v>
      </c>
      <c r="E365" s="102"/>
    </row>
    <row r="366" spans="1:5" x14ac:dyDescent="0.15">
      <c r="A366" s="102" t="s">
        <v>2324</v>
      </c>
      <c r="B366" s="102" t="s">
        <v>1928</v>
      </c>
      <c r="C366" s="102">
        <v>162870</v>
      </c>
      <c r="D366" s="102" t="s">
        <v>2324</v>
      </c>
      <c r="E366" s="102"/>
    </row>
    <row r="367" spans="1:5" x14ac:dyDescent="0.15">
      <c r="A367" s="102" t="s">
        <v>2325</v>
      </c>
      <c r="B367" s="102" t="s">
        <v>1825</v>
      </c>
      <c r="C367" s="102">
        <v>214149</v>
      </c>
      <c r="D367" s="102" t="s">
        <v>2325</v>
      </c>
      <c r="E367" s="102"/>
    </row>
    <row r="368" spans="1:5" x14ac:dyDescent="0.15">
      <c r="A368" s="102" t="s">
        <v>2326</v>
      </c>
      <c r="B368" s="102" t="s">
        <v>1825</v>
      </c>
      <c r="C368" s="102">
        <v>162861</v>
      </c>
      <c r="D368" s="102" t="s">
        <v>2327</v>
      </c>
      <c r="E368" s="102"/>
    </row>
    <row r="369" spans="1:5" x14ac:dyDescent="0.15">
      <c r="A369" s="102" t="s">
        <v>2328</v>
      </c>
      <c r="B369" s="102" t="s">
        <v>1825</v>
      </c>
      <c r="C369" s="102">
        <v>162862</v>
      </c>
      <c r="D369" s="102" t="s">
        <v>2328</v>
      </c>
      <c r="E369" s="102"/>
    </row>
    <row r="370" spans="1:5" x14ac:dyDescent="0.15">
      <c r="A370" s="102" t="s">
        <v>2329</v>
      </c>
      <c r="B370" s="102" t="s">
        <v>1823</v>
      </c>
      <c r="C370" s="102">
        <v>110658</v>
      </c>
      <c r="D370" s="102" t="s">
        <v>2329</v>
      </c>
      <c r="E370" s="102"/>
    </row>
    <row r="371" spans="1:5" x14ac:dyDescent="0.15">
      <c r="A371" s="102" t="s">
        <v>2330</v>
      </c>
      <c r="B371" s="102" t="s">
        <v>2331</v>
      </c>
      <c r="C371" s="102">
        <v>224058</v>
      </c>
      <c r="D371" s="102" t="s">
        <v>2330</v>
      </c>
      <c r="E371" s="102"/>
    </row>
    <row r="372" spans="1:5" x14ac:dyDescent="0.15">
      <c r="A372" s="102" t="s">
        <v>2332</v>
      </c>
      <c r="B372" s="102" t="s">
        <v>1928</v>
      </c>
      <c r="C372" s="102">
        <v>97927</v>
      </c>
      <c r="D372" s="102" t="s">
        <v>2332</v>
      </c>
      <c r="E372" s="102"/>
    </row>
    <row r="373" spans="1:5" x14ac:dyDescent="0.15">
      <c r="A373" s="102" t="s">
        <v>2333</v>
      </c>
      <c r="B373" s="102" t="s">
        <v>1928</v>
      </c>
      <c r="C373" s="102">
        <v>155701</v>
      </c>
      <c r="D373" s="102" t="s">
        <v>2333</v>
      </c>
      <c r="E373" s="102"/>
    </row>
    <row r="374" spans="1:5" x14ac:dyDescent="0.15">
      <c r="A374" s="102" t="s">
        <v>2334</v>
      </c>
      <c r="B374" s="102" t="s">
        <v>2110</v>
      </c>
      <c r="C374" s="102">
        <v>225762</v>
      </c>
      <c r="D374" s="102" t="s">
        <v>2334</v>
      </c>
      <c r="E374" s="102"/>
    </row>
    <row r="375" spans="1:5" x14ac:dyDescent="0.15">
      <c r="A375" s="102" t="s">
        <v>2335</v>
      </c>
      <c r="B375" s="102" t="s">
        <v>1825</v>
      </c>
      <c r="C375" s="102">
        <v>157873</v>
      </c>
      <c r="D375" s="102" t="s">
        <v>2335</v>
      </c>
      <c r="E375" s="102"/>
    </row>
    <row r="376" spans="1:5" x14ac:dyDescent="0.15">
      <c r="A376" s="102" t="s">
        <v>2336</v>
      </c>
      <c r="B376" s="102" t="s">
        <v>1823</v>
      </c>
      <c r="C376" s="102">
        <v>112153</v>
      </c>
      <c r="D376" s="102" t="s">
        <v>2336</v>
      </c>
      <c r="E376" s="102"/>
    </row>
    <row r="377" spans="1:5" x14ac:dyDescent="0.15">
      <c r="A377" s="102" t="s">
        <v>2337</v>
      </c>
      <c r="B377" s="102" t="s">
        <v>1825</v>
      </c>
      <c r="C377" s="102">
        <v>191299</v>
      </c>
      <c r="D377" s="102" t="s">
        <v>2337</v>
      </c>
      <c r="E377" s="102"/>
    </row>
    <row r="378" spans="1:5" x14ac:dyDescent="0.15">
      <c r="A378" s="102" t="s">
        <v>2338</v>
      </c>
      <c r="B378" s="102" t="s">
        <v>2339</v>
      </c>
      <c r="C378" s="102">
        <v>178927</v>
      </c>
      <c r="D378" s="102" t="s">
        <v>2338</v>
      </c>
      <c r="E378" s="102"/>
    </row>
    <row r="379" spans="1:5" x14ac:dyDescent="0.15">
      <c r="A379" s="102" t="s">
        <v>2340</v>
      </c>
      <c r="B379" s="102" t="s">
        <v>1825</v>
      </c>
      <c r="C379" s="102">
        <v>178583</v>
      </c>
      <c r="D379" s="102" t="s">
        <v>2340</v>
      </c>
      <c r="E379" s="102"/>
    </row>
    <row r="380" spans="1:5" x14ac:dyDescent="0.15">
      <c r="A380" s="102" t="s">
        <v>2341</v>
      </c>
      <c r="B380" s="102" t="s">
        <v>2342</v>
      </c>
      <c r="C380" s="102">
        <v>247286</v>
      </c>
      <c r="D380" s="102" t="s">
        <v>2341</v>
      </c>
      <c r="E380" s="102"/>
    </row>
    <row r="381" spans="1:5" x14ac:dyDescent="0.15">
      <c r="A381" s="102" t="s">
        <v>2343</v>
      </c>
      <c r="B381" s="102" t="s">
        <v>1823</v>
      </c>
      <c r="C381" s="102">
        <v>110479</v>
      </c>
      <c r="D381" s="102" t="s">
        <v>2343</v>
      </c>
      <c r="E381" s="102"/>
    </row>
    <row r="382" spans="1:5" x14ac:dyDescent="0.15">
      <c r="A382" s="102" t="s">
        <v>2344</v>
      </c>
      <c r="B382" s="102" t="s">
        <v>1823</v>
      </c>
      <c r="C382" s="102">
        <v>103262</v>
      </c>
      <c r="D382" s="102" t="s">
        <v>2344</v>
      </c>
      <c r="E382" s="102"/>
    </row>
    <row r="383" spans="1:5" x14ac:dyDescent="0.15">
      <c r="A383" s="102" t="s">
        <v>2345</v>
      </c>
      <c r="B383" s="102" t="s">
        <v>1823</v>
      </c>
      <c r="C383" s="102">
        <v>97922</v>
      </c>
      <c r="D383" s="102" t="s">
        <v>2345</v>
      </c>
      <c r="E383" s="102"/>
    </row>
    <row r="384" spans="1:5" x14ac:dyDescent="0.15">
      <c r="A384" s="102" t="s">
        <v>2345</v>
      </c>
      <c r="B384" s="102" t="s">
        <v>1825</v>
      </c>
      <c r="C384" s="102">
        <v>165388</v>
      </c>
      <c r="D384" s="102" t="s">
        <v>2345</v>
      </c>
      <c r="E384" s="102"/>
    </row>
    <row r="385" spans="1:5" x14ac:dyDescent="0.15">
      <c r="A385" s="102" t="s">
        <v>2346</v>
      </c>
      <c r="B385" s="102" t="s">
        <v>1825</v>
      </c>
      <c r="C385" s="102">
        <v>207445</v>
      </c>
      <c r="D385" s="102" t="s">
        <v>2346</v>
      </c>
      <c r="E385" s="102"/>
    </row>
    <row r="386" spans="1:5" x14ac:dyDescent="0.15">
      <c r="A386" s="102" t="s">
        <v>2347</v>
      </c>
      <c r="B386" s="102" t="s">
        <v>2348</v>
      </c>
      <c r="C386" s="102">
        <v>178155</v>
      </c>
      <c r="D386" s="102" t="s">
        <v>2347</v>
      </c>
      <c r="E386" s="102"/>
    </row>
    <row r="387" spans="1:5" x14ac:dyDescent="0.15">
      <c r="A387" s="102" t="s">
        <v>2349</v>
      </c>
      <c r="B387" s="102" t="s">
        <v>1823</v>
      </c>
      <c r="C387" s="102">
        <v>103150</v>
      </c>
      <c r="D387" s="102" t="s">
        <v>2349</v>
      </c>
      <c r="E387" s="102"/>
    </row>
    <row r="388" spans="1:5" x14ac:dyDescent="0.15">
      <c r="A388" s="102" t="s">
        <v>2350</v>
      </c>
      <c r="B388" s="102" t="s">
        <v>1825</v>
      </c>
      <c r="C388" s="102">
        <v>207456</v>
      </c>
      <c r="D388" s="102" t="s">
        <v>2350</v>
      </c>
      <c r="E388" s="102"/>
    </row>
    <row r="389" spans="1:5" x14ac:dyDescent="0.15">
      <c r="A389" s="102" t="s">
        <v>2351</v>
      </c>
      <c r="B389" s="102" t="s">
        <v>1825</v>
      </c>
      <c r="C389" s="102">
        <v>160571</v>
      </c>
      <c r="D389" s="102" t="s">
        <v>2351</v>
      </c>
      <c r="E389" s="102"/>
    </row>
    <row r="390" spans="1:5" x14ac:dyDescent="0.15">
      <c r="A390" s="102" t="s">
        <v>2352</v>
      </c>
      <c r="B390" s="102" t="s">
        <v>1823</v>
      </c>
      <c r="C390" s="102">
        <v>94533</v>
      </c>
      <c r="D390" s="102" t="s">
        <v>2352</v>
      </c>
      <c r="E390" s="102"/>
    </row>
    <row r="391" spans="1:5" x14ac:dyDescent="0.15">
      <c r="A391" s="102" t="s">
        <v>2353</v>
      </c>
      <c r="B391" s="102" t="s">
        <v>1825</v>
      </c>
      <c r="C391" s="102">
        <v>193869</v>
      </c>
      <c r="D391" s="102" t="s">
        <v>2353</v>
      </c>
      <c r="E391" s="102"/>
    </row>
    <row r="392" spans="1:5" x14ac:dyDescent="0.15">
      <c r="A392" s="102" t="s">
        <v>2354</v>
      </c>
      <c r="B392" s="102" t="s">
        <v>1825</v>
      </c>
      <c r="C392" s="102">
        <v>166297</v>
      </c>
      <c r="D392" s="102" t="s">
        <v>2354</v>
      </c>
      <c r="E392" s="102"/>
    </row>
    <row r="393" spans="1:5" x14ac:dyDescent="0.15">
      <c r="A393" s="102" t="s">
        <v>2355</v>
      </c>
      <c r="B393" s="102" t="s">
        <v>2356</v>
      </c>
      <c r="C393" s="102">
        <v>215424</v>
      </c>
      <c r="D393" s="102" t="s">
        <v>2355</v>
      </c>
      <c r="E393" s="102"/>
    </row>
    <row r="394" spans="1:5" x14ac:dyDescent="0.15">
      <c r="A394" s="102" t="s">
        <v>1596</v>
      </c>
      <c r="B394" s="102" t="s">
        <v>1928</v>
      </c>
      <c r="C394" s="102">
        <v>103147</v>
      </c>
      <c r="D394" s="102" t="s">
        <v>1596</v>
      </c>
      <c r="E394" s="102"/>
    </row>
    <row r="395" spans="1:5" x14ac:dyDescent="0.15">
      <c r="A395" s="102" t="s">
        <v>2357</v>
      </c>
      <c r="B395" s="102" t="s">
        <v>1825</v>
      </c>
      <c r="C395" s="102">
        <v>172953</v>
      </c>
      <c r="D395" s="102" t="s">
        <v>2357</v>
      </c>
      <c r="E395" s="102"/>
    </row>
    <row r="396" spans="1:5" x14ac:dyDescent="0.15">
      <c r="A396" s="102" t="s">
        <v>2358</v>
      </c>
      <c r="B396" s="102" t="s">
        <v>1823</v>
      </c>
      <c r="C396" s="102">
        <v>111983</v>
      </c>
      <c r="D396" s="102" t="s">
        <v>2359</v>
      </c>
      <c r="E396" s="102"/>
    </row>
    <row r="397" spans="1:5" x14ac:dyDescent="0.15">
      <c r="A397" s="102" t="s">
        <v>2360</v>
      </c>
      <c r="B397" s="102" t="s">
        <v>1857</v>
      </c>
      <c r="C397" s="102">
        <v>232352</v>
      </c>
      <c r="D397" s="102" t="s">
        <v>2360</v>
      </c>
      <c r="E397" s="102"/>
    </row>
    <row r="398" spans="1:5" x14ac:dyDescent="0.15">
      <c r="A398" s="102" t="s">
        <v>2361</v>
      </c>
      <c r="B398" s="102" t="s">
        <v>2362</v>
      </c>
      <c r="C398" s="102">
        <v>223331</v>
      </c>
      <c r="D398" s="102" t="s">
        <v>2361</v>
      </c>
      <c r="E398" s="102"/>
    </row>
    <row r="399" spans="1:5" x14ac:dyDescent="0.15">
      <c r="A399" s="102" t="s">
        <v>2363</v>
      </c>
      <c r="B399" s="102" t="s">
        <v>1825</v>
      </c>
      <c r="C399" s="102">
        <v>158234</v>
      </c>
      <c r="D399" s="102" t="s">
        <v>2363</v>
      </c>
      <c r="E399" s="102"/>
    </row>
    <row r="400" spans="1:5" x14ac:dyDescent="0.15">
      <c r="A400" s="102" t="s">
        <v>2364</v>
      </c>
      <c r="B400" s="102" t="s">
        <v>1825</v>
      </c>
      <c r="C400" s="102">
        <v>158196</v>
      </c>
      <c r="D400" s="102" t="s">
        <v>2364</v>
      </c>
      <c r="E400" s="102"/>
    </row>
    <row r="401" spans="1:5" x14ac:dyDescent="0.15">
      <c r="A401" s="102" t="s">
        <v>2365</v>
      </c>
      <c r="B401" s="102" t="s">
        <v>2366</v>
      </c>
      <c r="C401" s="102">
        <v>246401</v>
      </c>
      <c r="D401" s="102" t="s">
        <v>2365</v>
      </c>
      <c r="E401" s="102"/>
    </row>
    <row r="402" spans="1:5" x14ac:dyDescent="0.15">
      <c r="A402" s="102" t="s">
        <v>2367</v>
      </c>
      <c r="B402" s="102" t="s">
        <v>1825</v>
      </c>
      <c r="C402" s="102">
        <v>184491</v>
      </c>
      <c r="D402" s="102" t="s">
        <v>2367</v>
      </c>
      <c r="E402" s="102"/>
    </row>
    <row r="403" spans="1:5" x14ac:dyDescent="0.15">
      <c r="A403" s="102" t="s">
        <v>2368</v>
      </c>
      <c r="B403" s="102" t="s">
        <v>2369</v>
      </c>
      <c r="C403" s="102">
        <v>247312</v>
      </c>
      <c r="D403" s="102" t="s">
        <v>2368</v>
      </c>
      <c r="E403" s="102"/>
    </row>
    <row r="404" spans="1:5" x14ac:dyDescent="0.15">
      <c r="A404" s="102" t="s">
        <v>2370</v>
      </c>
      <c r="B404" s="102" t="s">
        <v>2371</v>
      </c>
      <c r="C404" s="102">
        <v>246946</v>
      </c>
      <c r="D404" s="102" t="s">
        <v>2370</v>
      </c>
      <c r="E404" s="102"/>
    </row>
    <row r="405" spans="1:5" x14ac:dyDescent="0.15">
      <c r="A405" s="102" t="s">
        <v>2372</v>
      </c>
      <c r="B405" s="102" t="s">
        <v>1825</v>
      </c>
      <c r="C405" s="102">
        <v>177615</v>
      </c>
      <c r="D405" s="102" t="s">
        <v>2372</v>
      </c>
      <c r="E405" s="102"/>
    </row>
    <row r="406" spans="1:5" x14ac:dyDescent="0.15">
      <c r="A406" s="102" t="s">
        <v>2373</v>
      </c>
      <c r="B406" s="102" t="s">
        <v>1825</v>
      </c>
      <c r="C406" s="102">
        <v>192372</v>
      </c>
      <c r="D406" s="102" t="s">
        <v>2373</v>
      </c>
      <c r="E406" s="102"/>
    </row>
    <row r="407" spans="1:5" x14ac:dyDescent="0.15">
      <c r="A407" s="102" t="s">
        <v>2374</v>
      </c>
      <c r="B407" s="102" t="s">
        <v>1825</v>
      </c>
      <c r="C407" s="102">
        <v>202451</v>
      </c>
      <c r="D407" s="102" t="s">
        <v>2375</v>
      </c>
      <c r="E407" s="102"/>
    </row>
    <row r="408" spans="1:5" x14ac:dyDescent="0.15">
      <c r="A408" s="102" t="s">
        <v>2376</v>
      </c>
      <c r="B408" s="102" t="s">
        <v>1928</v>
      </c>
      <c r="C408" s="102">
        <v>178928</v>
      </c>
      <c r="D408" s="102" t="s">
        <v>2376</v>
      </c>
      <c r="E408" s="102"/>
    </row>
    <row r="409" spans="1:5" x14ac:dyDescent="0.15">
      <c r="A409" s="102" t="s">
        <v>2377</v>
      </c>
      <c r="B409" s="102" t="s">
        <v>1825</v>
      </c>
      <c r="C409" s="102">
        <v>192282</v>
      </c>
      <c r="D409" s="102" t="s">
        <v>2377</v>
      </c>
      <c r="E409" s="102"/>
    </row>
    <row r="410" spans="1:5" x14ac:dyDescent="0.15">
      <c r="A410" s="102" t="s">
        <v>2378</v>
      </c>
      <c r="B410" s="102" t="s">
        <v>2379</v>
      </c>
      <c r="C410" s="102">
        <v>245784</v>
      </c>
      <c r="D410" s="102" t="s">
        <v>2378</v>
      </c>
      <c r="E410" s="102"/>
    </row>
    <row r="411" spans="1:5" x14ac:dyDescent="0.15">
      <c r="A411" s="102" t="s">
        <v>2380</v>
      </c>
      <c r="B411" s="102" t="s">
        <v>1825</v>
      </c>
      <c r="C411" s="102">
        <v>204487</v>
      </c>
      <c r="D411" s="102" t="s">
        <v>2380</v>
      </c>
      <c r="E411" s="102"/>
    </row>
    <row r="412" spans="1:5" x14ac:dyDescent="0.15">
      <c r="A412" s="102" t="s">
        <v>2381</v>
      </c>
      <c r="B412" s="102" t="s">
        <v>1825</v>
      </c>
      <c r="C412" s="102">
        <v>160585</v>
      </c>
      <c r="D412" s="102" t="s">
        <v>2381</v>
      </c>
      <c r="E412" s="102"/>
    </row>
    <row r="413" spans="1:5" x14ac:dyDescent="0.15">
      <c r="A413" s="102" t="s">
        <v>2382</v>
      </c>
      <c r="B413" s="102" t="s">
        <v>1825</v>
      </c>
      <c r="C413" s="102">
        <v>204958</v>
      </c>
      <c r="D413" s="102" t="s">
        <v>2382</v>
      </c>
      <c r="E413" s="102"/>
    </row>
    <row r="414" spans="1:5" x14ac:dyDescent="0.15">
      <c r="A414" s="102" t="s">
        <v>2383</v>
      </c>
      <c r="B414" s="102" t="s">
        <v>2384</v>
      </c>
      <c r="C414" s="102">
        <v>214495</v>
      </c>
      <c r="D414" s="102" t="s">
        <v>2383</v>
      </c>
      <c r="E414" s="102"/>
    </row>
    <row r="415" spans="1:5" x14ac:dyDescent="0.15">
      <c r="A415" s="102" t="s">
        <v>2385</v>
      </c>
      <c r="B415" s="102" t="s">
        <v>1823</v>
      </c>
      <c r="C415" s="102">
        <v>101079</v>
      </c>
      <c r="D415" s="102" t="s">
        <v>2385</v>
      </c>
      <c r="E415" s="102"/>
    </row>
    <row r="416" spans="1:5" x14ac:dyDescent="0.15">
      <c r="A416" s="102" t="s">
        <v>2386</v>
      </c>
      <c r="B416" s="102" t="s">
        <v>1825</v>
      </c>
      <c r="C416" s="102">
        <v>214156</v>
      </c>
      <c r="D416" s="102" t="s">
        <v>2386</v>
      </c>
      <c r="E416" s="102"/>
    </row>
    <row r="417" spans="1:5" x14ac:dyDescent="0.15">
      <c r="A417" s="102" t="s">
        <v>2387</v>
      </c>
      <c r="B417" s="102" t="s">
        <v>2388</v>
      </c>
      <c r="C417" s="102">
        <v>213832</v>
      </c>
      <c r="D417" s="102" t="s">
        <v>2387</v>
      </c>
      <c r="E417" s="102"/>
    </row>
    <row r="418" spans="1:5" x14ac:dyDescent="0.15">
      <c r="A418" s="102" t="s">
        <v>2389</v>
      </c>
      <c r="B418" s="102" t="s">
        <v>1823</v>
      </c>
      <c r="C418" s="102">
        <v>120134</v>
      </c>
      <c r="D418" s="102" t="s">
        <v>2390</v>
      </c>
      <c r="E418" s="102"/>
    </row>
    <row r="419" spans="1:5" x14ac:dyDescent="0.15">
      <c r="A419" s="102" t="s">
        <v>2391</v>
      </c>
      <c r="B419" s="102" t="s">
        <v>1825</v>
      </c>
      <c r="C419" s="102">
        <v>172749</v>
      </c>
      <c r="D419" s="102" t="s">
        <v>2391</v>
      </c>
      <c r="E419" s="102"/>
    </row>
    <row r="420" spans="1:5" x14ac:dyDescent="0.15">
      <c r="A420" s="102" t="s">
        <v>2392</v>
      </c>
      <c r="B420" s="102" t="s">
        <v>1823</v>
      </c>
      <c r="C420" s="102">
        <v>103185</v>
      </c>
      <c r="D420" s="102" t="s">
        <v>2392</v>
      </c>
      <c r="E420" s="102"/>
    </row>
    <row r="421" spans="1:5" x14ac:dyDescent="0.15">
      <c r="A421" s="102" t="s">
        <v>2393</v>
      </c>
      <c r="B421" s="102" t="s">
        <v>2394</v>
      </c>
      <c r="C421" s="102">
        <v>244639</v>
      </c>
      <c r="D421" s="102" t="s">
        <v>2393</v>
      </c>
      <c r="E421" s="102"/>
    </row>
    <row r="422" spans="1:5" x14ac:dyDescent="0.15">
      <c r="A422" s="102" t="s">
        <v>2395</v>
      </c>
      <c r="B422" s="102" t="s">
        <v>2396</v>
      </c>
      <c r="C422" s="102">
        <v>247302</v>
      </c>
      <c r="D422" s="102" t="s">
        <v>2395</v>
      </c>
      <c r="E422" s="102"/>
    </row>
    <row r="423" spans="1:5" x14ac:dyDescent="0.15">
      <c r="A423" s="102" t="s">
        <v>2397</v>
      </c>
      <c r="B423" s="102" t="s">
        <v>1823</v>
      </c>
      <c r="C423" s="102">
        <v>103002</v>
      </c>
      <c r="D423" s="102" t="s">
        <v>2397</v>
      </c>
      <c r="E423" s="102"/>
    </row>
    <row r="424" spans="1:5" x14ac:dyDescent="0.15">
      <c r="A424" s="102" t="s">
        <v>2398</v>
      </c>
      <c r="B424" s="102" t="s">
        <v>2399</v>
      </c>
      <c r="C424" s="102">
        <v>215026</v>
      </c>
      <c r="D424" s="102" t="s">
        <v>2398</v>
      </c>
      <c r="E424" s="102"/>
    </row>
    <row r="425" spans="1:5" x14ac:dyDescent="0.15">
      <c r="A425" s="102" t="s">
        <v>2400</v>
      </c>
      <c r="B425" s="102" t="s">
        <v>1928</v>
      </c>
      <c r="C425" s="102">
        <v>178578</v>
      </c>
      <c r="D425" s="102" t="s">
        <v>2400</v>
      </c>
      <c r="E425" s="102"/>
    </row>
    <row r="426" spans="1:5" x14ac:dyDescent="0.15">
      <c r="A426" s="102" t="s">
        <v>2401</v>
      </c>
      <c r="B426" s="102" t="s">
        <v>1461</v>
      </c>
      <c r="C426" s="102">
        <v>247309</v>
      </c>
      <c r="D426" s="102" t="s">
        <v>2401</v>
      </c>
      <c r="E426" s="102"/>
    </row>
    <row r="427" spans="1:5" x14ac:dyDescent="0.15">
      <c r="A427" s="102" t="s">
        <v>2402</v>
      </c>
      <c r="B427" s="102" t="s">
        <v>2403</v>
      </c>
      <c r="C427" s="102">
        <v>247307</v>
      </c>
      <c r="D427" s="102" t="s">
        <v>2402</v>
      </c>
      <c r="E427" s="102"/>
    </row>
    <row r="428" spans="1:5" x14ac:dyDescent="0.15">
      <c r="A428" s="102" t="s">
        <v>2404</v>
      </c>
      <c r="B428" s="102" t="s">
        <v>1823</v>
      </c>
      <c r="C428" s="102">
        <v>155959</v>
      </c>
      <c r="D428" s="102" t="s">
        <v>2404</v>
      </c>
      <c r="E428" s="102"/>
    </row>
    <row r="429" spans="1:5" x14ac:dyDescent="0.15">
      <c r="A429" s="102" t="s">
        <v>2405</v>
      </c>
      <c r="B429" s="102" t="s">
        <v>1823</v>
      </c>
      <c r="C429" s="102">
        <v>136170</v>
      </c>
      <c r="D429" s="102" t="s">
        <v>2405</v>
      </c>
      <c r="E429" s="102"/>
    </row>
    <row r="430" spans="1:5" x14ac:dyDescent="0.15">
      <c r="A430" s="102" t="s">
        <v>2406</v>
      </c>
      <c r="B430" s="102" t="s">
        <v>2407</v>
      </c>
      <c r="C430" s="102">
        <v>223602</v>
      </c>
      <c r="D430" s="102" t="s">
        <v>2406</v>
      </c>
      <c r="E430" s="102"/>
    </row>
    <row r="431" spans="1:5" x14ac:dyDescent="0.15">
      <c r="A431" s="102" t="s">
        <v>2408</v>
      </c>
      <c r="B431" s="102" t="s">
        <v>1823</v>
      </c>
      <c r="C431" s="102">
        <v>103149</v>
      </c>
      <c r="D431" s="102" t="s">
        <v>2408</v>
      </c>
      <c r="E431" s="102"/>
    </row>
    <row r="432" spans="1:5" x14ac:dyDescent="0.15">
      <c r="A432" s="102" t="s">
        <v>2409</v>
      </c>
      <c r="B432" s="102" t="s">
        <v>2410</v>
      </c>
      <c r="C432" s="102">
        <v>248371</v>
      </c>
      <c r="D432" s="102" t="s">
        <v>2409</v>
      </c>
      <c r="E432" s="102"/>
    </row>
    <row r="433" spans="1:5" x14ac:dyDescent="0.15">
      <c r="A433" s="102" t="s">
        <v>2411</v>
      </c>
      <c r="B433" s="102" t="s">
        <v>1825</v>
      </c>
      <c r="C433" s="102">
        <v>214148</v>
      </c>
      <c r="D433" s="102" t="s">
        <v>2411</v>
      </c>
      <c r="E433" s="102"/>
    </row>
    <row r="434" spans="1:5" x14ac:dyDescent="0.15">
      <c r="A434" s="102" t="s">
        <v>2412</v>
      </c>
      <c r="B434" s="102" t="s">
        <v>1825</v>
      </c>
      <c r="C434" s="102">
        <v>165637</v>
      </c>
      <c r="D434" s="102" t="s">
        <v>2412</v>
      </c>
      <c r="E434" s="102"/>
    </row>
    <row r="435" spans="1:5" x14ac:dyDescent="0.15">
      <c r="A435" s="102" t="s">
        <v>2412</v>
      </c>
      <c r="B435" s="102" t="s">
        <v>1825</v>
      </c>
      <c r="C435" s="102">
        <v>163045</v>
      </c>
      <c r="D435" s="102" t="s">
        <v>2413</v>
      </c>
      <c r="E435" s="102"/>
    </row>
    <row r="436" spans="1:5" x14ac:dyDescent="0.15">
      <c r="A436" s="102" t="s">
        <v>2414</v>
      </c>
      <c r="B436" s="102" t="s">
        <v>1823</v>
      </c>
      <c r="C436" s="102">
        <v>119896</v>
      </c>
      <c r="D436" s="102" t="s">
        <v>2415</v>
      </c>
      <c r="E436" s="102"/>
    </row>
    <row r="437" spans="1:5" x14ac:dyDescent="0.15">
      <c r="A437" s="102" t="s">
        <v>2416</v>
      </c>
      <c r="B437" s="102" t="s">
        <v>1825</v>
      </c>
      <c r="C437" s="102">
        <v>164721</v>
      </c>
      <c r="D437" s="102" t="s">
        <v>2416</v>
      </c>
      <c r="E437" s="102"/>
    </row>
    <row r="438" spans="1:5" x14ac:dyDescent="0.15">
      <c r="A438" s="102" t="s">
        <v>2417</v>
      </c>
      <c r="B438" s="102" t="s">
        <v>1823</v>
      </c>
      <c r="C438" s="102">
        <v>155700</v>
      </c>
      <c r="D438" s="102" t="s">
        <v>2417</v>
      </c>
      <c r="E438" s="102"/>
    </row>
    <row r="439" spans="1:5" x14ac:dyDescent="0.15">
      <c r="A439" s="102" t="s">
        <v>2418</v>
      </c>
      <c r="B439" s="102" t="s">
        <v>2419</v>
      </c>
      <c r="C439" s="102">
        <v>246803</v>
      </c>
      <c r="D439" s="102" t="s">
        <v>2418</v>
      </c>
      <c r="E439" s="102"/>
    </row>
    <row r="440" spans="1:5" x14ac:dyDescent="0.15">
      <c r="A440" s="102" t="s">
        <v>2420</v>
      </c>
      <c r="B440" s="102" t="s">
        <v>1959</v>
      </c>
      <c r="C440" s="102">
        <v>246926</v>
      </c>
      <c r="D440" s="102" t="s">
        <v>2420</v>
      </c>
      <c r="E440" s="102"/>
    </row>
    <row r="441" spans="1:5" x14ac:dyDescent="0.15">
      <c r="A441" s="102" t="s">
        <v>2421</v>
      </c>
      <c r="B441" s="102" t="s">
        <v>1825</v>
      </c>
      <c r="C441" s="102">
        <v>160568</v>
      </c>
      <c r="D441" s="102" t="s">
        <v>2421</v>
      </c>
      <c r="E441" s="102"/>
    </row>
    <row r="442" spans="1:5" x14ac:dyDescent="0.15">
      <c r="A442" s="102" t="s">
        <v>2422</v>
      </c>
      <c r="B442" s="102" t="s">
        <v>1825</v>
      </c>
      <c r="C442" s="102">
        <v>162435</v>
      </c>
      <c r="D442" s="102" t="s">
        <v>2422</v>
      </c>
      <c r="E442" s="102"/>
    </row>
    <row r="443" spans="1:5" x14ac:dyDescent="0.15">
      <c r="A443" s="102" t="s">
        <v>2423</v>
      </c>
      <c r="B443" s="102" t="s">
        <v>2424</v>
      </c>
      <c r="C443" s="102">
        <v>214717</v>
      </c>
      <c r="D443" s="102" t="s">
        <v>2423</v>
      </c>
      <c r="E443" s="102"/>
    </row>
    <row r="444" spans="1:5" x14ac:dyDescent="0.15">
      <c r="A444" s="102" t="s">
        <v>2425</v>
      </c>
      <c r="B444" s="102" t="s">
        <v>2426</v>
      </c>
      <c r="C444" s="102">
        <v>214749</v>
      </c>
      <c r="D444" s="102" t="s">
        <v>2425</v>
      </c>
      <c r="E444" s="102"/>
    </row>
    <row r="445" spans="1:5" x14ac:dyDescent="0.15">
      <c r="A445" s="102" t="s">
        <v>2425</v>
      </c>
      <c r="B445" s="102" t="s">
        <v>2427</v>
      </c>
      <c r="C445" s="102">
        <v>214750</v>
      </c>
      <c r="D445" s="102" t="s">
        <v>2425</v>
      </c>
      <c r="E445" s="102"/>
    </row>
    <row r="446" spans="1:5" x14ac:dyDescent="0.15">
      <c r="A446" s="102" t="s">
        <v>2428</v>
      </c>
      <c r="B446" s="102" t="s">
        <v>1825</v>
      </c>
      <c r="C446" s="102">
        <v>160595</v>
      </c>
      <c r="D446" s="102" t="s">
        <v>2428</v>
      </c>
      <c r="E446" s="102"/>
    </row>
    <row r="447" spans="1:5" x14ac:dyDescent="0.15">
      <c r="A447" s="102" t="s">
        <v>2429</v>
      </c>
      <c r="B447" s="102" t="s">
        <v>2430</v>
      </c>
      <c r="C447" s="102">
        <v>214740</v>
      </c>
      <c r="D447" s="102" t="s">
        <v>2429</v>
      </c>
      <c r="E447" s="102"/>
    </row>
    <row r="448" spans="1:5" x14ac:dyDescent="0.15">
      <c r="A448" s="102" t="s">
        <v>2431</v>
      </c>
      <c r="B448" s="102" t="s">
        <v>2432</v>
      </c>
      <c r="C448" s="102">
        <v>218624</v>
      </c>
      <c r="D448" s="102" t="s">
        <v>2431</v>
      </c>
      <c r="E448" s="102"/>
    </row>
    <row r="449" spans="1:5" x14ac:dyDescent="0.15">
      <c r="A449" s="102" t="s">
        <v>2433</v>
      </c>
      <c r="B449" s="102" t="s">
        <v>1841</v>
      </c>
      <c r="C449" s="102">
        <v>217291</v>
      </c>
      <c r="D449" s="102" t="s">
        <v>2433</v>
      </c>
      <c r="E449" s="102"/>
    </row>
    <row r="450" spans="1:5" x14ac:dyDescent="0.15">
      <c r="A450" s="102" t="s">
        <v>2434</v>
      </c>
      <c r="B450" s="102" t="s">
        <v>2435</v>
      </c>
      <c r="C450" s="102">
        <v>217493</v>
      </c>
      <c r="D450" s="102" t="s">
        <v>2434</v>
      </c>
      <c r="E450" s="102"/>
    </row>
    <row r="451" spans="1:5" x14ac:dyDescent="0.15">
      <c r="A451" s="102" t="s">
        <v>2436</v>
      </c>
      <c r="B451" s="102" t="s">
        <v>1825</v>
      </c>
      <c r="C451" s="102">
        <v>214154</v>
      </c>
      <c r="D451" s="102" t="s">
        <v>2436</v>
      </c>
      <c r="E451" s="102"/>
    </row>
    <row r="452" spans="1:5" x14ac:dyDescent="0.15">
      <c r="A452" s="102" t="s">
        <v>2437</v>
      </c>
      <c r="B452" s="102" t="s">
        <v>2438</v>
      </c>
      <c r="C452" s="102">
        <v>218166</v>
      </c>
      <c r="D452" s="102" t="s">
        <v>2437</v>
      </c>
      <c r="E452" s="102"/>
    </row>
    <row r="453" spans="1:5" x14ac:dyDescent="0.15">
      <c r="A453" s="102" t="s">
        <v>2439</v>
      </c>
      <c r="B453" s="102" t="s">
        <v>1825</v>
      </c>
      <c r="C453" s="102">
        <v>172255</v>
      </c>
      <c r="D453" s="102" t="s">
        <v>2439</v>
      </c>
      <c r="E453" s="102"/>
    </row>
    <row r="454" spans="1:5" x14ac:dyDescent="0.15">
      <c r="A454" s="102" t="s">
        <v>2440</v>
      </c>
      <c r="B454" s="102" t="s">
        <v>1825</v>
      </c>
      <c r="C454" s="102">
        <v>158042</v>
      </c>
      <c r="D454" s="102" t="s">
        <v>2440</v>
      </c>
      <c r="E454" s="102"/>
    </row>
    <row r="455" spans="1:5" x14ac:dyDescent="0.15">
      <c r="A455" s="102" t="s">
        <v>2441</v>
      </c>
      <c r="B455" s="102" t="s">
        <v>2442</v>
      </c>
      <c r="C455" s="102">
        <v>236723</v>
      </c>
      <c r="D455" s="102" t="s">
        <v>2441</v>
      </c>
      <c r="E455" s="102"/>
    </row>
    <row r="456" spans="1:5" x14ac:dyDescent="0.15">
      <c r="A456" s="102" t="s">
        <v>2443</v>
      </c>
      <c r="B456" s="102" t="s">
        <v>1928</v>
      </c>
      <c r="C456" s="102">
        <v>207270</v>
      </c>
      <c r="D456" s="102" t="s">
        <v>2443</v>
      </c>
      <c r="E456" s="102"/>
    </row>
    <row r="457" spans="1:5" x14ac:dyDescent="0.15">
      <c r="A457" s="102" t="s">
        <v>2444</v>
      </c>
      <c r="B457" s="102" t="s">
        <v>1825</v>
      </c>
      <c r="C457" s="102">
        <v>192376</v>
      </c>
      <c r="D457" s="102" t="s">
        <v>2444</v>
      </c>
      <c r="E457" s="102"/>
    </row>
    <row r="458" spans="1:5" x14ac:dyDescent="0.15">
      <c r="A458" s="102" t="s">
        <v>2445</v>
      </c>
      <c r="B458" s="102" t="s">
        <v>1823</v>
      </c>
      <c r="C458" s="102">
        <v>111941</v>
      </c>
      <c r="D458" s="102" t="s">
        <v>2445</v>
      </c>
      <c r="E458" s="102"/>
    </row>
    <row r="459" spans="1:5" x14ac:dyDescent="0.15">
      <c r="A459" s="102" t="s">
        <v>2446</v>
      </c>
      <c r="B459" s="102" t="s">
        <v>2447</v>
      </c>
      <c r="C459" s="102">
        <v>244637</v>
      </c>
      <c r="D459" s="102" t="s">
        <v>2446</v>
      </c>
      <c r="E459" s="102"/>
    </row>
    <row r="460" spans="1:5" x14ac:dyDescent="0.15">
      <c r="A460" s="102" t="s">
        <v>2448</v>
      </c>
      <c r="B460" s="102" t="s">
        <v>1825</v>
      </c>
      <c r="C460" s="102">
        <v>160590</v>
      </c>
      <c r="D460" s="102" t="s">
        <v>2448</v>
      </c>
      <c r="E460" s="102"/>
    </row>
    <row r="461" spans="1:5" x14ac:dyDescent="0.15">
      <c r="A461" s="102" t="s">
        <v>2449</v>
      </c>
      <c r="B461" s="102" t="s">
        <v>1823</v>
      </c>
      <c r="C461" s="102">
        <v>120020</v>
      </c>
      <c r="D461" s="102" t="s">
        <v>2450</v>
      </c>
      <c r="E461" s="102"/>
    </row>
    <row r="462" spans="1:5" x14ac:dyDescent="0.15">
      <c r="A462" s="102" t="s">
        <v>2451</v>
      </c>
      <c r="B462" s="102" t="s">
        <v>1825</v>
      </c>
      <c r="C462" s="102">
        <v>164812</v>
      </c>
      <c r="D462" s="102" t="s">
        <v>2451</v>
      </c>
      <c r="E462" s="102"/>
    </row>
    <row r="463" spans="1:5" x14ac:dyDescent="0.15">
      <c r="A463" s="102" t="s">
        <v>1625</v>
      </c>
      <c r="B463" s="102" t="s">
        <v>2452</v>
      </c>
      <c r="C463" s="102">
        <v>247808</v>
      </c>
      <c r="D463" s="102" t="s">
        <v>1625</v>
      </c>
      <c r="E463" s="102"/>
    </row>
    <row r="464" spans="1:5" x14ac:dyDescent="0.15">
      <c r="A464" s="102" t="s">
        <v>2453</v>
      </c>
      <c r="B464" s="102" t="s">
        <v>2181</v>
      </c>
      <c r="C464" s="102">
        <v>241090</v>
      </c>
      <c r="D464" s="102" t="s">
        <v>2453</v>
      </c>
      <c r="E464" s="102"/>
    </row>
    <row r="465" spans="1:5" x14ac:dyDescent="0.15">
      <c r="A465" s="102" t="s">
        <v>2454</v>
      </c>
      <c r="B465" s="102" t="s">
        <v>1823</v>
      </c>
      <c r="C465" s="102">
        <v>121067</v>
      </c>
      <c r="D465" s="102" t="s">
        <v>2455</v>
      </c>
      <c r="E465" s="102"/>
    </row>
    <row r="466" spans="1:5" x14ac:dyDescent="0.15">
      <c r="A466" s="102" t="s">
        <v>2456</v>
      </c>
      <c r="B466" s="102" t="s">
        <v>2457</v>
      </c>
      <c r="C466" s="102">
        <v>248316</v>
      </c>
      <c r="D466" s="102" t="s">
        <v>2456</v>
      </c>
      <c r="E466" s="102"/>
    </row>
    <row r="467" spans="1:5" x14ac:dyDescent="0.15">
      <c r="A467" s="102" t="s">
        <v>2458</v>
      </c>
      <c r="B467" s="102" t="s">
        <v>1823</v>
      </c>
      <c r="C467" s="102">
        <v>111931</v>
      </c>
      <c r="D467" s="102" t="s">
        <v>2458</v>
      </c>
      <c r="E467" s="102"/>
    </row>
    <row r="468" spans="1:5" x14ac:dyDescent="0.15">
      <c r="A468" s="102" t="s">
        <v>2459</v>
      </c>
      <c r="B468" s="102" t="s">
        <v>2460</v>
      </c>
      <c r="C468" s="102">
        <v>245786</v>
      </c>
      <c r="D468" s="102" t="s">
        <v>2459</v>
      </c>
      <c r="E468" s="102"/>
    </row>
    <row r="469" spans="1:5" x14ac:dyDescent="0.15">
      <c r="A469" s="102" t="s">
        <v>2461</v>
      </c>
      <c r="B469" s="102" t="s">
        <v>2462</v>
      </c>
      <c r="C469" s="102">
        <v>243859</v>
      </c>
      <c r="D469" s="102" t="s">
        <v>2461</v>
      </c>
      <c r="E469" s="102"/>
    </row>
    <row r="470" spans="1:5" x14ac:dyDescent="0.15">
      <c r="A470" s="102" t="s">
        <v>2463</v>
      </c>
      <c r="B470" s="102" t="s">
        <v>1825</v>
      </c>
      <c r="C470" s="102">
        <v>205121</v>
      </c>
      <c r="D470" s="102" t="s">
        <v>2463</v>
      </c>
      <c r="E470" s="102"/>
    </row>
    <row r="471" spans="1:5" x14ac:dyDescent="0.15">
      <c r="A471" s="102" t="s">
        <v>2464</v>
      </c>
      <c r="B471" s="102" t="s">
        <v>1823</v>
      </c>
      <c r="C471" s="102">
        <v>98696</v>
      </c>
      <c r="D471" s="102" t="s">
        <v>2464</v>
      </c>
      <c r="E471" s="102"/>
    </row>
    <row r="472" spans="1:5" x14ac:dyDescent="0.15">
      <c r="A472" s="102" t="s">
        <v>2465</v>
      </c>
      <c r="B472" s="102" t="s">
        <v>1825</v>
      </c>
      <c r="C472" s="102">
        <v>163049</v>
      </c>
      <c r="D472" s="102" t="s">
        <v>2465</v>
      </c>
      <c r="E472" s="102"/>
    </row>
    <row r="473" spans="1:5" x14ac:dyDescent="0.15">
      <c r="A473" s="102" t="s">
        <v>2465</v>
      </c>
      <c r="B473" s="102" t="s">
        <v>1825</v>
      </c>
      <c r="C473" s="102">
        <v>165641</v>
      </c>
      <c r="D473" s="102" t="s">
        <v>2465</v>
      </c>
      <c r="E473" s="102"/>
    </row>
    <row r="474" spans="1:5" x14ac:dyDescent="0.15">
      <c r="A474" s="102" t="s">
        <v>2466</v>
      </c>
      <c r="B474" s="102" t="s">
        <v>1825</v>
      </c>
      <c r="C474" s="102">
        <v>200082</v>
      </c>
      <c r="D474" s="102" t="s">
        <v>2466</v>
      </c>
      <c r="E474" s="102"/>
    </row>
    <row r="475" spans="1:5" x14ac:dyDescent="0.15">
      <c r="A475" s="102" t="s">
        <v>2467</v>
      </c>
      <c r="B475" s="102" t="s">
        <v>1825</v>
      </c>
      <c r="C475" s="102">
        <v>202455</v>
      </c>
      <c r="D475" s="102" t="s">
        <v>2467</v>
      </c>
      <c r="E475" s="102"/>
    </row>
    <row r="476" spans="1:5" x14ac:dyDescent="0.15">
      <c r="A476" s="102" t="s">
        <v>2468</v>
      </c>
      <c r="B476" s="102" t="s">
        <v>2469</v>
      </c>
      <c r="C476" s="102">
        <v>217764</v>
      </c>
      <c r="D476" s="102" t="s">
        <v>2468</v>
      </c>
      <c r="E476" s="102"/>
    </row>
    <row r="477" spans="1:5" x14ac:dyDescent="0.15">
      <c r="A477" s="102" t="s">
        <v>2470</v>
      </c>
      <c r="B477" s="102" t="s">
        <v>2471</v>
      </c>
      <c r="C477" s="102">
        <v>228622</v>
      </c>
      <c r="D477" s="102" t="s">
        <v>2470</v>
      </c>
      <c r="E477" s="102"/>
    </row>
    <row r="478" spans="1:5" x14ac:dyDescent="0.15">
      <c r="A478" s="102" t="s">
        <v>2472</v>
      </c>
      <c r="B478" s="102" t="s">
        <v>2234</v>
      </c>
      <c r="C478" s="102">
        <v>247749</v>
      </c>
      <c r="D478" s="102" t="s">
        <v>2472</v>
      </c>
      <c r="E478" s="102"/>
    </row>
    <row r="479" spans="1:5" x14ac:dyDescent="0.15">
      <c r="A479" s="102" t="s">
        <v>2473</v>
      </c>
      <c r="B479" s="102" t="s">
        <v>1823</v>
      </c>
      <c r="C479" s="102">
        <v>155958</v>
      </c>
      <c r="D479" s="102" t="s">
        <v>2473</v>
      </c>
      <c r="E479" s="102"/>
    </row>
    <row r="480" spans="1:5" x14ac:dyDescent="0.15">
      <c r="A480" s="102" t="s">
        <v>2474</v>
      </c>
      <c r="B480" s="102" t="s">
        <v>1825</v>
      </c>
      <c r="C480" s="102">
        <v>178214</v>
      </c>
      <c r="D480" s="102" t="s">
        <v>2474</v>
      </c>
      <c r="E480" s="102"/>
    </row>
    <row r="481" spans="1:5" x14ac:dyDescent="0.15">
      <c r="A481" s="102" t="s">
        <v>2475</v>
      </c>
      <c r="B481" s="102" t="s">
        <v>1823</v>
      </c>
      <c r="C481" s="102">
        <v>119978</v>
      </c>
      <c r="D481" s="102" t="s">
        <v>2475</v>
      </c>
      <c r="E481" s="102"/>
    </row>
    <row r="482" spans="1:5" x14ac:dyDescent="0.15">
      <c r="A482" s="102" t="s">
        <v>2476</v>
      </c>
      <c r="B482" s="102" t="s">
        <v>1825</v>
      </c>
      <c r="C482" s="102">
        <v>163052</v>
      </c>
      <c r="D482" s="102" t="s">
        <v>2476</v>
      </c>
      <c r="E482" s="102"/>
    </row>
    <row r="483" spans="1:5" x14ac:dyDescent="0.15">
      <c r="A483" s="102" t="s">
        <v>2477</v>
      </c>
      <c r="B483" s="102" t="s">
        <v>2282</v>
      </c>
      <c r="C483" s="102">
        <v>215014</v>
      </c>
      <c r="D483" s="102" t="s">
        <v>2477</v>
      </c>
      <c r="E483" s="102"/>
    </row>
    <row r="484" spans="1:5" x14ac:dyDescent="0.15">
      <c r="A484" s="102" t="s">
        <v>2478</v>
      </c>
      <c r="B484" s="102" t="s">
        <v>1823</v>
      </c>
      <c r="C484" s="102">
        <v>110277</v>
      </c>
      <c r="D484" s="102" t="s">
        <v>2478</v>
      </c>
      <c r="E484" s="102"/>
    </row>
    <row r="485" spans="1:5" x14ac:dyDescent="0.15">
      <c r="A485" s="102" t="s">
        <v>2479</v>
      </c>
      <c r="B485" s="102" t="s">
        <v>1823</v>
      </c>
      <c r="C485" s="102">
        <v>111923</v>
      </c>
      <c r="D485" s="102" t="s">
        <v>2479</v>
      </c>
      <c r="E485" s="102"/>
    </row>
    <row r="486" spans="1:5" x14ac:dyDescent="0.15">
      <c r="A486" s="102" t="s">
        <v>2480</v>
      </c>
      <c r="B486" s="102" t="s">
        <v>2481</v>
      </c>
      <c r="C486" s="102">
        <v>225770</v>
      </c>
      <c r="D486" s="102" t="s">
        <v>2480</v>
      </c>
      <c r="E486" s="102"/>
    </row>
    <row r="487" spans="1:5" x14ac:dyDescent="0.15">
      <c r="A487" s="102" t="s">
        <v>2482</v>
      </c>
      <c r="B487" s="102" t="s">
        <v>1825</v>
      </c>
      <c r="C487" s="102">
        <v>205123</v>
      </c>
      <c r="D487" s="102" t="s">
        <v>2482</v>
      </c>
      <c r="E487" s="102"/>
    </row>
    <row r="488" spans="1:5" x14ac:dyDescent="0.15">
      <c r="A488" s="102" t="s">
        <v>2483</v>
      </c>
      <c r="B488" s="102" t="s">
        <v>1823</v>
      </c>
      <c r="C488" s="102">
        <v>110885</v>
      </c>
      <c r="D488" s="102" t="s">
        <v>2483</v>
      </c>
      <c r="E488" s="102"/>
    </row>
    <row r="489" spans="1:5" x14ac:dyDescent="0.15">
      <c r="A489" s="102" t="s">
        <v>2484</v>
      </c>
      <c r="B489" s="102" t="s">
        <v>2485</v>
      </c>
      <c r="C489" s="102">
        <v>216997</v>
      </c>
      <c r="D489" s="102" t="s">
        <v>2484</v>
      </c>
      <c r="E489" s="102"/>
    </row>
    <row r="490" spans="1:5" x14ac:dyDescent="0.15">
      <c r="A490" s="102" t="s">
        <v>2486</v>
      </c>
      <c r="B490" s="102" t="s">
        <v>2487</v>
      </c>
      <c r="C490" s="102">
        <v>215021</v>
      </c>
      <c r="D490" s="102" t="s">
        <v>2486</v>
      </c>
      <c r="E490" s="102"/>
    </row>
    <row r="491" spans="1:5" x14ac:dyDescent="0.15">
      <c r="A491" s="102" t="s">
        <v>2488</v>
      </c>
      <c r="B491" s="102" t="s">
        <v>2489</v>
      </c>
      <c r="C491" s="102">
        <v>247750</v>
      </c>
      <c r="D491" s="102" t="s">
        <v>2488</v>
      </c>
      <c r="E491" s="102"/>
    </row>
    <row r="492" spans="1:5" x14ac:dyDescent="0.15">
      <c r="A492" s="102" t="s">
        <v>2490</v>
      </c>
      <c r="B492" s="102" t="s">
        <v>2491</v>
      </c>
      <c r="C492" s="102">
        <v>242772</v>
      </c>
      <c r="D492" s="102" t="s">
        <v>2490</v>
      </c>
      <c r="E492" s="102"/>
    </row>
    <row r="493" spans="1:5" x14ac:dyDescent="0.15">
      <c r="A493" s="102" t="s">
        <v>2492</v>
      </c>
      <c r="B493" s="102" t="s">
        <v>2493</v>
      </c>
      <c r="C493" s="102">
        <v>230104</v>
      </c>
      <c r="D493" s="102" t="s">
        <v>2492</v>
      </c>
      <c r="E493" s="102"/>
    </row>
    <row r="494" spans="1:5" x14ac:dyDescent="0.15">
      <c r="A494" s="102" t="s">
        <v>2494</v>
      </c>
      <c r="B494" s="102" t="s">
        <v>2495</v>
      </c>
      <c r="C494" s="102">
        <v>215425</v>
      </c>
      <c r="D494" s="102" t="s">
        <v>2494</v>
      </c>
      <c r="E494" s="102"/>
    </row>
    <row r="495" spans="1:5" x14ac:dyDescent="0.15">
      <c r="A495" s="102" t="s">
        <v>2496</v>
      </c>
      <c r="B495" s="102" t="s">
        <v>1825</v>
      </c>
      <c r="C495" s="102">
        <v>177641</v>
      </c>
      <c r="D495" s="102" t="s">
        <v>2496</v>
      </c>
      <c r="E495" s="102"/>
    </row>
    <row r="496" spans="1:5" x14ac:dyDescent="0.15">
      <c r="A496" s="102" t="s">
        <v>2497</v>
      </c>
      <c r="B496" s="102" t="s">
        <v>1825</v>
      </c>
      <c r="C496" s="102">
        <v>158048</v>
      </c>
      <c r="D496" s="102" t="s">
        <v>2497</v>
      </c>
      <c r="E496" s="102"/>
    </row>
    <row r="497" spans="1:5" x14ac:dyDescent="0.15">
      <c r="A497" s="102" t="s">
        <v>2498</v>
      </c>
      <c r="B497" s="102" t="s">
        <v>1825</v>
      </c>
      <c r="C497" s="102">
        <v>163150</v>
      </c>
      <c r="D497" s="102" t="s">
        <v>2498</v>
      </c>
      <c r="E497" s="102"/>
    </row>
    <row r="498" spans="1:5" x14ac:dyDescent="0.15">
      <c r="A498" s="102" t="s">
        <v>2498</v>
      </c>
      <c r="B498" s="102" t="s">
        <v>1825</v>
      </c>
      <c r="C498" s="102">
        <v>172632</v>
      </c>
      <c r="D498" s="102" t="s">
        <v>2498</v>
      </c>
      <c r="E498" s="102"/>
    </row>
    <row r="499" spans="1:5" x14ac:dyDescent="0.15">
      <c r="A499" s="102" t="s">
        <v>2499</v>
      </c>
      <c r="B499" s="102" t="s">
        <v>1825</v>
      </c>
      <c r="C499" s="102">
        <v>165639</v>
      </c>
      <c r="D499" s="102" t="s">
        <v>2499</v>
      </c>
      <c r="E499" s="102"/>
    </row>
    <row r="500" spans="1:5" x14ac:dyDescent="0.15">
      <c r="A500" s="102" t="s">
        <v>2500</v>
      </c>
      <c r="B500" s="102" t="s">
        <v>1825</v>
      </c>
      <c r="C500" s="102">
        <v>205918</v>
      </c>
      <c r="D500" s="102" t="s">
        <v>2500</v>
      </c>
      <c r="E500" s="102"/>
    </row>
    <row r="501" spans="1:5" x14ac:dyDescent="0.15">
      <c r="A501" s="102" t="s">
        <v>2501</v>
      </c>
      <c r="B501" s="102" t="s">
        <v>1825</v>
      </c>
      <c r="C501" s="102">
        <v>214139</v>
      </c>
      <c r="D501" s="102" t="s">
        <v>2501</v>
      </c>
      <c r="E501" s="102"/>
    </row>
    <row r="502" spans="1:5" x14ac:dyDescent="0.15">
      <c r="A502" s="102" t="s">
        <v>2502</v>
      </c>
      <c r="B502" s="102" t="s">
        <v>1825</v>
      </c>
      <c r="C502" s="102">
        <v>182979</v>
      </c>
      <c r="D502" s="102" t="s">
        <v>2502</v>
      </c>
      <c r="E502" s="102"/>
    </row>
    <row r="503" spans="1:5" x14ac:dyDescent="0.15">
      <c r="A503" s="102" t="s">
        <v>2503</v>
      </c>
      <c r="B503" s="102" t="s">
        <v>1825</v>
      </c>
      <c r="C503" s="102">
        <v>164717</v>
      </c>
      <c r="D503" s="102" t="s">
        <v>2503</v>
      </c>
      <c r="E503" s="102"/>
    </row>
    <row r="504" spans="1:5" x14ac:dyDescent="0.15">
      <c r="A504" s="102" t="s">
        <v>2504</v>
      </c>
      <c r="B504" s="102" t="s">
        <v>2505</v>
      </c>
      <c r="C504" s="102">
        <v>231900</v>
      </c>
      <c r="D504" s="102" t="s">
        <v>2504</v>
      </c>
      <c r="E504" s="102"/>
    </row>
    <row r="505" spans="1:5" x14ac:dyDescent="0.15">
      <c r="A505" s="102" t="s">
        <v>2506</v>
      </c>
      <c r="B505" s="102" t="s">
        <v>1825</v>
      </c>
      <c r="C505" s="102">
        <v>205126</v>
      </c>
      <c r="D505" s="102" t="s">
        <v>2506</v>
      </c>
      <c r="E505" s="102"/>
    </row>
    <row r="506" spans="1:5" x14ac:dyDescent="0.15">
      <c r="A506" s="102" t="s">
        <v>2507</v>
      </c>
      <c r="B506" s="102" t="s">
        <v>1823</v>
      </c>
      <c r="C506" s="102">
        <v>121314</v>
      </c>
      <c r="D506" s="102" t="s">
        <v>2507</v>
      </c>
      <c r="E506" s="102"/>
    </row>
    <row r="507" spans="1:5" x14ac:dyDescent="0.15">
      <c r="A507" s="102" t="s">
        <v>2508</v>
      </c>
      <c r="B507" s="102" t="s">
        <v>2509</v>
      </c>
      <c r="C507" s="102">
        <v>246737</v>
      </c>
      <c r="D507" s="102" t="s">
        <v>2508</v>
      </c>
      <c r="E507" s="102"/>
    </row>
    <row r="508" spans="1:5" x14ac:dyDescent="0.15">
      <c r="A508" s="102" t="s">
        <v>2510</v>
      </c>
      <c r="B508" s="102" t="s">
        <v>1823</v>
      </c>
      <c r="C508" s="102">
        <v>155707</v>
      </c>
      <c r="D508" s="102" t="s">
        <v>2510</v>
      </c>
      <c r="E508" s="102"/>
    </row>
    <row r="509" spans="1:5" x14ac:dyDescent="0.15">
      <c r="A509" s="102" t="s">
        <v>2511</v>
      </c>
      <c r="B509" s="102" t="s">
        <v>1838</v>
      </c>
      <c r="C509" s="102">
        <v>228142</v>
      </c>
      <c r="D509" s="102" t="s">
        <v>2511</v>
      </c>
      <c r="E509" s="102"/>
    </row>
    <row r="510" spans="1:5" x14ac:dyDescent="0.15">
      <c r="A510" s="102" t="s">
        <v>2512</v>
      </c>
      <c r="B510" s="102" t="s">
        <v>2513</v>
      </c>
      <c r="C510" s="102">
        <v>225766</v>
      </c>
      <c r="D510" s="102" t="s">
        <v>2512</v>
      </c>
      <c r="E510" s="102"/>
    </row>
    <row r="511" spans="1:5" x14ac:dyDescent="0.15">
      <c r="A511" s="102" t="s">
        <v>2512</v>
      </c>
      <c r="B511" s="102" t="s">
        <v>1823</v>
      </c>
      <c r="C511" s="102">
        <v>111926</v>
      </c>
      <c r="D511" s="102" t="s">
        <v>2514</v>
      </c>
      <c r="E511" s="102"/>
    </row>
    <row r="512" spans="1:5" x14ac:dyDescent="0.15">
      <c r="A512" s="102" t="s">
        <v>2515</v>
      </c>
      <c r="B512" s="102" t="s">
        <v>1825</v>
      </c>
      <c r="C512" s="102">
        <v>172254</v>
      </c>
      <c r="D512" s="102" t="s">
        <v>2515</v>
      </c>
      <c r="E512" s="102"/>
    </row>
    <row r="513" spans="1:5" x14ac:dyDescent="0.15">
      <c r="A513" s="102" t="s">
        <v>2516</v>
      </c>
      <c r="B513" s="102" t="s">
        <v>1825</v>
      </c>
      <c r="C513" s="102">
        <v>160602</v>
      </c>
      <c r="D513" s="102" t="s">
        <v>2516</v>
      </c>
      <c r="E513" s="102"/>
    </row>
    <row r="514" spans="1:5" x14ac:dyDescent="0.15">
      <c r="A514" s="102" t="s">
        <v>2517</v>
      </c>
      <c r="B514" s="102" t="s">
        <v>1825</v>
      </c>
      <c r="C514" s="102">
        <v>158019</v>
      </c>
      <c r="D514" s="102" t="s">
        <v>2517</v>
      </c>
      <c r="E514" s="102"/>
    </row>
    <row r="515" spans="1:5" x14ac:dyDescent="0.15">
      <c r="A515" s="102" t="s">
        <v>2518</v>
      </c>
      <c r="B515" s="102" t="s">
        <v>1825</v>
      </c>
      <c r="C515" s="102">
        <v>162854</v>
      </c>
      <c r="D515" s="102" t="s">
        <v>2518</v>
      </c>
      <c r="E515" s="102"/>
    </row>
    <row r="516" spans="1:5" x14ac:dyDescent="0.15">
      <c r="A516" s="102" t="s">
        <v>2519</v>
      </c>
      <c r="B516" s="102" t="s">
        <v>1823</v>
      </c>
      <c r="C516" s="102">
        <v>112304</v>
      </c>
      <c r="D516" s="102" t="s">
        <v>2519</v>
      </c>
      <c r="E516" s="102"/>
    </row>
    <row r="517" spans="1:5" x14ac:dyDescent="0.15">
      <c r="A517" s="102" t="s">
        <v>2520</v>
      </c>
      <c r="B517" s="102" t="s">
        <v>1825</v>
      </c>
      <c r="C517" s="102">
        <v>205249</v>
      </c>
      <c r="D517" s="102" t="s">
        <v>2520</v>
      </c>
      <c r="E517" s="102"/>
    </row>
    <row r="518" spans="1:5" x14ac:dyDescent="0.15">
      <c r="A518" s="102" t="s">
        <v>2521</v>
      </c>
      <c r="B518" s="102" t="s">
        <v>1823</v>
      </c>
      <c r="C518" s="102">
        <v>98705</v>
      </c>
      <c r="D518" s="102" t="s">
        <v>2522</v>
      </c>
      <c r="E518" s="102"/>
    </row>
    <row r="519" spans="1:5" x14ac:dyDescent="0.15">
      <c r="A519" s="102" t="s">
        <v>2523</v>
      </c>
      <c r="B519" s="102" t="s">
        <v>2524</v>
      </c>
      <c r="C519" s="102">
        <v>228616</v>
      </c>
      <c r="D519" s="102" t="s">
        <v>2523</v>
      </c>
      <c r="E519" s="102"/>
    </row>
    <row r="520" spans="1:5" x14ac:dyDescent="0.15">
      <c r="A520" s="102" t="s">
        <v>2525</v>
      </c>
      <c r="B520" s="102" t="s">
        <v>1823</v>
      </c>
      <c r="C520" s="102">
        <v>110988</v>
      </c>
      <c r="D520" s="102" t="s">
        <v>2526</v>
      </c>
      <c r="E520" s="102"/>
    </row>
    <row r="521" spans="1:5" x14ac:dyDescent="0.15">
      <c r="A521" s="102" t="s">
        <v>2527</v>
      </c>
      <c r="B521" s="102" t="s">
        <v>1825</v>
      </c>
      <c r="C521" s="102">
        <v>162455</v>
      </c>
      <c r="D521" s="102" t="s">
        <v>2528</v>
      </c>
      <c r="E521" s="102"/>
    </row>
    <row r="522" spans="1:5" x14ac:dyDescent="0.15">
      <c r="A522" s="102" t="s">
        <v>2529</v>
      </c>
      <c r="B522" s="102" t="s">
        <v>1823</v>
      </c>
      <c r="C522" s="102">
        <v>155927</v>
      </c>
      <c r="D522" s="102" t="s">
        <v>2529</v>
      </c>
      <c r="E522" s="102"/>
    </row>
    <row r="523" spans="1:5" x14ac:dyDescent="0.15">
      <c r="A523" s="102" t="s">
        <v>2530</v>
      </c>
      <c r="B523" s="102" t="s">
        <v>1823</v>
      </c>
      <c r="C523" s="102">
        <v>121070</v>
      </c>
      <c r="D523" s="102" t="s">
        <v>2530</v>
      </c>
      <c r="E523" s="102"/>
    </row>
    <row r="524" spans="1:5" x14ac:dyDescent="0.15">
      <c r="A524" s="102" t="s">
        <v>2531</v>
      </c>
      <c r="B524" s="102" t="s">
        <v>1825</v>
      </c>
      <c r="C524" s="102">
        <v>178584</v>
      </c>
      <c r="D524" s="102" t="s">
        <v>2531</v>
      </c>
      <c r="E524" s="102"/>
    </row>
    <row r="525" spans="1:5" x14ac:dyDescent="0.15">
      <c r="A525" s="102" t="s">
        <v>2532</v>
      </c>
      <c r="B525" s="102" t="s">
        <v>1823</v>
      </c>
      <c r="C525" s="102">
        <v>97845</v>
      </c>
      <c r="D525" s="102" t="s">
        <v>2532</v>
      </c>
      <c r="E525" s="102"/>
    </row>
    <row r="526" spans="1:5" x14ac:dyDescent="0.15">
      <c r="A526" s="102" t="s">
        <v>2533</v>
      </c>
      <c r="B526" s="102" t="s">
        <v>1823</v>
      </c>
      <c r="C526" s="102">
        <v>119895</v>
      </c>
      <c r="D526" s="102" t="s">
        <v>2533</v>
      </c>
      <c r="E526" s="102"/>
    </row>
    <row r="527" spans="1:5" x14ac:dyDescent="0.15">
      <c r="A527" s="102" t="s">
        <v>2534</v>
      </c>
      <c r="B527" s="102" t="s">
        <v>2535</v>
      </c>
      <c r="C527" s="102">
        <v>248972</v>
      </c>
      <c r="D527" s="102" t="s">
        <v>2534</v>
      </c>
      <c r="E527" s="102"/>
    </row>
    <row r="528" spans="1:5" x14ac:dyDescent="0.15">
      <c r="A528" s="102" t="s">
        <v>2536</v>
      </c>
      <c r="B528" s="102" t="s">
        <v>1825</v>
      </c>
      <c r="C528" s="102">
        <v>193872</v>
      </c>
      <c r="D528" s="102" t="s">
        <v>2536</v>
      </c>
      <c r="E528" s="102"/>
    </row>
    <row r="529" spans="1:5" x14ac:dyDescent="0.15">
      <c r="A529" s="102" t="s">
        <v>2537</v>
      </c>
      <c r="B529" s="102" t="s">
        <v>1825</v>
      </c>
      <c r="C529" s="102">
        <v>162881</v>
      </c>
      <c r="D529" s="102" t="s">
        <v>2537</v>
      </c>
      <c r="E529" s="102"/>
    </row>
    <row r="530" spans="1:5" x14ac:dyDescent="0.15">
      <c r="A530" s="102" t="s">
        <v>2538</v>
      </c>
      <c r="B530" s="102" t="s">
        <v>1825</v>
      </c>
      <c r="C530" s="102">
        <v>204512</v>
      </c>
      <c r="D530" s="102" t="s">
        <v>2538</v>
      </c>
      <c r="E530" s="102"/>
    </row>
    <row r="531" spans="1:5" x14ac:dyDescent="0.15">
      <c r="A531" s="102" t="s">
        <v>2539</v>
      </c>
      <c r="B531" s="102" t="s">
        <v>1823</v>
      </c>
      <c r="C531" s="102">
        <v>97932</v>
      </c>
      <c r="D531" s="102" t="s">
        <v>2539</v>
      </c>
      <c r="E531" s="102"/>
    </row>
    <row r="532" spans="1:5" x14ac:dyDescent="0.15">
      <c r="A532" s="102" t="s">
        <v>2540</v>
      </c>
      <c r="B532" s="102" t="s">
        <v>1823</v>
      </c>
      <c r="C532" s="102">
        <v>98459</v>
      </c>
      <c r="D532" s="102" t="s">
        <v>2540</v>
      </c>
      <c r="E532" s="102"/>
    </row>
    <row r="533" spans="1:5" x14ac:dyDescent="0.15">
      <c r="A533" s="102" t="s">
        <v>2541</v>
      </c>
      <c r="B533" s="102" t="s">
        <v>1825</v>
      </c>
      <c r="C533" s="102">
        <v>162918</v>
      </c>
      <c r="D533" s="102" t="s">
        <v>2541</v>
      </c>
      <c r="E533" s="102"/>
    </row>
    <row r="534" spans="1:5" x14ac:dyDescent="0.15">
      <c r="A534" s="102" t="s">
        <v>2542</v>
      </c>
      <c r="B534" s="102" t="s">
        <v>1825</v>
      </c>
      <c r="C534" s="102">
        <v>166300</v>
      </c>
      <c r="D534" s="102" t="s">
        <v>2542</v>
      </c>
      <c r="E534" s="102"/>
    </row>
    <row r="535" spans="1:5" x14ac:dyDescent="0.15">
      <c r="A535" s="102" t="s">
        <v>2542</v>
      </c>
      <c r="B535" s="102" t="s">
        <v>1825</v>
      </c>
      <c r="C535" s="102">
        <v>193873</v>
      </c>
      <c r="D535" s="102" t="s">
        <v>2542</v>
      </c>
      <c r="E535" s="102"/>
    </row>
    <row r="536" spans="1:5" x14ac:dyDescent="0.15">
      <c r="A536" s="102" t="s">
        <v>2543</v>
      </c>
      <c r="B536" s="102" t="s">
        <v>2544</v>
      </c>
      <c r="C536" s="102">
        <v>217517</v>
      </c>
      <c r="D536" s="102" t="s">
        <v>2543</v>
      </c>
      <c r="E536" s="102"/>
    </row>
    <row r="537" spans="1:5" x14ac:dyDescent="0.15">
      <c r="A537" s="102" t="s">
        <v>2545</v>
      </c>
      <c r="B537" s="102" t="s">
        <v>1825</v>
      </c>
      <c r="C537" s="102">
        <v>172611</v>
      </c>
      <c r="D537" s="102" t="s">
        <v>2545</v>
      </c>
      <c r="E537" s="102"/>
    </row>
    <row r="538" spans="1:5" x14ac:dyDescent="0.15">
      <c r="A538" s="102" t="s">
        <v>2546</v>
      </c>
      <c r="B538" s="102" t="s">
        <v>1825</v>
      </c>
      <c r="C538" s="102">
        <v>162872</v>
      </c>
      <c r="D538" s="102" t="s">
        <v>2546</v>
      </c>
      <c r="E538" s="102"/>
    </row>
    <row r="539" spans="1:5" x14ac:dyDescent="0.15">
      <c r="A539" s="102" t="s">
        <v>2547</v>
      </c>
      <c r="B539" s="102" t="s">
        <v>1825</v>
      </c>
      <c r="C539" s="102">
        <v>165390</v>
      </c>
      <c r="D539" s="102" t="s">
        <v>2547</v>
      </c>
      <c r="E539" s="102"/>
    </row>
    <row r="540" spans="1:5" x14ac:dyDescent="0.15">
      <c r="A540" s="102" t="s">
        <v>2548</v>
      </c>
      <c r="B540" s="102" t="s">
        <v>1928</v>
      </c>
      <c r="C540" s="102">
        <v>172595</v>
      </c>
      <c r="D540" s="102" t="s">
        <v>2548</v>
      </c>
      <c r="E540" s="102"/>
    </row>
    <row r="541" spans="1:5" x14ac:dyDescent="0.15">
      <c r="A541" s="102" t="s">
        <v>2549</v>
      </c>
      <c r="B541" s="102" t="s">
        <v>1825</v>
      </c>
      <c r="C541" s="102">
        <v>184492</v>
      </c>
      <c r="D541" s="102" t="s">
        <v>2549</v>
      </c>
      <c r="E541" s="102"/>
    </row>
    <row r="542" spans="1:5" x14ac:dyDescent="0.15">
      <c r="A542" s="102" t="s">
        <v>2550</v>
      </c>
      <c r="B542" s="102" t="s">
        <v>1823</v>
      </c>
      <c r="C542" s="102">
        <v>155175</v>
      </c>
      <c r="D542" s="102" t="s">
        <v>2550</v>
      </c>
      <c r="E542" s="102"/>
    </row>
    <row r="543" spans="1:5" x14ac:dyDescent="0.15">
      <c r="A543" s="102" t="s">
        <v>2551</v>
      </c>
      <c r="B543" s="102" t="s">
        <v>1825</v>
      </c>
      <c r="C543" s="102">
        <v>164718</v>
      </c>
      <c r="D543" s="102" t="s">
        <v>2551</v>
      </c>
      <c r="E543" s="102"/>
    </row>
    <row r="544" spans="1:5" x14ac:dyDescent="0.15">
      <c r="A544" s="102" t="s">
        <v>2552</v>
      </c>
      <c r="B544" s="102" t="s">
        <v>1928</v>
      </c>
      <c r="C544" s="102">
        <v>204307</v>
      </c>
      <c r="D544" s="102" t="s">
        <v>2552</v>
      </c>
      <c r="E544" s="102"/>
    </row>
    <row r="545" spans="1:5" x14ac:dyDescent="0.15">
      <c r="A545" s="102" t="s">
        <v>2553</v>
      </c>
      <c r="B545" s="102" t="s">
        <v>1825</v>
      </c>
      <c r="C545" s="102">
        <v>214145</v>
      </c>
      <c r="D545" s="102" t="s">
        <v>2553</v>
      </c>
      <c r="E545" s="102"/>
    </row>
    <row r="546" spans="1:5" x14ac:dyDescent="0.15">
      <c r="A546" s="102" t="s">
        <v>2554</v>
      </c>
      <c r="B546" s="102" t="s">
        <v>1823</v>
      </c>
      <c r="C546" s="102">
        <v>110760</v>
      </c>
      <c r="D546" s="102" t="s">
        <v>2554</v>
      </c>
      <c r="E546" s="102"/>
    </row>
    <row r="547" spans="1:5" x14ac:dyDescent="0.15">
      <c r="A547" s="102" t="s">
        <v>2555</v>
      </c>
      <c r="B547" s="102" t="s">
        <v>1825</v>
      </c>
      <c r="C547" s="102">
        <v>202688</v>
      </c>
      <c r="D547" s="102" t="s">
        <v>2555</v>
      </c>
      <c r="E547" s="102"/>
    </row>
    <row r="548" spans="1:5" x14ac:dyDescent="0.15">
      <c r="A548" s="102" t="s">
        <v>2556</v>
      </c>
      <c r="B548" s="102" t="s">
        <v>1825</v>
      </c>
      <c r="C548" s="102">
        <v>208884</v>
      </c>
      <c r="D548" s="102" t="s">
        <v>2556</v>
      </c>
      <c r="E548" s="102"/>
    </row>
    <row r="549" spans="1:5" x14ac:dyDescent="0.15">
      <c r="A549" s="102" t="s">
        <v>2557</v>
      </c>
      <c r="B549" s="102" t="s">
        <v>1823</v>
      </c>
      <c r="C549" s="102">
        <v>119831</v>
      </c>
      <c r="D549" s="102" t="s">
        <v>2557</v>
      </c>
      <c r="E549" s="102"/>
    </row>
    <row r="550" spans="1:5" x14ac:dyDescent="0.15">
      <c r="A550" s="102" t="s">
        <v>2558</v>
      </c>
      <c r="B550" s="102" t="s">
        <v>1825</v>
      </c>
      <c r="C550" s="102">
        <v>162915</v>
      </c>
      <c r="D550" s="102" t="s">
        <v>2558</v>
      </c>
      <c r="E550" s="102"/>
    </row>
    <row r="551" spans="1:5" x14ac:dyDescent="0.15">
      <c r="A551" s="102" t="s">
        <v>2559</v>
      </c>
      <c r="B551" s="102" t="s">
        <v>1825</v>
      </c>
      <c r="C551" s="102">
        <v>160691</v>
      </c>
      <c r="D551" s="102" t="s">
        <v>2559</v>
      </c>
      <c r="E551" s="102"/>
    </row>
    <row r="552" spans="1:5" x14ac:dyDescent="0.15">
      <c r="A552" s="102" t="s">
        <v>2560</v>
      </c>
      <c r="B552" s="102" t="s">
        <v>1825</v>
      </c>
      <c r="C552" s="102">
        <v>160576</v>
      </c>
      <c r="D552" s="102" t="s">
        <v>2560</v>
      </c>
      <c r="E552" s="102"/>
    </row>
    <row r="553" spans="1:5" x14ac:dyDescent="0.15">
      <c r="A553" s="102" t="s">
        <v>2561</v>
      </c>
      <c r="B553" s="102" t="s">
        <v>1823</v>
      </c>
      <c r="C553" s="102">
        <v>112147</v>
      </c>
      <c r="D553" s="102" t="s">
        <v>2562</v>
      </c>
      <c r="E553" s="102"/>
    </row>
    <row r="554" spans="1:5" x14ac:dyDescent="0.15">
      <c r="A554" s="102" t="s">
        <v>2563</v>
      </c>
      <c r="B554" s="102" t="s">
        <v>1825</v>
      </c>
      <c r="C554" s="102">
        <v>162877</v>
      </c>
      <c r="D554" s="102" t="s">
        <v>2563</v>
      </c>
      <c r="E554" s="102"/>
    </row>
    <row r="555" spans="1:5" x14ac:dyDescent="0.15">
      <c r="A555" s="102" t="s">
        <v>2564</v>
      </c>
      <c r="B555" s="102" t="s">
        <v>1825</v>
      </c>
      <c r="C555" s="102">
        <v>191906</v>
      </c>
      <c r="D555" s="102" t="s">
        <v>2564</v>
      </c>
      <c r="E555" s="102"/>
    </row>
    <row r="556" spans="1:5" x14ac:dyDescent="0.15">
      <c r="A556" s="102" t="s">
        <v>2565</v>
      </c>
      <c r="B556" s="102" t="s">
        <v>1825</v>
      </c>
      <c r="C556" s="102">
        <v>166655</v>
      </c>
      <c r="D556" s="102" t="s">
        <v>2565</v>
      </c>
      <c r="E556" s="102"/>
    </row>
    <row r="557" spans="1:5" x14ac:dyDescent="0.15">
      <c r="A557" s="102" t="s">
        <v>2566</v>
      </c>
      <c r="B557" s="102" t="s">
        <v>1928</v>
      </c>
      <c r="C557" s="102">
        <v>160587</v>
      </c>
      <c r="D557" s="102" t="s">
        <v>2566</v>
      </c>
      <c r="E557" s="102"/>
    </row>
    <row r="558" spans="1:5" x14ac:dyDescent="0.15">
      <c r="A558" s="102" t="s">
        <v>2567</v>
      </c>
      <c r="B558" s="102" t="s">
        <v>2568</v>
      </c>
      <c r="C558" s="102">
        <v>236409</v>
      </c>
      <c r="D558" s="102" t="s">
        <v>2567</v>
      </c>
      <c r="E558" s="102"/>
    </row>
    <row r="559" spans="1:5" x14ac:dyDescent="0.15">
      <c r="A559" s="102" t="s">
        <v>2569</v>
      </c>
      <c r="B559" s="102" t="s">
        <v>1825</v>
      </c>
      <c r="C559" s="102">
        <v>160687</v>
      </c>
      <c r="D559" s="102" t="s">
        <v>2569</v>
      </c>
      <c r="E559" s="102"/>
    </row>
    <row r="560" spans="1:5" x14ac:dyDescent="0.15">
      <c r="A560" s="102" t="s">
        <v>2570</v>
      </c>
      <c r="B560" s="102" t="s">
        <v>2571</v>
      </c>
      <c r="C560" s="102">
        <v>231962</v>
      </c>
      <c r="D560" s="102" t="s">
        <v>2570</v>
      </c>
      <c r="E560" s="102"/>
    </row>
    <row r="561" spans="1:5" x14ac:dyDescent="0.15">
      <c r="A561" s="102" t="s">
        <v>2572</v>
      </c>
      <c r="B561" s="102" t="s">
        <v>2573</v>
      </c>
      <c r="C561" s="102">
        <v>246725</v>
      </c>
      <c r="D561" s="102" t="s">
        <v>2572</v>
      </c>
      <c r="E561" s="102"/>
    </row>
    <row r="562" spans="1:5" x14ac:dyDescent="0.15">
      <c r="A562" s="102" t="s">
        <v>2574</v>
      </c>
      <c r="B562" s="102" t="s">
        <v>2575</v>
      </c>
      <c r="C562" s="102">
        <v>231965</v>
      </c>
      <c r="D562" s="102" t="s">
        <v>2574</v>
      </c>
      <c r="E562" s="102"/>
    </row>
    <row r="563" spans="1:5" x14ac:dyDescent="0.15">
      <c r="A563" s="102" t="s">
        <v>2576</v>
      </c>
      <c r="B563" s="102" t="s">
        <v>2577</v>
      </c>
      <c r="C563" s="102">
        <v>246724</v>
      </c>
      <c r="D563" s="102" t="s">
        <v>2576</v>
      </c>
      <c r="E563" s="102"/>
    </row>
    <row r="564" spans="1:5" x14ac:dyDescent="0.15">
      <c r="A564" s="102" t="s">
        <v>2578</v>
      </c>
      <c r="B564" s="102" t="s">
        <v>2579</v>
      </c>
      <c r="C564" s="102">
        <v>231964</v>
      </c>
      <c r="D564" s="102" t="s">
        <v>2578</v>
      </c>
      <c r="E564" s="102"/>
    </row>
    <row r="565" spans="1:5" x14ac:dyDescent="0.15">
      <c r="A565" s="102" t="s">
        <v>2580</v>
      </c>
      <c r="B565" s="102" t="s">
        <v>2581</v>
      </c>
      <c r="C565" s="102">
        <v>246726</v>
      </c>
      <c r="D565" s="102" t="s">
        <v>2580</v>
      </c>
      <c r="E565" s="102"/>
    </row>
    <row r="566" spans="1:5" x14ac:dyDescent="0.15">
      <c r="A566" s="102" t="s">
        <v>2582</v>
      </c>
      <c r="B566" s="102" t="s">
        <v>1825</v>
      </c>
      <c r="C566" s="102">
        <v>160573</v>
      </c>
      <c r="D566" s="102" t="s">
        <v>2582</v>
      </c>
      <c r="E566" s="102"/>
    </row>
    <row r="567" spans="1:5" x14ac:dyDescent="0.15">
      <c r="A567" s="102" t="s">
        <v>2583</v>
      </c>
      <c r="B567" s="102" t="s">
        <v>1823</v>
      </c>
      <c r="C567" s="102">
        <v>155980</v>
      </c>
      <c r="D567" s="102" t="s">
        <v>2583</v>
      </c>
      <c r="E567" s="102"/>
    </row>
    <row r="568" spans="1:5" x14ac:dyDescent="0.15">
      <c r="A568" s="102" t="s">
        <v>2584</v>
      </c>
      <c r="B568" s="102" t="s">
        <v>2585</v>
      </c>
      <c r="C568" s="102">
        <v>217041</v>
      </c>
      <c r="D568" s="102" t="s">
        <v>2584</v>
      </c>
      <c r="E568" s="102"/>
    </row>
    <row r="569" spans="1:5" x14ac:dyDescent="0.15">
      <c r="A569" s="102" t="s">
        <v>2586</v>
      </c>
      <c r="B569" s="102" t="s">
        <v>1825</v>
      </c>
      <c r="C569" s="102">
        <v>157877</v>
      </c>
      <c r="D569" s="102" t="s">
        <v>2586</v>
      </c>
      <c r="E569" s="102"/>
    </row>
    <row r="570" spans="1:5" x14ac:dyDescent="0.15">
      <c r="A570" s="102" t="s">
        <v>2587</v>
      </c>
      <c r="B570" s="102" t="s">
        <v>2588</v>
      </c>
      <c r="C570" s="102">
        <v>245785</v>
      </c>
      <c r="D570" s="102" t="s">
        <v>2587</v>
      </c>
      <c r="E570" s="102"/>
    </row>
    <row r="571" spans="1:5" x14ac:dyDescent="0.15">
      <c r="A571" s="102" t="s">
        <v>2589</v>
      </c>
      <c r="B571" s="102" t="s">
        <v>2590</v>
      </c>
      <c r="C571" s="102">
        <v>218044</v>
      </c>
      <c r="D571" s="102" t="s">
        <v>2589</v>
      </c>
      <c r="E571" s="102"/>
    </row>
    <row r="572" spans="1:5" x14ac:dyDescent="0.15">
      <c r="A572" s="102" t="s">
        <v>2591</v>
      </c>
      <c r="B572" s="102" t="s">
        <v>2592</v>
      </c>
      <c r="C572" s="102">
        <v>214842</v>
      </c>
      <c r="D572" s="102" t="s">
        <v>2591</v>
      </c>
      <c r="E572" s="102"/>
    </row>
    <row r="573" spans="1:5" x14ac:dyDescent="0.15">
      <c r="A573" s="102" t="s">
        <v>2593</v>
      </c>
      <c r="B573" s="102" t="s">
        <v>1928</v>
      </c>
      <c r="C573" s="102">
        <v>181038</v>
      </c>
      <c r="D573" s="102" t="s">
        <v>2593</v>
      </c>
      <c r="E573" s="102"/>
    </row>
    <row r="574" spans="1:5" x14ac:dyDescent="0.15">
      <c r="A574" s="102" t="s">
        <v>2594</v>
      </c>
      <c r="B574" s="102" t="s">
        <v>1823</v>
      </c>
      <c r="C574" s="102">
        <v>103201</v>
      </c>
      <c r="D574" s="102" t="s">
        <v>2594</v>
      </c>
      <c r="E574" s="102"/>
    </row>
    <row r="575" spans="1:5" x14ac:dyDescent="0.15">
      <c r="A575" s="102" t="s">
        <v>2595</v>
      </c>
      <c r="B575" s="102" t="s">
        <v>1825</v>
      </c>
      <c r="C575" s="102">
        <v>214150</v>
      </c>
      <c r="D575" s="102" t="s">
        <v>2595</v>
      </c>
      <c r="E575" s="102"/>
    </row>
    <row r="576" spans="1:5" x14ac:dyDescent="0.15">
      <c r="A576" s="102" t="s">
        <v>2596</v>
      </c>
      <c r="B576" s="102" t="s">
        <v>1825</v>
      </c>
      <c r="C576" s="102">
        <v>160580</v>
      </c>
      <c r="D576" s="102" t="s">
        <v>2596</v>
      </c>
      <c r="E576" s="102"/>
    </row>
    <row r="577" spans="1:5" x14ac:dyDescent="0.15">
      <c r="A577" s="102" t="s">
        <v>2597</v>
      </c>
      <c r="B577" s="102" t="s">
        <v>1823</v>
      </c>
      <c r="C577" s="102">
        <v>155703</v>
      </c>
      <c r="D577" s="102" t="s">
        <v>2597</v>
      </c>
      <c r="E577" s="102"/>
    </row>
    <row r="578" spans="1:5" x14ac:dyDescent="0.15">
      <c r="A578" s="102" t="s">
        <v>2598</v>
      </c>
      <c r="B578" s="102" t="s">
        <v>2599</v>
      </c>
      <c r="C578" s="102">
        <v>245543</v>
      </c>
      <c r="D578" s="102" t="s">
        <v>2598</v>
      </c>
      <c r="E578" s="102"/>
    </row>
    <row r="579" spans="1:5" x14ac:dyDescent="0.15">
      <c r="A579" s="102" t="s">
        <v>2600</v>
      </c>
      <c r="B579" s="102" t="s">
        <v>1825</v>
      </c>
      <c r="C579" s="102">
        <v>178925</v>
      </c>
      <c r="D579" s="102" t="s">
        <v>2600</v>
      </c>
      <c r="E579" s="102"/>
    </row>
    <row r="580" spans="1:5" x14ac:dyDescent="0.15">
      <c r="A580" s="102" t="s">
        <v>2601</v>
      </c>
      <c r="B580" s="102" t="s">
        <v>1825</v>
      </c>
      <c r="C580" s="102">
        <v>165393</v>
      </c>
      <c r="D580" s="102" t="s">
        <v>2602</v>
      </c>
      <c r="E580" s="102"/>
    </row>
    <row r="581" spans="1:5" x14ac:dyDescent="0.15">
      <c r="A581" s="102" t="s">
        <v>2603</v>
      </c>
      <c r="B581" s="102" t="s">
        <v>2604</v>
      </c>
      <c r="C581" s="102">
        <v>225764</v>
      </c>
      <c r="D581" s="102" t="s">
        <v>2603</v>
      </c>
      <c r="E581" s="102"/>
    </row>
    <row r="582" spans="1:5" x14ac:dyDescent="0.15">
      <c r="A582" s="102" t="s">
        <v>2605</v>
      </c>
      <c r="B582" s="102" t="s">
        <v>1825</v>
      </c>
      <c r="C582" s="102">
        <v>158051</v>
      </c>
      <c r="D582" s="102" t="s">
        <v>2605</v>
      </c>
      <c r="E582" s="102"/>
    </row>
    <row r="583" spans="1:5" x14ac:dyDescent="0.15">
      <c r="A583" s="102" t="s">
        <v>2606</v>
      </c>
      <c r="B583" s="102" t="s">
        <v>1825</v>
      </c>
      <c r="C583" s="102">
        <v>180285</v>
      </c>
      <c r="D583" s="102" t="s">
        <v>2606</v>
      </c>
      <c r="E583" s="102"/>
    </row>
    <row r="584" spans="1:5" x14ac:dyDescent="0.15">
      <c r="A584" s="102" t="s">
        <v>2607</v>
      </c>
      <c r="B584" s="102" t="s">
        <v>1823</v>
      </c>
      <c r="C584" s="102">
        <v>120022</v>
      </c>
      <c r="D584" s="102" t="s">
        <v>2607</v>
      </c>
      <c r="E584" s="102"/>
    </row>
    <row r="585" spans="1:5" x14ac:dyDescent="0.15">
      <c r="A585" s="102" t="s">
        <v>2608</v>
      </c>
      <c r="B585" s="102" t="s">
        <v>2609</v>
      </c>
      <c r="C585" s="102">
        <v>243117</v>
      </c>
      <c r="D585" s="102" t="s">
        <v>2608</v>
      </c>
      <c r="E585" s="102"/>
    </row>
    <row r="586" spans="1:5" x14ac:dyDescent="0.15">
      <c r="A586" s="102" t="s">
        <v>2610</v>
      </c>
      <c r="B586" s="102" t="s">
        <v>1825</v>
      </c>
      <c r="C586" s="102">
        <v>160597</v>
      </c>
      <c r="D586" s="102" t="s">
        <v>2610</v>
      </c>
      <c r="E586" s="102"/>
    </row>
    <row r="587" spans="1:5" x14ac:dyDescent="0.15">
      <c r="A587" s="102" t="s">
        <v>2611</v>
      </c>
      <c r="B587" s="102" t="s">
        <v>1823</v>
      </c>
      <c r="C587" s="102">
        <v>155706</v>
      </c>
      <c r="D587" s="102" t="s">
        <v>2611</v>
      </c>
      <c r="E587" s="102"/>
    </row>
    <row r="588" spans="1:5" x14ac:dyDescent="0.15">
      <c r="A588" s="102" t="s">
        <v>2611</v>
      </c>
      <c r="B588" s="102" t="s">
        <v>1825</v>
      </c>
      <c r="C588" s="102">
        <v>158050</v>
      </c>
      <c r="D588" s="102" t="s">
        <v>2611</v>
      </c>
      <c r="E588" s="102"/>
    </row>
    <row r="589" spans="1:5" x14ac:dyDescent="0.15">
      <c r="A589" s="102" t="s">
        <v>2612</v>
      </c>
      <c r="B589" s="102" t="s">
        <v>2613</v>
      </c>
      <c r="C589" s="102">
        <v>216181</v>
      </c>
      <c r="D589" s="102" t="s">
        <v>2612</v>
      </c>
      <c r="E589" s="102"/>
    </row>
    <row r="590" spans="1:5" x14ac:dyDescent="0.15">
      <c r="A590" s="102" t="s">
        <v>2614</v>
      </c>
      <c r="B590" s="102" t="s">
        <v>1825</v>
      </c>
      <c r="C590" s="102">
        <v>160511</v>
      </c>
      <c r="D590" s="102" t="s">
        <v>2614</v>
      </c>
      <c r="E590" s="102"/>
    </row>
    <row r="591" spans="1:5" x14ac:dyDescent="0.15">
      <c r="A591" s="102" t="s">
        <v>2615</v>
      </c>
      <c r="B591" s="102" t="s">
        <v>1823</v>
      </c>
      <c r="C591" s="102">
        <v>155750</v>
      </c>
      <c r="D591" s="102" t="s">
        <v>2615</v>
      </c>
      <c r="E591" s="102"/>
    </row>
    <row r="592" spans="1:5" x14ac:dyDescent="0.15">
      <c r="A592" s="102" t="s">
        <v>2616</v>
      </c>
      <c r="B592" s="102" t="s">
        <v>1823</v>
      </c>
      <c r="C592" s="102">
        <v>110817</v>
      </c>
      <c r="D592" s="102" t="s">
        <v>2616</v>
      </c>
      <c r="E592" s="102"/>
    </row>
    <row r="593" spans="1:5" x14ac:dyDescent="0.15">
      <c r="A593" s="102" t="s">
        <v>2617</v>
      </c>
      <c r="B593" s="102" t="s">
        <v>1825</v>
      </c>
      <c r="C593" s="102">
        <v>193821</v>
      </c>
      <c r="D593" s="102" t="s">
        <v>2617</v>
      </c>
      <c r="E593" s="102"/>
    </row>
    <row r="594" spans="1:5" x14ac:dyDescent="0.15">
      <c r="A594" s="102" t="s">
        <v>2618</v>
      </c>
      <c r="B594" s="102" t="s">
        <v>2619</v>
      </c>
      <c r="C594" s="102">
        <v>243667</v>
      </c>
      <c r="D594" s="102" t="s">
        <v>2618</v>
      </c>
      <c r="E594" s="102"/>
    </row>
    <row r="595" spans="1:5" x14ac:dyDescent="0.15">
      <c r="A595" s="102" t="s">
        <v>2620</v>
      </c>
      <c r="B595" s="102" t="s">
        <v>1825</v>
      </c>
      <c r="C595" s="102">
        <v>177614</v>
      </c>
      <c r="D595" s="102" t="s">
        <v>2620</v>
      </c>
      <c r="E595" s="102"/>
    </row>
    <row r="596" spans="1:5" x14ac:dyDescent="0.15">
      <c r="A596" s="102" t="s">
        <v>2621</v>
      </c>
      <c r="B596" s="102" t="s">
        <v>1823</v>
      </c>
      <c r="C596" s="102">
        <v>112571</v>
      </c>
      <c r="D596" s="102" t="s">
        <v>2621</v>
      </c>
      <c r="E596" s="102"/>
    </row>
    <row r="597" spans="1:5" x14ac:dyDescent="0.15">
      <c r="A597" s="102" t="s">
        <v>2622</v>
      </c>
      <c r="B597" s="102" t="s">
        <v>2216</v>
      </c>
      <c r="C597" s="102">
        <v>247288</v>
      </c>
      <c r="D597" s="102" t="s">
        <v>2622</v>
      </c>
      <c r="E597" s="102"/>
    </row>
    <row r="598" spans="1:5" x14ac:dyDescent="0.15">
      <c r="A598" s="102" t="s">
        <v>2623</v>
      </c>
      <c r="B598" s="102" t="s">
        <v>1823</v>
      </c>
      <c r="C598" s="102">
        <v>121159</v>
      </c>
      <c r="D598" s="102" t="s">
        <v>2623</v>
      </c>
      <c r="E598" s="102"/>
    </row>
    <row r="599" spans="1:5" x14ac:dyDescent="0.15">
      <c r="A599" s="102" t="s">
        <v>2624</v>
      </c>
      <c r="B599" s="102" t="s">
        <v>2625</v>
      </c>
      <c r="C599" s="102">
        <v>247747</v>
      </c>
      <c r="D599" s="102" t="s">
        <v>2624</v>
      </c>
      <c r="E599" s="102"/>
    </row>
    <row r="600" spans="1:5" x14ac:dyDescent="0.15">
      <c r="A600" s="102" t="s">
        <v>2626</v>
      </c>
      <c r="B600" s="102" t="s">
        <v>1823</v>
      </c>
      <c r="C600" s="102">
        <v>110820</v>
      </c>
      <c r="D600" s="102" t="s">
        <v>2627</v>
      </c>
      <c r="E600" s="102"/>
    </row>
    <row r="601" spans="1:5" x14ac:dyDescent="0.15">
      <c r="A601" s="102" t="s">
        <v>2628</v>
      </c>
      <c r="B601" s="102" t="s">
        <v>1823</v>
      </c>
      <c r="C601" s="102">
        <v>110280</v>
      </c>
      <c r="D601" s="102" t="s">
        <v>2628</v>
      </c>
      <c r="E601" s="102"/>
    </row>
    <row r="602" spans="1:5" x14ac:dyDescent="0.15">
      <c r="A602" s="102" t="s">
        <v>2629</v>
      </c>
      <c r="B602" s="102" t="s">
        <v>2083</v>
      </c>
      <c r="C602" s="102">
        <v>230106</v>
      </c>
      <c r="D602" s="102" t="s">
        <v>2630</v>
      </c>
      <c r="E602" s="102"/>
    </row>
    <row r="603" spans="1:5" x14ac:dyDescent="0.15">
      <c r="A603" s="102" t="s">
        <v>2631</v>
      </c>
      <c r="B603" s="102" t="s">
        <v>2632</v>
      </c>
      <c r="C603" s="102">
        <v>233808</v>
      </c>
      <c r="D603" s="102" t="s">
        <v>2631</v>
      </c>
      <c r="E603" s="102"/>
    </row>
    <row r="604" spans="1:5" x14ac:dyDescent="0.15">
      <c r="A604" s="102" t="s">
        <v>2633</v>
      </c>
      <c r="B604" s="102" t="s">
        <v>1823</v>
      </c>
      <c r="C604" s="102">
        <v>155184</v>
      </c>
      <c r="D604" s="102" t="s">
        <v>2633</v>
      </c>
      <c r="E604" s="102"/>
    </row>
    <row r="605" spans="1:5" x14ac:dyDescent="0.15">
      <c r="A605" s="102" t="s">
        <v>2633</v>
      </c>
      <c r="B605" s="102" t="s">
        <v>1823</v>
      </c>
      <c r="C605" s="102">
        <v>155187</v>
      </c>
      <c r="D605" s="102" t="s">
        <v>2633</v>
      </c>
      <c r="E605" s="102"/>
    </row>
    <row r="606" spans="1:5" x14ac:dyDescent="0.15">
      <c r="A606" s="102" t="s">
        <v>2634</v>
      </c>
      <c r="B606" s="102" t="s">
        <v>2635</v>
      </c>
      <c r="C606" s="102">
        <v>228271</v>
      </c>
      <c r="D606" s="102" t="s">
        <v>2634</v>
      </c>
      <c r="E606" s="102"/>
    </row>
    <row r="607" spans="1:5" x14ac:dyDescent="0.15">
      <c r="A607" s="102" t="s">
        <v>2636</v>
      </c>
      <c r="B607" s="102" t="s">
        <v>1825</v>
      </c>
      <c r="C607" s="102">
        <v>202313</v>
      </c>
      <c r="D607" s="102" t="s">
        <v>2636</v>
      </c>
      <c r="E607" s="102"/>
    </row>
    <row r="608" spans="1:5" x14ac:dyDescent="0.15">
      <c r="A608" s="102" t="s">
        <v>2637</v>
      </c>
      <c r="B608" s="102" t="s">
        <v>2638</v>
      </c>
      <c r="C608" s="102">
        <v>214725</v>
      </c>
      <c r="D608" s="102" t="s">
        <v>2637</v>
      </c>
      <c r="E608" s="102"/>
    </row>
    <row r="609" spans="1:5" x14ac:dyDescent="0.15">
      <c r="A609" s="102" t="s">
        <v>2639</v>
      </c>
      <c r="B609" s="102" t="s">
        <v>2640</v>
      </c>
      <c r="C609" s="102">
        <v>246738</v>
      </c>
      <c r="D609" s="102" t="s">
        <v>2639</v>
      </c>
      <c r="E609" s="102"/>
    </row>
    <row r="610" spans="1:5" x14ac:dyDescent="0.15">
      <c r="A610" s="102" t="s">
        <v>2641</v>
      </c>
      <c r="B610" s="102" t="s">
        <v>1825</v>
      </c>
      <c r="C610" s="102">
        <v>162878</v>
      </c>
      <c r="D610" s="102" t="s">
        <v>2641</v>
      </c>
      <c r="E610" s="102"/>
    </row>
    <row r="611" spans="1:5" x14ac:dyDescent="0.15">
      <c r="A611" s="102" t="s">
        <v>2642</v>
      </c>
      <c r="B611" s="102" t="s">
        <v>2643</v>
      </c>
      <c r="C611" s="102">
        <v>218046</v>
      </c>
      <c r="D611" s="102" t="s">
        <v>2642</v>
      </c>
      <c r="E611" s="102"/>
    </row>
    <row r="612" spans="1:5" x14ac:dyDescent="0.15">
      <c r="A612" s="102" t="s">
        <v>2644</v>
      </c>
      <c r="B612" s="102" t="s">
        <v>1825</v>
      </c>
      <c r="C612" s="102">
        <v>162912</v>
      </c>
      <c r="D612" s="102" t="s">
        <v>2644</v>
      </c>
      <c r="E612" s="102"/>
    </row>
    <row r="613" spans="1:5" x14ac:dyDescent="0.15">
      <c r="A613" s="102" t="s">
        <v>2645</v>
      </c>
      <c r="B613" s="102" t="s">
        <v>1825</v>
      </c>
      <c r="C613" s="102">
        <v>162921</v>
      </c>
      <c r="D613" s="102" t="s">
        <v>2645</v>
      </c>
      <c r="E613" s="102"/>
    </row>
    <row r="614" spans="1:5" x14ac:dyDescent="0.15">
      <c r="A614" s="102" t="s">
        <v>2646</v>
      </c>
      <c r="B614" s="102" t="s">
        <v>2647</v>
      </c>
      <c r="C614" s="102">
        <v>228043</v>
      </c>
      <c r="D614" s="102" t="s">
        <v>2646</v>
      </c>
      <c r="E614" s="102"/>
    </row>
    <row r="615" spans="1:5" x14ac:dyDescent="0.15">
      <c r="A615" s="102" t="s">
        <v>2648</v>
      </c>
      <c r="B615" s="102" t="s">
        <v>1825</v>
      </c>
      <c r="C615" s="102">
        <v>160574</v>
      </c>
      <c r="D615" s="102" t="s">
        <v>2648</v>
      </c>
      <c r="E615" s="102"/>
    </row>
    <row r="616" spans="1:5" x14ac:dyDescent="0.15">
      <c r="A616" s="102" t="s">
        <v>2648</v>
      </c>
      <c r="B616" s="102" t="s">
        <v>1825</v>
      </c>
      <c r="C616" s="102">
        <v>160604</v>
      </c>
      <c r="D616" s="102" t="s">
        <v>2648</v>
      </c>
      <c r="E616" s="102"/>
    </row>
    <row r="617" spans="1:5" x14ac:dyDescent="0.15">
      <c r="A617" s="102" t="s">
        <v>2649</v>
      </c>
      <c r="B617" s="102" t="s">
        <v>1928</v>
      </c>
      <c r="C617" s="102">
        <v>165386</v>
      </c>
      <c r="D617" s="102" t="s">
        <v>2649</v>
      </c>
      <c r="E617" s="102"/>
    </row>
    <row r="618" spans="1:5" x14ac:dyDescent="0.15">
      <c r="A618" s="102" t="s">
        <v>2650</v>
      </c>
      <c r="B618" s="102" t="s">
        <v>1825</v>
      </c>
      <c r="C618" s="102">
        <v>160690</v>
      </c>
      <c r="D618" s="102" t="s">
        <v>2650</v>
      </c>
      <c r="E618" s="102"/>
    </row>
    <row r="619" spans="1:5" x14ac:dyDescent="0.15">
      <c r="A619" s="102" t="s">
        <v>2651</v>
      </c>
      <c r="B619" s="102" t="s">
        <v>1825</v>
      </c>
      <c r="C619" s="102">
        <v>201860</v>
      </c>
      <c r="D619" s="102" t="s">
        <v>2651</v>
      </c>
      <c r="E619" s="102"/>
    </row>
    <row r="620" spans="1:5" x14ac:dyDescent="0.15">
      <c r="A620" s="102" t="s">
        <v>2652</v>
      </c>
      <c r="B620" s="102" t="s">
        <v>1825</v>
      </c>
      <c r="C620" s="102">
        <v>160586</v>
      </c>
      <c r="D620" s="102" t="s">
        <v>2652</v>
      </c>
      <c r="E620" s="102"/>
    </row>
    <row r="621" spans="1:5" x14ac:dyDescent="0.15">
      <c r="A621" s="102" t="s">
        <v>2653</v>
      </c>
      <c r="B621" s="102" t="s">
        <v>2654</v>
      </c>
      <c r="C621" s="102">
        <v>217121</v>
      </c>
      <c r="D621" s="102" t="s">
        <v>2653</v>
      </c>
      <c r="E621" s="102"/>
    </row>
    <row r="622" spans="1:5" x14ac:dyDescent="0.15">
      <c r="A622" s="102" t="s">
        <v>2655</v>
      </c>
      <c r="B622" s="102" t="s">
        <v>1825</v>
      </c>
      <c r="C622" s="102">
        <v>172878</v>
      </c>
      <c r="D622" s="102" t="s">
        <v>2655</v>
      </c>
      <c r="E622" s="102"/>
    </row>
    <row r="623" spans="1:5" x14ac:dyDescent="0.15">
      <c r="A623" s="102" t="s">
        <v>2656</v>
      </c>
      <c r="B623" s="102" t="s">
        <v>2657</v>
      </c>
      <c r="C623" s="102">
        <v>215411</v>
      </c>
      <c r="D623" s="102" t="s">
        <v>2656</v>
      </c>
      <c r="E623" s="102"/>
    </row>
    <row r="624" spans="1:5" x14ac:dyDescent="0.15">
      <c r="A624" s="102" t="s">
        <v>2658</v>
      </c>
      <c r="B624" s="102" t="s">
        <v>1825</v>
      </c>
      <c r="C624" s="102">
        <v>182797</v>
      </c>
      <c r="D624" s="102" t="s">
        <v>2658</v>
      </c>
      <c r="E624" s="102"/>
    </row>
    <row r="625" spans="1:5" x14ac:dyDescent="0.15">
      <c r="A625" s="102" t="s">
        <v>2659</v>
      </c>
      <c r="B625" s="102" t="s">
        <v>1823</v>
      </c>
      <c r="C625" s="102">
        <v>101074</v>
      </c>
      <c r="D625" s="102" t="s">
        <v>2659</v>
      </c>
      <c r="E625" s="102"/>
    </row>
    <row r="626" spans="1:5" x14ac:dyDescent="0.15">
      <c r="A626" s="102" t="s">
        <v>2659</v>
      </c>
      <c r="B626" s="102" t="s">
        <v>1823</v>
      </c>
      <c r="C626" s="102">
        <v>119844</v>
      </c>
      <c r="D626" s="102" t="s">
        <v>2659</v>
      </c>
      <c r="E626" s="102"/>
    </row>
    <row r="627" spans="1:5" x14ac:dyDescent="0.15">
      <c r="A627" s="102" t="s">
        <v>2660</v>
      </c>
      <c r="B627" s="102" t="s">
        <v>1825</v>
      </c>
      <c r="C627" s="102">
        <v>158055</v>
      </c>
      <c r="D627" s="102" t="s">
        <v>2660</v>
      </c>
      <c r="E627" s="102"/>
    </row>
    <row r="628" spans="1:5" x14ac:dyDescent="0.15">
      <c r="A628" s="102" t="s">
        <v>2661</v>
      </c>
      <c r="B628" s="102" t="s">
        <v>1823</v>
      </c>
      <c r="C628" s="102">
        <v>98697</v>
      </c>
      <c r="D628" s="102" t="s">
        <v>2661</v>
      </c>
      <c r="E628" s="102"/>
    </row>
    <row r="629" spans="1:5" x14ac:dyDescent="0.15">
      <c r="A629" s="102" t="s">
        <v>2662</v>
      </c>
      <c r="B629" s="102" t="s">
        <v>1825</v>
      </c>
      <c r="C629" s="102">
        <v>200375</v>
      </c>
      <c r="D629" s="102" t="s">
        <v>2662</v>
      </c>
      <c r="E629" s="102"/>
    </row>
    <row r="630" spans="1:5" x14ac:dyDescent="0.15">
      <c r="A630" s="102" t="s">
        <v>2663</v>
      </c>
      <c r="B630" s="102" t="s">
        <v>2664</v>
      </c>
      <c r="C630" s="102">
        <v>218407</v>
      </c>
      <c r="D630" s="102" t="s">
        <v>2663</v>
      </c>
      <c r="E630" s="102"/>
    </row>
    <row r="631" spans="1:5" x14ac:dyDescent="0.15">
      <c r="A631" s="102" t="s">
        <v>2665</v>
      </c>
      <c r="B631" s="102" t="s">
        <v>2666</v>
      </c>
      <c r="C631" s="102">
        <v>232351</v>
      </c>
      <c r="D631" s="102" t="s">
        <v>2665</v>
      </c>
      <c r="E631" s="102"/>
    </row>
    <row r="632" spans="1:5" x14ac:dyDescent="0.15">
      <c r="A632" s="102" t="s">
        <v>2667</v>
      </c>
      <c r="B632" s="102" t="s">
        <v>1823</v>
      </c>
      <c r="C632" s="102">
        <v>119804</v>
      </c>
      <c r="D632" s="102" t="s">
        <v>2667</v>
      </c>
      <c r="E632" s="102"/>
    </row>
    <row r="633" spans="1:5" x14ac:dyDescent="0.15">
      <c r="A633" s="102" t="s">
        <v>2668</v>
      </c>
      <c r="B633" s="102" t="s">
        <v>1825</v>
      </c>
      <c r="C633" s="102">
        <v>172755</v>
      </c>
      <c r="D633" s="102" t="s">
        <v>2668</v>
      </c>
      <c r="E633" s="102"/>
    </row>
    <row r="634" spans="1:5" x14ac:dyDescent="0.15">
      <c r="A634" s="102" t="s">
        <v>2669</v>
      </c>
      <c r="B634" s="102" t="s">
        <v>1823</v>
      </c>
      <c r="C634" s="102">
        <v>120940</v>
      </c>
      <c r="D634" s="102" t="s">
        <v>2669</v>
      </c>
      <c r="E634" s="102"/>
    </row>
    <row r="635" spans="1:5" x14ac:dyDescent="0.15">
      <c r="A635" s="102" t="s">
        <v>2670</v>
      </c>
      <c r="B635" s="102" t="s">
        <v>1825</v>
      </c>
      <c r="C635" s="102">
        <v>165404</v>
      </c>
      <c r="D635" s="102" t="s">
        <v>2670</v>
      </c>
      <c r="E635" s="102"/>
    </row>
    <row r="636" spans="1:5" x14ac:dyDescent="0.15">
      <c r="A636" s="102" t="s">
        <v>2671</v>
      </c>
      <c r="B636" s="102" t="s">
        <v>2672</v>
      </c>
      <c r="C636" s="102">
        <v>247323</v>
      </c>
      <c r="D636" s="102" t="s">
        <v>2671</v>
      </c>
      <c r="E636" s="102"/>
    </row>
    <row r="637" spans="1:5" x14ac:dyDescent="0.15">
      <c r="A637" s="102" t="s">
        <v>2673</v>
      </c>
      <c r="B637" s="102" t="s">
        <v>1855</v>
      </c>
      <c r="C637" s="102">
        <v>247731</v>
      </c>
      <c r="D637" s="102" t="s">
        <v>2673</v>
      </c>
      <c r="E637" s="102"/>
    </row>
    <row r="638" spans="1:5" x14ac:dyDescent="0.15">
      <c r="A638" s="102" t="s">
        <v>2674</v>
      </c>
      <c r="B638" s="102" t="s">
        <v>2675</v>
      </c>
      <c r="C638" s="102">
        <v>213268</v>
      </c>
      <c r="D638" s="102" t="s">
        <v>2674</v>
      </c>
      <c r="E638" s="102"/>
    </row>
    <row r="639" spans="1:5" x14ac:dyDescent="0.15">
      <c r="A639" s="102" t="s">
        <v>2676</v>
      </c>
      <c r="B639" s="102" t="s">
        <v>1823</v>
      </c>
      <c r="C639" s="102">
        <v>155704</v>
      </c>
      <c r="D639" s="102" t="s">
        <v>2676</v>
      </c>
      <c r="E639" s="102"/>
    </row>
    <row r="640" spans="1:5" x14ac:dyDescent="0.15">
      <c r="A640" s="102" t="s">
        <v>1758</v>
      </c>
      <c r="B640" s="102" t="s">
        <v>2677</v>
      </c>
      <c r="C640" s="102">
        <v>243128</v>
      </c>
      <c r="D640" s="102" t="s">
        <v>1758</v>
      </c>
      <c r="E640" s="102"/>
    </row>
    <row r="641" spans="1:5" x14ac:dyDescent="0.15">
      <c r="A641" s="102" t="s">
        <v>2678</v>
      </c>
      <c r="B641" s="102" t="s">
        <v>1825</v>
      </c>
      <c r="C641" s="102">
        <v>160689</v>
      </c>
      <c r="D641" s="102" t="s">
        <v>2678</v>
      </c>
      <c r="E641" s="102"/>
    </row>
    <row r="642" spans="1:5" x14ac:dyDescent="0.15">
      <c r="A642" s="102" t="s">
        <v>2679</v>
      </c>
      <c r="B642" s="102" t="s">
        <v>1825</v>
      </c>
      <c r="C642" s="102">
        <v>162917</v>
      </c>
      <c r="D642" s="102" t="s">
        <v>2679</v>
      </c>
      <c r="E642" s="102"/>
    </row>
    <row r="643" spans="1:5" x14ac:dyDescent="0.15">
      <c r="A643" s="102" t="s">
        <v>2680</v>
      </c>
      <c r="B643" s="102" t="s">
        <v>2681</v>
      </c>
      <c r="C643" s="102">
        <v>247582</v>
      </c>
      <c r="D643" s="102" t="s">
        <v>2680</v>
      </c>
      <c r="E643" s="102"/>
    </row>
    <row r="644" spans="1:5" x14ac:dyDescent="0.15">
      <c r="A644" s="102" t="s">
        <v>2682</v>
      </c>
      <c r="B644" s="102" t="s">
        <v>1823</v>
      </c>
      <c r="C644" s="102">
        <v>97933</v>
      </c>
      <c r="D644" s="102" t="s">
        <v>2682</v>
      </c>
      <c r="E644" s="102"/>
    </row>
    <row r="645" spans="1:5" x14ac:dyDescent="0.15">
      <c r="A645" s="102" t="s">
        <v>2683</v>
      </c>
      <c r="B645" s="102" t="s">
        <v>2684</v>
      </c>
      <c r="C645" s="102">
        <v>228144</v>
      </c>
      <c r="D645" s="102" t="s">
        <v>2683</v>
      </c>
      <c r="E645" s="102"/>
    </row>
    <row r="646" spans="1:5" x14ac:dyDescent="0.15">
      <c r="A646" s="102" t="s">
        <v>2685</v>
      </c>
      <c r="B646" s="102" t="s">
        <v>1825</v>
      </c>
      <c r="C646" s="102">
        <v>165395</v>
      </c>
      <c r="D646" s="102" t="s">
        <v>2686</v>
      </c>
      <c r="E646" s="102"/>
    </row>
    <row r="647" spans="1:5" x14ac:dyDescent="0.15">
      <c r="A647" s="102" t="s">
        <v>2687</v>
      </c>
      <c r="B647" s="102" t="s">
        <v>1928</v>
      </c>
      <c r="C647" s="102">
        <v>178920</v>
      </c>
      <c r="D647" s="102" t="s">
        <v>2687</v>
      </c>
      <c r="E647" s="102"/>
    </row>
    <row r="648" spans="1:5" x14ac:dyDescent="0.15">
      <c r="A648" s="102" t="s">
        <v>2688</v>
      </c>
      <c r="B648" s="102" t="s">
        <v>2689</v>
      </c>
      <c r="C648" s="102">
        <v>225768</v>
      </c>
      <c r="D648" s="102" t="s">
        <v>2688</v>
      </c>
      <c r="E648" s="102"/>
    </row>
    <row r="649" spans="1:5" x14ac:dyDescent="0.15">
      <c r="A649" s="102" t="s">
        <v>2690</v>
      </c>
      <c r="B649" s="102" t="s">
        <v>2691</v>
      </c>
      <c r="C649" s="102">
        <v>248369</v>
      </c>
      <c r="D649" s="102" t="s">
        <v>2690</v>
      </c>
      <c r="E649" s="102"/>
    </row>
    <row r="650" spans="1:5" x14ac:dyDescent="0.15">
      <c r="A650" s="102" t="s">
        <v>2692</v>
      </c>
      <c r="B650" s="102" t="s">
        <v>1823</v>
      </c>
      <c r="C650" s="102">
        <v>110462</v>
      </c>
      <c r="D650" s="102" t="s">
        <v>2692</v>
      </c>
      <c r="E650" s="102"/>
    </row>
    <row r="651" spans="1:5" x14ac:dyDescent="0.15">
      <c r="A651" s="102" t="s">
        <v>2693</v>
      </c>
      <c r="B651" s="102" t="s">
        <v>1825</v>
      </c>
      <c r="C651" s="102">
        <v>165394</v>
      </c>
      <c r="D651" s="102" t="s">
        <v>2693</v>
      </c>
      <c r="E651" s="102"/>
    </row>
    <row r="652" spans="1:5" x14ac:dyDescent="0.15">
      <c r="A652" s="102" t="s">
        <v>2694</v>
      </c>
      <c r="B652" s="102" t="s">
        <v>1823</v>
      </c>
      <c r="C652" s="102">
        <v>121191</v>
      </c>
      <c r="D652" s="102" t="s">
        <v>2694</v>
      </c>
      <c r="E652" s="102"/>
    </row>
    <row r="653" spans="1:5" x14ac:dyDescent="0.15">
      <c r="A653" s="102" t="s">
        <v>2695</v>
      </c>
      <c r="B653" s="102" t="s">
        <v>2696</v>
      </c>
      <c r="C653" s="102">
        <v>218396</v>
      </c>
      <c r="D653" s="102" t="s">
        <v>2695</v>
      </c>
      <c r="E653" s="102"/>
    </row>
    <row r="654" spans="1:5" x14ac:dyDescent="0.15">
      <c r="A654" s="102" t="s">
        <v>2697</v>
      </c>
      <c r="B654" s="102" t="s">
        <v>2698</v>
      </c>
      <c r="C654" s="102">
        <v>218402</v>
      </c>
      <c r="D654" s="102" t="s">
        <v>2697</v>
      </c>
      <c r="E654" s="102"/>
    </row>
    <row r="655" spans="1:5" x14ac:dyDescent="0.15">
      <c r="A655" s="102" t="s">
        <v>2699</v>
      </c>
      <c r="B655" s="102" t="s">
        <v>1823</v>
      </c>
      <c r="C655" s="102">
        <v>110755</v>
      </c>
      <c r="D655" s="102" t="s">
        <v>2699</v>
      </c>
      <c r="E655" s="102"/>
    </row>
    <row r="656" spans="1:5" x14ac:dyDescent="0.15">
      <c r="A656" s="102" t="s">
        <v>2700</v>
      </c>
      <c r="B656" s="102" t="s">
        <v>1823</v>
      </c>
      <c r="C656" s="102">
        <v>111855</v>
      </c>
      <c r="D656" s="102" t="s">
        <v>2700</v>
      </c>
      <c r="E656" s="102"/>
    </row>
    <row r="657" spans="1:5" x14ac:dyDescent="0.15">
      <c r="A657" s="102" t="s">
        <v>2701</v>
      </c>
      <c r="B657" s="102" t="s">
        <v>2702</v>
      </c>
      <c r="C657" s="102">
        <v>230068</v>
      </c>
      <c r="D657" s="102" t="s">
        <v>2701</v>
      </c>
      <c r="E657" s="102"/>
    </row>
    <row r="658" spans="1:5" x14ac:dyDescent="0.15">
      <c r="A658" s="102" t="s">
        <v>2703</v>
      </c>
      <c r="B658" s="102" t="s">
        <v>2704</v>
      </c>
      <c r="C658" s="102">
        <v>230118</v>
      </c>
      <c r="D658" s="102" t="s">
        <v>2703</v>
      </c>
      <c r="E658" s="102"/>
    </row>
    <row r="659" spans="1:5" x14ac:dyDescent="0.15">
      <c r="A659" s="102" t="s">
        <v>2705</v>
      </c>
      <c r="B659" s="102" t="s">
        <v>1825</v>
      </c>
      <c r="C659" s="102">
        <v>158056</v>
      </c>
      <c r="D659" s="102" t="s">
        <v>2705</v>
      </c>
      <c r="E659" s="102"/>
    </row>
    <row r="660" spans="1:5" x14ac:dyDescent="0.15">
      <c r="A660" s="102" t="s">
        <v>2706</v>
      </c>
      <c r="B660" s="102" t="s">
        <v>1823</v>
      </c>
      <c r="C660" s="102">
        <v>121317</v>
      </c>
      <c r="D660" s="102" t="s">
        <v>2706</v>
      </c>
      <c r="E660" s="102"/>
    </row>
    <row r="661" spans="1:5" x14ac:dyDescent="0.15">
      <c r="A661" s="102" t="s">
        <v>2707</v>
      </c>
      <c r="B661" s="102" t="s">
        <v>1825</v>
      </c>
      <c r="C661" s="102">
        <v>204509</v>
      </c>
      <c r="D661" s="102" t="s">
        <v>2707</v>
      </c>
      <c r="E661" s="102"/>
    </row>
    <row r="662" spans="1:5" x14ac:dyDescent="0.15">
      <c r="A662" s="102" t="s">
        <v>2708</v>
      </c>
      <c r="B662" s="102" t="s">
        <v>1823</v>
      </c>
      <c r="C662" s="102">
        <v>110966</v>
      </c>
      <c r="D662" s="102" t="s">
        <v>2708</v>
      </c>
      <c r="E662" s="102"/>
    </row>
    <row r="663" spans="1:5" x14ac:dyDescent="0.15">
      <c r="A663" s="102" t="s">
        <v>2709</v>
      </c>
      <c r="B663" s="102" t="s">
        <v>1825</v>
      </c>
      <c r="C663" s="102">
        <v>162863</v>
      </c>
      <c r="D663" s="102" t="s">
        <v>2709</v>
      </c>
      <c r="E663" s="102"/>
    </row>
    <row r="664" spans="1:5" x14ac:dyDescent="0.15">
      <c r="A664" s="102" t="s">
        <v>2710</v>
      </c>
      <c r="B664" s="102" t="s">
        <v>2711</v>
      </c>
      <c r="C664" s="102">
        <v>243666</v>
      </c>
      <c r="D664" s="102" t="s">
        <v>2710</v>
      </c>
      <c r="E664" s="102"/>
    </row>
    <row r="665" spans="1:5" x14ac:dyDescent="0.15">
      <c r="A665" s="102" t="s">
        <v>2712</v>
      </c>
      <c r="B665" s="102" t="s">
        <v>1928</v>
      </c>
      <c r="C665" s="102">
        <v>163046</v>
      </c>
      <c r="D665" s="102" t="s">
        <v>2712</v>
      </c>
      <c r="E665" s="102"/>
    </row>
    <row r="666" spans="1:5" x14ac:dyDescent="0.15">
      <c r="A666" s="102" t="s">
        <v>2713</v>
      </c>
      <c r="B666" s="102" t="s">
        <v>1825</v>
      </c>
      <c r="C666" s="102">
        <v>178177</v>
      </c>
      <c r="D666" s="102" t="s">
        <v>2713</v>
      </c>
      <c r="E666" s="102"/>
    </row>
    <row r="667" spans="1:5" x14ac:dyDescent="0.15">
      <c r="A667" s="102" t="s">
        <v>2714</v>
      </c>
      <c r="B667" s="102" t="s">
        <v>2715</v>
      </c>
      <c r="C667" s="102">
        <v>247318</v>
      </c>
      <c r="D667" s="102" t="s">
        <v>2714</v>
      </c>
      <c r="E667" s="102"/>
    </row>
    <row r="668" spans="1:5" x14ac:dyDescent="0.15">
      <c r="A668" s="102" t="s">
        <v>2716</v>
      </c>
      <c r="B668" s="102" t="s">
        <v>2717</v>
      </c>
      <c r="C668" s="102">
        <v>214751</v>
      </c>
      <c r="D668" s="102" t="s">
        <v>2716</v>
      </c>
      <c r="E668" s="102"/>
    </row>
    <row r="669" spans="1:5" x14ac:dyDescent="0.15">
      <c r="A669" s="102" t="s">
        <v>2718</v>
      </c>
      <c r="B669" s="102" t="s">
        <v>2719</v>
      </c>
      <c r="C669" s="102">
        <v>213751</v>
      </c>
      <c r="D669" s="102" t="s">
        <v>2718</v>
      </c>
      <c r="E669" s="102"/>
    </row>
    <row r="670" spans="1:5" x14ac:dyDescent="0.15">
      <c r="A670" s="102" t="s">
        <v>2720</v>
      </c>
      <c r="B670" s="102" t="s">
        <v>2721</v>
      </c>
      <c r="C670" s="102">
        <v>224101</v>
      </c>
      <c r="D670" s="102" t="s">
        <v>2720</v>
      </c>
      <c r="E670" s="102"/>
    </row>
    <row r="671" spans="1:5" x14ac:dyDescent="0.15">
      <c r="A671" s="102" t="s">
        <v>2722</v>
      </c>
      <c r="B671" s="102" t="s">
        <v>2723</v>
      </c>
      <c r="C671" s="102">
        <v>221240</v>
      </c>
      <c r="D671" s="102" t="s">
        <v>2722</v>
      </c>
      <c r="E671" s="102"/>
    </row>
    <row r="672" spans="1:5" x14ac:dyDescent="0.15">
      <c r="A672" s="102" t="s">
        <v>2724</v>
      </c>
      <c r="B672" s="102" t="s">
        <v>2725</v>
      </c>
      <c r="C672" s="102">
        <v>217112</v>
      </c>
      <c r="D672" s="102" t="s">
        <v>2724</v>
      </c>
      <c r="E672" s="102"/>
    </row>
    <row r="673" spans="1:5" x14ac:dyDescent="0.15">
      <c r="A673" s="102" t="s">
        <v>2726</v>
      </c>
      <c r="B673" s="102" t="s">
        <v>1825</v>
      </c>
      <c r="C673" s="102">
        <v>166299</v>
      </c>
      <c r="D673" s="102" t="s">
        <v>2726</v>
      </c>
      <c r="E673" s="102"/>
    </row>
    <row r="674" spans="1:5" x14ac:dyDescent="0.15">
      <c r="A674" s="102" t="s">
        <v>2727</v>
      </c>
      <c r="B674" s="102" t="s">
        <v>2728</v>
      </c>
      <c r="C674" s="102">
        <v>215427</v>
      </c>
      <c r="D674" s="102" t="s">
        <v>2727</v>
      </c>
      <c r="E674" s="102"/>
    </row>
    <row r="675" spans="1:5" x14ac:dyDescent="0.15">
      <c r="A675" s="102" t="s">
        <v>2729</v>
      </c>
      <c r="B675" s="102" t="s">
        <v>1825</v>
      </c>
      <c r="C675" s="102">
        <v>165405</v>
      </c>
      <c r="D675" s="102" t="s">
        <v>2729</v>
      </c>
      <c r="E675" s="102"/>
    </row>
    <row r="676" spans="1:5" x14ac:dyDescent="0.15">
      <c r="A676" s="102" t="s">
        <v>2730</v>
      </c>
      <c r="B676" s="102" t="s">
        <v>1825</v>
      </c>
      <c r="C676" s="102">
        <v>178147</v>
      </c>
      <c r="D676" s="102" t="s">
        <v>2730</v>
      </c>
      <c r="E676" s="102"/>
    </row>
    <row r="677" spans="1:5" x14ac:dyDescent="0.15">
      <c r="A677" s="102" t="s">
        <v>2730</v>
      </c>
      <c r="B677" s="102" t="s">
        <v>1825</v>
      </c>
      <c r="C677" s="102">
        <v>213052</v>
      </c>
      <c r="D677" s="102" t="s">
        <v>2730</v>
      </c>
      <c r="E677" s="102"/>
    </row>
    <row r="678" spans="1:5" x14ac:dyDescent="0.15">
      <c r="A678" s="102" t="s">
        <v>2731</v>
      </c>
      <c r="B678" s="102" t="s">
        <v>1928</v>
      </c>
      <c r="C678" s="102">
        <v>160601</v>
      </c>
      <c r="D678" s="102" t="s">
        <v>2731</v>
      </c>
      <c r="E678" s="102"/>
    </row>
    <row r="679" spans="1:5" x14ac:dyDescent="0.15">
      <c r="A679" s="102" t="s">
        <v>2732</v>
      </c>
      <c r="B679" s="102" t="s">
        <v>1825</v>
      </c>
      <c r="C679" s="102">
        <v>178579</v>
      </c>
      <c r="D679" s="102" t="s">
        <v>2732</v>
      </c>
      <c r="E679" s="102"/>
    </row>
    <row r="680" spans="1:5" x14ac:dyDescent="0.15">
      <c r="A680" s="102" t="s">
        <v>2733</v>
      </c>
      <c r="B680" s="102" t="s">
        <v>1825</v>
      </c>
      <c r="C680" s="102">
        <v>178934</v>
      </c>
      <c r="D680" s="102" t="s">
        <v>2733</v>
      </c>
      <c r="E680" s="102"/>
    </row>
    <row r="681" spans="1:5" x14ac:dyDescent="0.15">
      <c r="A681" s="102" t="s">
        <v>2734</v>
      </c>
      <c r="B681" s="102" t="s">
        <v>2735</v>
      </c>
      <c r="C681" s="102">
        <v>236737</v>
      </c>
      <c r="D681" s="102" t="s">
        <v>2734</v>
      </c>
      <c r="E681" s="102"/>
    </row>
    <row r="682" spans="1:5" x14ac:dyDescent="0.15">
      <c r="A682" s="102" t="s">
        <v>2736</v>
      </c>
      <c r="B682" s="102" t="s">
        <v>1928</v>
      </c>
      <c r="C682" s="102">
        <v>155708</v>
      </c>
      <c r="D682" s="102" t="s">
        <v>2736</v>
      </c>
      <c r="E682" s="102"/>
    </row>
    <row r="683" spans="1:5" x14ac:dyDescent="0.15">
      <c r="A683" s="102" t="s">
        <v>2737</v>
      </c>
      <c r="B683" s="102" t="s">
        <v>1823</v>
      </c>
      <c r="C683" s="102">
        <v>155838</v>
      </c>
      <c r="D683" s="102" t="s">
        <v>2737</v>
      </c>
      <c r="E683" s="102"/>
    </row>
    <row r="684" spans="1:5" x14ac:dyDescent="0.15">
      <c r="A684" s="102" t="s">
        <v>2738</v>
      </c>
      <c r="B684" s="102" t="s">
        <v>1825</v>
      </c>
      <c r="C684" s="102">
        <v>207498</v>
      </c>
      <c r="D684" s="102" t="s">
        <v>2738</v>
      </c>
      <c r="E684" s="102"/>
    </row>
    <row r="685" spans="1:5" x14ac:dyDescent="0.15">
      <c r="A685" s="102" t="s">
        <v>2739</v>
      </c>
      <c r="B685" s="102" t="s">
        <v>2740</v>
      </c>
      <c r="C685" s="102">
        <v>213757</v>
      </c>
      <c r="D685" s="102" t="s">
        <v>2739</v>
      </c>
      <c r="E685" s="102"/>
    </row>
    <row r="686" spans="1:5" x14ac:dyDescent="0.15">
      <c r="A686" s="102" t="s">
        <v>2741</v>
      </c>
      <c r="B686" s="102" t="s">
        <v>1823</v>
      </c>
      <c r="C686" s="102">
        <v>157538</v>
      </c>
      <c r="D686" s="102" t="s">
        <v>2741</v>
      </c>
      <c r="E686" s="102"/>
    </row>
    <row r="687" spans="1:5" x14ac:dyDescent="0.15">
      <c r="A687" s="102" t="s">
        <v>2742</v>
      </c>
      <c r="B687" s="102" t="s">
        <v>2743</v>
      </c>
      <c r="C687" s="102">
        <v>225258</v>
      </c>
      <c r="D687" s="102" t="s">
        <v>2742</v>
      </c>
      <c r="E687" s="102"/>
    </row>
    <row r="688" spans="1:5" x14ac:dyDescent="0.15">
      <c r="A688" s="102" t="s">
        <v>2744</v>
      </c>
      <c r="B688" s="102" t="s">
        <v>1823</v>
      </c>
      <c r="C688" s="102">
        <v>119773</v>
      </c>
      <c r="D688" s="102" t="s">
        <v>2744</v>
      </c>
      <c r="E688" s="102"/>
    </row>
    <row r="689" spans="1:5" x14ac:dyDescent="0.15">
      <c r="A689" s="102" t="s">
        <v>2745</v>
      </c>
      <c r="B689" s="102" t="s">
        <v>1823</v>
      </c>
      <c r="C689" s="102">
        <v>155705</v>
      </c>
      <c r="D689" s="102" t="s">
        <v>2745</v>
      </c>
      <c r="E689" s="102"/>
    </row>
    <row r="690" spans="1:5" x14ac:dyDescent="0.15">
      <c r="A690" s="102" t="s">
        <v>2746</v>
      </c>
      <c r="B690" s="102" t="s">
        <v>2747</v>
      </c>
      <c r="C690" s="102">
        <v>245581</v>
      </c>
      <c r="D690" s="102" t="s">
        <v>2746</v>
      </c>
      <c r="E690" s="102"/>
    </row>
    <row r="691" spans="1:5" x14ac:dyDescent="0.15">
      <c r="A691" s="102" t="s">
        <v>2748</v>
      </c>
      <c r="B691" s="102" t="s">
        <v>1825</v>
      </c>
      <c r="C691" s="102">
        <v>162873</v>
      </c>
      <c r="D691" s="102" t="s">
        <v>2748</v>
      </c>
      <c r="E691" s="102"/>
    </row>
    <row r="692" spans="1:5" x14ac:dyDescent="0.15">
      <c r="A692" s="102" t="s">
        <v>2749</v>
      </c>
      <c r="B692" s="102" t="s">
        <v>1825</v>
      </c>
      <c r="C692" s="102">
        <v>191298</v>
      </c>
      <c r="D692" s="102" t="s">
        <v>2749</v>
      </c>
      <c r="E692" s="102"/>
    </row>
    <row r="693" spans="1:5" x14ac:dyDescent="0.15">
      <c r="A693" s="102" t="s">
        <v>2750</v>
      </c>
      <c r="B693" s="102" t="s">
        <v>1825</v>
      </c>
      <c r="C693" s="102">
        <v>202685</v>
      </c>
      <c r="D693" s="102" t="s">
        <v>2750</v>
      </c>
      <c r="E693" s="102"/>
    </row>
    <row r="694" spans="1:5" x14ac:dyDescent="0.15">
      <c r="A694" s="102" t="s">
        <v>2751</v>
      </c>
      <c r="B694" s="102" t="s">
        <v>2752</v>
      </c>
      <c r="C694" s="102">
        <v>228617</v>
      </c>
      <c r="D694" s="102" t="s">
        <v>2751</v>
      </c>
      <c r="E694" s="102"/>
    </row>
    <row r="695" spans="1:5" x14ac:dyDescent="0.15">
      <c r="A695" s="102" t="s">
        <v>2753</v>
      </c>
      <c r="B695" s="102" t="s">
        <v>1825</v>
      </c>
      <c r="C695" s="102">
        <v>172761</v>
      </c>
      <c r="D695" s="102" t="s">
        <v>2753</v>
      </c>
      <c r="E695" s="102"/>
    </row>
    <row r="696" spans="1:5" x14ac:dyDescent="0.15">
      <c r="A696" s="102" t="s">
        <v>2754</v>
      </c>
      <c r="B696" s="102" t="s">
        <v>1823</v>
      </c>
      <c r="C696" s="102">
        <v>120021</v>
      </c>
      <c r="D696" s="102" t="s">
        <v>2755</v>
      </c>
      <c r="E696" s="102"/>
    </row>
    <row r="697" spans="1:5" x14ac:dyDescent="0.15">
      <c r="A697" s="102" t="s">
        <v>2756</v>
      </c>
      <c r="B697" s="102" t="s">
        <v>2757</v>
      </c>
      <c r="C697" s="102">
        <v>231291</v>
      </c>
      <c r="D697" s="102" t="s">
        <v>2756</v>
      </c>
      <c r="E697" s="102"/>
    </row>
    <row r="698" spans="1:5" x14ac:dyDescent="0.15">
      <c r="A698" s="102" t="s">
        <v>2758</v>
      </c>
      <c r="B698" s="102" t="s">
        <v>1823</v>
      </c>
      <c r="C698" s="102">
        <v>155181</v>
      </c>
      <c r="D698" s="102" t="s">
        <v>2758</v>
      </c>
      <c r="E698" s="102"/>
    </row>
    <row r="699" spans="1:5" x14ac:dyDescent="0.15">
      <c r="A699" s="102" t="s">
        <v>2758</v>
      </c>
      <c r="B699" s="102" t="s">
        <v>1823</v>
      </c>
      <c r="C699" s="102">
        <v>155182</v>
      </c>
      <c r="D699" s="102" t="s">
        <v>2758</v>
      </c>
      <c r="E699" s="102"/>
    </row>
    <row r="700" spans="1:5" x14ac:dyDescent="0.15">
      <c r="A700" s="102" t="s">
        <v>2759</v>
      </c>
      <c r="B700" s="102" t="s">
        <v>1823</v>
      </c>
      <c r="C700" s="102">
        <v>103003</v>
      </c>
      <c r="D700" s="102" t="s">
        <v>2759</v>
      </c>
      <c r="E700" s="102"/>
    </row>
    <row r="701" spans="1:5" x14ac:dyDescent="0.15">
      <c r="A701" s="102" t="s">
        <v>2760</v>
      </c>
      <c r="B701" s="102" t="s">
        <v>1825</v>
      </c>
      <c r="C701" s="102">
        <v>164235</v>
      </c>
      <c r="D701" s="102" t="s">
        <v>2760</v>
      </c>
      <c r="E701" s="102"/>
    </row>
    <row r="702" spans="1:5" x14ac:dyDescent="0.15">
      <c r="A702" s="102" t="s">
        <v>2761</v>
      </c>
      <c r="B702" s="102" t="s">
        <v>1825</v>
      </c>
      <c r="C702" s="102">
        <v>165881</v>
      </c>
      <c r="D702" s="102" t="s">
        <v>2761</v>
      </c>
      <c r="E702" s="102"/>
    </row>
    <row r="703" spans="1:5" x14ac:dyDescent="0.15">
      <c r="A703" s="102" t="s">
        <v>2762</v>
      </c>
      <c r="B703" s="102" t="s">
        <v>1825</v>
      </c>
      <c r="C703" s="102">
        <v>162875</v>
      </c>
      <c r="D703" s="102" t="s">
        <v>2762</v>
      </c>
      <c r="E703" s="102"/>
    </row>
    <row r="704" spans="1:5" x14ac:dyDescent="0.15">
      <c r="A704" s="102" t="s">
        <v>2763</v>
      </c>
      <c r="B704" s="102" t="s">
        <v>2764</v>
      </c>
      <c r="C704" s="102">
        <v>231289</v>
      </c>
      <c r="D704" s="102" t="s">
        <v>2763</v>
      </c>
      <c r="E704" s="102"/>
    </row>
    <row r="705" spans="1:5" x14ac:dyDescent="0.15">
      <c r="A705" s="102" t="s">
        <v>2765</v>
      </c>
      <c r="B705" s="102" t="s">
        <v>1823</v>
      </c>
      <c r="C705" s="102">
        <v>101065</v>
      </c>
      <c r="D705" s="102" t="s">
        <v>2765</v>
      </c>
      <c r="E705" s="102"/>
    </row>
    <row r="706" spans="1:5" x14ac:dyDescent="0.15">
      <c r="A706" s="102" t="s">
        <v>2766</v>
      </c>
      <c r="B706" s="102" t="s">
        <v>2767</v>
      </c>
      <c r="C706" s="102">
        <v>218406</v>
      </c>
      <c r="D706" s="102" t="s">
        <v>2766</v>
      </c>
      <c r="E706" s="102"/>
    </row>
    <row r="707" spans="1:5" x14ac:dyDescent="0.15">
      <c r="A707" s="102" t="s">
        <v>2768</v>
      </c>
      <c r="B707" s="102" t="s">
        <v>1823</v>
      </c>
      <c r="C707" s="102">
        <v>97856</v>
      </c>
      <c r="D707" s="102" t="s">
        <v>2768</v>
      </c>
      <c r="E707" s="102"/>
    </row>
    <row r="708" spans="1:5" x14ac:dyDescent="0.15">
      <c r="A708" s="102" t="s">
        <v>2769</v>
      </c>
      <c r="B708" s="102" t="s">
        <v>2770</v>
      </c>
      <c r="C708" s="102">
        <v>243864</v>
      </c>
      <c r="D708" s="102" t="s">
        <v>2769</v>
      </c>
      <c r="E708" s="102"/>
    </row>
    <row r="709" spans="1:5" x14ac:dyDescent="0.15">
      <c r="A709" s="102" t="s">
        <v>2771</v>
      </c>
      <c r="B709" s="102" t="s">
        <v>1823</v>
      </c>
      <c r="C709" s="102">
        <v>155183</v>
      </c>
      <c r="D709" s="102" t="s">
        <v>2771</v>
      </c>
      <c r="E709" s="102"/>
    </row>
    <row r="710" spans="1:5" x14ac:dyDescent="0.15">
      <c r="A710" s="102" t="s">
        <v>2771</v>
      </c>
      <c r="B710" s="102" t="s">
        <v>1823</v>
      </c>
      <c r="C710" s="102">
        <v>155185</v>
      </c>
      <c r="D710" s="102" t="s">
        <v>2771</v>
      </c>
      <c r="E710" s="102"/>
    </row>
    <row r="711" spans="1:5" x14ac:dyDescent="0.15">
      <c r="A711" s="102" t="s">
        <v>2772</v>
      </c>
      <c r="B711" s="102" t="s">
        <v>2513</v>
      </c>
      <c r="C711" s="102">
        <v>225765</v>
      </c>
      <c r="D711" s="102" t="s">
        <v>2772</v>
      </c>
      <c r="E711" s="102"/>
    </row>
    <row r="712" spans="1:5" x14ac:dyDescent="0.15">
      <c r="A712" s="102" t="s">
        <v>2773</v>
      </c>
      <c r="B712" s="102" t="s">
        <v>2774</v>
      </c>
      <c r="C712" s="102">
        <v>245834</v>
      </c>
      <c r="D712" s="102" t="s">
        <v>2773</v>
      </c>
      <c r="E712" s="102"/>
    </row>
    <row r="713" spans="1:5" x14ac:dyDescent="0.15">
      <c r="A713" s="102" t="s">
        <v>2775</v>
      </c>
      <c r="B713" s="102" t="s">
        <v>1928</v>
      </c>
      <c r="C713" s="102">
        <v>178154</v>
      </c>
      <c r="D713" s="102" t="s">
        <v>2775</v>
      </c>
      <c r="E713" s="102"/>
    </row>
    <row r="714" spans="1:5" x14ac:dyDescent="0.15">
      <c r="A714" s="102" t="s">
        <v>2776</v>
      </c>
      <c r="B714" s="102" t="s">
        <v>2777</v>
      </c>
      <c r="C714" s="102">
        <v>215020</v>
      </c>
      <c r="D714" s="102" t="s">
        <v>2776</v>
      </c>
      <c r="E714" s="102"/>
    </row>
    <row r="715" spans="1:5" x14ac:dyDescent="0.15">
      <c r="A715" s="102" t="s">
        <v>2778</v>
      </c>
      <c r="B715" s="102" t="s">
        <v>2779</v>
      </c>
      <c r="C715" s="102">
        <v>228272</v>
      </c>
      <c r="D715" s="102" t="s">
        <v>2778</v>
      </c>
      <c r="E715" s="102"/>
    </row>
    <row r="716" spans="1:5" x14ac:dyDescent="0.15">
      <c r="A716" s="102" t="s">
        <v>2780</v>
      </c>
      <c r="B716" s="102" t="s">
        <v>1823</v>
      </c>
      <c r="C716" s="102">
        <v>103206</v>
      </c>
      <c r="D716" s="102" t="s">
        <v>2780</v>
      </c>
      <c r="E716" s="102"/>
    </row>
    <row r="717" spans="1:5" x14ac:dyDescent="0.15">
      <c r="A717" s="102" t="s">
        <v>2781</v>
      </c>
      <c r="B717" s="102" t="s">
        <v>1825</v>
      </c>
      <c r="C717" s="102">
        <v>164237</v>
      </c>
      <c r="D717" s="102" t="s">
        <v>2782</v>
      </c>
      <c r="E717" s="102"/>
    </row>
    <row r="718" spans="1:5" x14ac:dyDescent="0.15">
      <c r="A718" s="102" t="s">
        <v>2783</v>
      </c>
      <c r="B718" s="102" t="s">
        <v>1825</v>
      </c>
      <c r="C718" s="102">
        <v>172575</v>
      </c>
      <c r="D718" s="102" t="s">
        <v>2783</v>
      </c>
      <c r="E718" s="102"/>
    </row>
    <row r="719" spans="1:5" x14ac:dyDescent="0.15">
      <c r="A719" s="102" t="s">
        <v>2784</v>
      </c>
      <c r="B719" s="102" t="s">
        <v>1928</v>
      </c>
      <c r="C719" s="102">
        <v>178922</v>
      </c>
      <c r="D719" s="102" t="s">
        <v>2784</v>
      </c>
      <c r="E719" s="102"/>
    </row>
    <row r="720" spans="1:5" x14ac:dyDescent="0.15">
      <c r="A720" s="102" t="s">
        <v>2785</v>
      </c>
      <c r="B720" s="102" t="s">
        <v>1825</v>
      </c>
      <c r="C720" s="102">
        <v>158235</v>
      </c>
      <c r="D720" s="102" t="s">
        <v>2785</v>
      </c>
      <c r="E720" s="102"/>
    </row>
    <row r="721" spans="1:5" x14ac:dyDescent="0.15">
      <c r="A721" s="102" t="s">
        <v>2786</v>
      </c>
      <c r="B721" s="102" t="s">
        <v>1825</v>
      </c>
      <c r="C721" s="102">
        <v>157872</v>
      </c>
      <c r="D721" s="102" t="s">
        <v>2786</v>
      </c>
      <c r="E721" s="102"/>
    </row>
    <row r="722" spans="1:5" x14ac:dyDescent="0.15">
      <c r="A722" s="102" t="s">
        <v>2787</v>
      </c>
      <c r="B722" s="102" t="s">
        <v>1825</v>
      </c>
      <c r="C722" s="102">
        <v>158193</v>
      </c>
      <c r="D722" s="102" t="s">
        <v>2787</v>
      </c>
      <c r="E722" s="102"/>
    </row>
    <row r="723" spans="1:5" x14ac:dyDescent="0.15">
      <c r="A723" s="102" t="s">
        <v>2788</v>
      </c>
      <c r="B723" s="102" t="s">
        <v>2789</v>
      </c>
      <c r="C723" s="102">
        <v>236448</v>
      </c>
      <c r="D723" s="102" t="s">
        <v>2788</v>
      </c>
      <c r="E723" s="102"/>
    </row>
    <row r="724" spans="1:5" x14ac:dyDescent="0.15">
      <c r="A724" s="102" t="s">
        <v>2790</v>
      </c>
      <c r="B724" s="102" t="s">
        <v>1825</v>
      </c>
      <c r="C724" s="102">
        <v>178577</v>
      </c>
      <c r="D724" s="102" t="s">
        <v>2790</v>
      </c>
      <c r="E724" s="102"/>
    </row>
    <row r="725" spans="1:5" x14ac:dyDescent="0.15">
      <c r="A725" s="102" t="s">
        <v>2791</v>
      </c>
      <c r="B725" s="102" t="s">
        <v>1825</v>
      </c>
      <c r="C725" s="102">
        <v>192373</v>
      </c>
      <c r="D725" s="102" t="s">
        <v>2791</v>
      </c>
      <c r="E725" s="102"/>
    </row>
    <row r="726" spans="1:5" x14ac:dyDescent="0.15">
      <c r="A726" s="102" t="s">
        <v>2792</v>
      </c>
      <c r="B726" s="102" t="s">
        <v>1823</v>
      </c>
      <c r="C726" s="102">
        <v>112306</v>
      </c>
      <c r="D726" s="102" t="s">
        <v>2792</v>
      </c>
      <c r="E726" s="102"/>
    </row>
    <row r="727" spans="1:5" x14ac:dyDescent="0.15">
      <c r="A727" s="102" t="s">
        <v>2793</v>
      </c>
      <c r="B727" s="102" t="s">
        <v>1928</v>
      </c>
      <c r="C727" s="102">
        <v>172587</v>
      </c>
      <c r="D727" s="102" t="s">
        <v>2793</v>
      </c>
      <c r="E727" s="102"/>
    </row>
    <row r="728" spans="1:5" x14ac:dyDescent="0.15">
      <c r="A728" s="102" t="s">
        <v>2794</v>
      </c>
      <c r="B728" s="102" t="s">
        <v>1823</v>
      </c>
      <c r="C728" s="102">
        <v>103255</v>
      </c>
      <c r="D728" s="102" t="s">
        <v>2794</v>
      </c>
      <c r="E728" s="102"/>
    </row>
    <row r="729" spans="1:5" x14ac:dyDescent="0.15">
      <c r="A729" s="102" t="s">
        <v>1814</v>
      </c>
      <c r="B729" s="102" t="s">
        <v>2447</v>
      </c>
      <c r="C729" s="102">
        <v>244636</v>
      </c>
      <c r="D729" s="102" t="s">
        <v>1814</v>
      </c>
      <c r="E729" s="102"/>
    </row>
    <row r="730" spans="1:5" x14ac:dyDescent="0.15">
      <c r="A730" s="102" t="s">
        <v>2795</v>
      </c>
      <c r="B730" s="102" t="s">
        <v>2796</v>
      </c>
      <c r="C730" s="102">
        <v>214727</v>
      </c>
      <c r="D730" s="102" t="s">
        <v>2795</v>
      </c>
      <c r="E730" s="102"/>
    </row>
    <row r="731" spans="1:5" x14ac:dyDescent="0.15">
      <c r="A731" s="102" t="s">
        <v>2797</v>
      </c>
      <c r="B731" s="102" t="s">
        <v>2798</v>
      </c>
      <c r="C731" s="102">
        <v>213756</v>
      </c>
      <c r="D731" s="102" t="s">
        <v>2797</v>
      </c>
      <c r="E731" s="102"/>
    </row>
    <row r="732" spans="1:5" x14ac:dyDescent="0.15">
      <c r="A732" s="102" t="s">
        <v>2799</v>
      </c>
      <c r="B732" s="102" t="s">
        <v>2800</v>
      </c>
      <c r="C732" s="102">
        <v>209553</v>
      </c>
      <c r="D732" s="102" t="s">
        <v>2799</v>
      </c>
      <c r="E732" s="102"/>
    </row>
    <row r="733" spans="1:5" x14ac:dyDescent="0.15">
      <c r="A733" s="102" t="s">
        <v>2801</v>
      </c>
      <c r="B733" s="102" t="s">
        <v>1825</v>
      </c>
      <c r="C733" s="102">
        <v>160581</v>
      </c>
      <c r="D733" s="102" t="s">
        <v>2801</v>
      </c>
      <c r="E733" s="102"/>
    </row>
    <row r="734" spans="1:5" x14ac:dyDescent="0.15">
      <c r="A734" s="102" t="s">
        <v>2802</v>
      </c>
      <c r="B734" s="102" t="s">
        <v>2803</v>
      </c>
      <c r="C734" s="102">
        <v>218050</v>
      </c>
      <c r="D734" s="102" t="s">
        <v>2802</v>
      </c>
      <c r="E734" s="102"/>
    </row>
    <row r="735" spans="1:5" x14ac:dyDescent="0.15">
      <c r="A735" s="102" t="s">
        <v>2802</v>
      </c>
      <c r="B735" s="102" t="s">
        <v>2804</v>
      </c>
      <c r="C735" s="102">
        <v>218051</v>
      </c>
      <c r="D735" s="102" t="s">
        <v>2802</v>
      </c>
      <c r="E735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16"/>
  <dimension ref="A1:E2"/>
  <sheetViews>
    <sheetView workbookViewId="0"/>
  </sheetViews>
  <sheetFormatPr baseColWidth="10" defaultColWidth="11" defaultRowHeight="13" x14ac:dyDescent="0.15"/>
  <cols>
    <col min="1" max="1" width="25" bestFit="1" customWidth="1"/>
    <col min="2" max="2" width="25.5" bestFit="1" customWidth="1"/>
    <col min="3" max="3" width="6.83203125" bestFit="1" customWidth="1"/>
    <col min="4" max="4" width="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2805</v>
      </c>
      <c r="B2" s="102" t="s">
        <v>2806</v>
      </c>
      <c r="C2" s="102">
        <v>229036</v>
      </c>
      <c r="D2" s="102" t="s">
        <v>2805</v>
      </c>
      <c r="E2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17"/>
  <dimension ref="A1:E13"/>
  <sheetViews>
    <sheetView workbookViewId="0"/>
  </sheetViews>
  <sheetFormatPr baseColWidth="10" defaultColWidth="11" defaultRowHeight="13" x14ac:dyDescent="0.15"/>
  <cols>
    <col min="1" max="1" width="23.5" bestFit="1" customWidth="1"/>
    <col min="2" max="2" width="25.5" bestFit="1" customWidth="1"/>
    <col min="3" max="3" width="6.83203125" bestFit="1" customWidth="1"/>
    <col min="4" max="4" width="23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2807</v>
      </c>
      <c r="B2" s="102" t="s">
        <v>2808</v>
      </c>
      <c r="C2" s="102">
        <v>236235</v>
      </c>
      <c r="D2" s="102" t="s">
        <v>2807</v>
      </c>
      <c r="E2" s="102"/>
    </row>
    <row r="3" spans="1:5" x14ac:dyDescent="0.15">
      <c r="A3" s="102" t="s">
        <v>2809</v>
      </c>
      <c r="B3" s="102" t="s">
        <v>2810</v>
      </c>
      <c r="C3" s="102">
        <v>236233</v>
      </c>
      <c r="D3" s="102" t="s">
        <v>2809</v>
      </c>
      <c r="E3" s="102"/>
    </row>
    <row r="4" spans="1:5" x14ac:dyDescent="0.15">
      <c r="A4" s="102" t="s">
        <v>2811</v>
      </c>
      <c r="B4" s="102" t="s">
        <v>2812</v>
      </c>
      <c r="C4" s="102">
        <v>236226</v>
      </c>
      <c r="D4" s="102" t="s">
        <v>2811</v>
      </c>
      <c r="E4" s="102"/>
    </row>
    <row r="5" spans="1:5" x14ac:dyDescent="0.15">
      <c r="A5" s="102" t="s">
        <v>2813</v>
      </c>
      <c r="B5" s="102" t="s">
        <v>2814</v>
      </c>
      <c r="C5" s="102">
        <v>236236</v>
      </c>
      <c r="D5" s="102" t="s">
        <v>2813</v>
      </c>
      <c r="E5" s="102"/>
    </row>
    <row r="6" spans="1:5" x14ac:dyDescent="0.15">
      <c r="A6" s="102" t="s">
        <v>2815</v>
      </c>
      <c r="B6" s="102" t="s">
        <v>2814</v>
      </c>
      <c r="C6" s="102">
        <v>236237</v>
      </c>
      <c r="D6" s="102" t="s">
        <v>2815</v>
      </c>
      <c r="E6" s="102"/>
    </row>
    <row r="7" spans="1:5" x14ac:dyDescent="0.15">
      <c r="A7" s="102" t="s">
        <v>2816</v>
      </c>
      <c r="B7" s="102" t="s">
        <v>2817</v>
      </c>
      <c r="C7" s="102">
        <v>236240</v>
      </c>
      <c r="D7" s="102" t="s">
        <v>2816</v>
      </c>
      <c r="E7" s="102"/>
    </row>
    <row r="8" spans="1:5" x14ac:dyDescent="0.15">
      <c r="A8" s="102" t="s">
        <v>2818</v>
      </c>
      <c r="B8" s="102" t="s">
        <v>2819</v>
      </c>
      <c r="C8" s="102">
        <v>229037</v>
      </c>
      <c r="D8" s="102" t="s">
        <v>2818</v>
      </c>
      <c r="E8" s="102"/>
    </row>
    <row r="9" spans="1:5" x14ac:dyDescent="0.15">
      <c r="A9" s="102" t="s">
        <v>2820</v>
      </c>
      <c r="B9" s="102" t="s">
        <v>2821</v>
      </c>
      <c r="C9" s="102">
        <v>232030</v>
      </c>
      <c r="D9" s="102" t="s">
        <v>2820</v>
      </c>
      <c r="E9" s="102"/>
    </row>
    <row r="10" spans="1:5" x14ac:dyDescent="0.15">
      <c r="A10" s="102" t="s">
        <v>2822</v>
      </c>
      <c r="B10" s="102" t="s">
        <v>2823</v>
      </c>
      <c r="C10" s="102">
        <v>236230</v>
      </c>
      <c r="D10" s="102" t="s">
        <v>2822</v>
      </c>
      <c r="E10" s="102"/>
    </row>
    <row r="11" spans="1:5" x14ac:dyDescent="0.15">
      <c r="A11" s="102" t="s">
        <v>2824</v>
      </c>
      <c r="B11" s="102" t="s">
        <v>2817</v>
      </c>
      <c r="C11" s="102">
        <v>236238</v>
      </c>
      <c r="D11" s="102" t="s">
        <v>2824</v>
      </c>
      <c r="E11" s="102"/>
    </row>
    <row r="12" spans="1:5" x14ac:dyDescent="0.15">
      <c r="A12" s="102" t="s">
        <v>2825</v>
      </c>
      <c r="B12" s="102" t="s">
        <v>2826</v>
      </c>
      <c r="C12" s="102">
        <v>233809</v>
      </c>
      <c r="D12" s="102" t="s">
        <v>2825</v>
      </c>
      <c r="E12" s="102"/>
    </row>
    <row r="13" spans="1:5" x14ac:dyDescent="0.15">
      <c r="A13" s="102" t="s">
        <v>2827</v>
      </c>
      <c r="B13" s="102" t="s">
        <v>2828</v>
      </c>
      <c r="C13" s="102">
        <v>236260</v>
      </c>
      <c r="D13" s="102" t="s">
        <v>2827</v>
      </c>
      <c r="E13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18"/>
  <dimension ref="A1:E15"/>
  <sheetViews>
    <sheetView workbookViewId="0"/>
  </sheetViews>
  <sheetFormatPr baseColWidth="10" defaultColWidth="11" defaultRowHeight="13" x14ac:dyDescent="0.15"/>
  <cols>
    <col min="1" max="1" width="32.33203125" bestFit="1" customWidth="1"/>
    <col min="2" max="2" width="25.5" bestFit="1" customWidth="1"/>
    <col min="3" max="3" width="6.83203125" bestFit="1" customWidth="1"/>
    <col min="4" max="4" width="32.332031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2829</v>
      </c>
      <c r="B2" s="102" t="s">
        <v>2830</v>
      </c>
      <c r="C2" s="102">
        <v>237350</v>
      </c>
      <c r="D2" s="102" t="s">
        <v>2829</v>
      </c>
      <c r="E2" s="102"/>
    </row>
    <row r="3" spans="1:5" x14ac:dyDescent="0.15">
      <c r="A3" s="102" t="s">
        <v>2831</v>
      </c>
      <c r="B3" s="102" t="s">
        <v>2832</v>
      </c>
      <c r="C3" s="102">
        <v>229865</v>
      </c>
      <c r="D3" s="102" t="s">
        <v>2831</v>
      </c>
      <c r="E3" s="102"/>
    </row>
    <row r="4" spans="1:5" x14ac:dyDescent="0.15">
      <c r="A4" s="102" t="s">
        <v>2833</v>
      </c>
      <c r="B4" s="102" t="s">
        <v>2834</v>
      </c>
      <c r="C4" s="102">
        <v>231288</v>
      </c>
      <c r="D4" s="102" t="s">
        <v>2833</v>
      </c>
      <c r="E4" s="102"/>
    </row>
    <row r="5" spans="1:5" x14ac:dyDescent="0.15">
      <c r="A5" s="102" t="s">
        <v>2835</v>
      </c>
      <c r="B5" s="102" t="s">
        <v>2836</v>
      </c>
      <c r="C5" s="102">
        <v>236214</v>
      </c>
      <c r="D5" s="102" t="s">
        <v>2835</v>
      </c>
      <c r="E5" s="102"/>
    </row>
    <row r="6" spans="1:5" x14ac:dyDescent="0.15">
      <c r="A6" s="102" t="s">
        <v>2837</v>
      </c>
      <c r="B6" s="102" t="s">
        <v>2838</v>
      </c>
      <c r="C6" s="102">
        <v>230102</v>
      </c>
      <c r="D6" s="102" t="s">
        <v>2837</v>
      </c>
      <c r="E6" s="102"/>
    </row>
    <row r="7" spans="1:5" x14ac:dyDescent="0.15">
      <c r="A7" s="102" t="s">
        <v>2839</v>
      </c>
      <c r="B7" s="102" t="s">
        <v>2840</v>
      </c>
      <c r="C7" s="102">
        <v>237351</v>
      </c>
      <c r="D7" s="102" t="s">
        <v>2839</v>
      </c>
      <c r="E7" s="102"/>
    </row>
    <row r="8" spans="1:5" x14ac:dyDescent="0.15">
      <c r="A8" s="102" t="s">
        <v>2841</v>
      </c>
      <c r="B8" s="102" t="s">
        <v>2842</v>
      </c>
      <c r="C8" s="102">
        <v>233804</v>
      </c>
      <c r="D8" s="102" t="s">
        <v>2841</v>
      </c>
      <c r="E8" s="102"/>
    </row>
    <row r="9" spans="1:5" x14ac:dyDescent="0.15">
      <c r="A9" s="102" t="s">
        <v>2843</v>
      </c>
      <c r="B9" s="102" t="s">
        <v>2844</v>
      </c>
      <c r="C9" s="102">
        <v>236216</v>
      </c>
      <c r="D9" s="102" t="s">
        <v>2843</v>
      </c>
      <c r="E9" s="102"/>
    </row>
    <row r="10" spans="1:5" x14ac:dyDescent="0.15">
      <c r="A10" s="102" t="s">
        <v>2845</v>
      </c>
      <c r="B10" s="102" t="s">
        <v>2846</v>
      </c>
      <c r="C10" s="102">
        <v>236208</v>
      </c>
      <c r="D10" s="102" t="s">
        <v>2845</v>
      </c>
      <c r="E10" s="102"/>
    </row>
    <row r="11" spans="1:5" x14ac:dyDescent="0.15">
      <c r="A11" s="102" t="s">
        <v>2847</v>
      </c>
      <c r="B11" s="102" t="s">
        <v>2848</v>
      </c>
      <c r="C11" s="102">
        <v>237128</v>
      </c>
      <c r="D11" s="102" t="s">
        <v>2847</v>
      </c>
      <c r="E11" s="102"/>
    </row>
    <row r="12" spans="1:5" x14ac:dyDescent="0.15">
      <c r="A12" s="102" t="s">
        <v>2849</v>
      </c>
      <c r="B12" s="102" t="s">
        <v>2850</v>
      </c>
      <c r="C12" s="102">
        <v>237349</v>
      </c>
      <c r="D12" s="102" t="s">
        <v>2849</v>
      </c>
      <c r="E12" s="102"/>
    </row>
    <row r="13" spans="1:5" x14ac:dyDescent="0.15">
      <c r="A13" s="102" t="s">
        <v>2851</v>
      </c>
      <c r="B13" s="102" t="s">
        <v>2852</v>
      </c>
      <c r="C13" s="102">
        <v>236213</v>
      </c>
      <c r="D13" s="102" t="s">
        <v>2851</v>
      </c>
      <c r="E13" s="102"/>
    </row>
    <row r="14" spans="1:5" x14ac:dyDescent="0.15">
      <c r="A14" s="102" t="s">
        <v>2853</v>
      </c>
      <c r="B14" s="102" t="s">
        <v>2854</v>
      </c>
      <c r="C14" s="102">
        <v>236212</v>
      </c>
      <c r="D14" s="102" t="s">
        <v>2853</v>
      </c>
      <c r="E14" s="102"/>
    </row>
    <row r="15" spans="1:5" x14ac:dyDescent="0.15">
      <c r="A15" s="102" t="s">
        <v>2855</v>
      </c>
      <c r="B15" s="102" t="s">
        <v>2856</v>
      </c>
      <c r="C15" s="102">
        <v>236211</v>
      </c>
      <c r="D15" s="102" t="s">
        <v>2855</v>
      </c>
      <c r="E15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19"/>
  <dimension ref="A1:E7"/>
  <sheetViews>
    <sheetView workbookViewId="0"/>
  </sheetViews>
  <sheetFormatPr baseColWidth="10" defaultColWidth="11" defaultRowHeight="13" x14ac:dyDescent="0.15"/>
  <cols>
    <col min="1" max="1" width="28.33203125" bestFit="1" customWidth="1"/>
    <col min="2" max="2" width="25.5" bestFit="1" customWidth="1"/>
    <col min="3" max="3" width="6.83203125" bestFit="1" customWidth="1"/>
    <col min="4" max="4" width="28.332031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2857</v>
      </c>
      <c r="B2" s="102" t="s">
        <v>2858</v>
      </c>
      <c r="C2" s="102">
        <v>229866</v>
      </c>
      <c r="D2" s="102" t="s">
        <v>2857</v>
      </c>
      <c r="E2" s="102"/>
    </row>
    <row r="3" spans="1:5" x14ac:dyDescent="0.15">
      <c r="A3" s="102" t="s">
        <v>2859</v>
      </c>
      <c r="B3" s="102" t="s">
        <v>2860</v>
      </c>
      <c r="C3" s="102">
        <v>236217</v>
      </c>
      <c r="D3" s="102" t="s">
        <v>2859</v>
      </c>
      <c r="E3" s="102"/>
    </row>
    <row r="4" spans="1:5" x14ac:dyDescent="0.15">
      <c r="A4" s="102" t="s">
        <v>2861</v>
      </c>
      <c r="B4" s="102" t="s">
        <v>2862</v>
      </c>
      <c r="C4" s="102">
        <v>232083</v>
      </c>
      <c r="D4" s="102" t="s">
        <v>2861</v>
      </c>
      <c r="E4" s="102"/>
    </row>
    <row r="5" spans="1:5" x14ac:dyDescent="0.15">
      <c r="A5" s="102" t="s">
        <v>2863</v>
      </c>
      <c r="B5" s="102" t="s">
        <v>2864</v>
      </c>
      <c r="C5" s="102">
        <v>236219</v>
      </c>
      <c r="D5" s="102" t="s">
        <v>2863</v>
      </c>
      <c r="E5" s="102"/>
    </row>
    <row r="6" spans="1:5" x14ac:dyDescent="0.15">
      <c r="A6" s="102" t="s">
        <v>2865</v>
      </c>
      <c r="B6" s="102" t="s">
        <v>2866</v>
      </c>
      <c r="C6" s="102">
        <v>236221</v>
      </c>
      <c r="D6" s="102" t="s">
        <v>2865</v>
      </c>
      <c r="E6" s="102"/>
    </row>
    <row r="7" spans="1:5" x14ac:dyDescent="0.15">
      <c r="A7" s="102" t="s">
        <v>2867</v>
      </c>
      <c r="B7" s="102" t="s">
        <v>2868</v>
      </c>
      <c r="C7" s="102">
        <v>230103</v>
      </c>
      <c r="D7" s="102" t="s">
        <v>2867</v>
      </c>
      <c r="E7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20"/>
  <dimension ref="A1:E8"/>
  <sheetViews>
    <sheetView workbookViewId="0"/>
  </sheetViews>
  <sheetFormatPr baseColWidth="10" defaultColWidth="11" defaultRowHeight="13" x14ac:dyDescent="0.15"/>
  <cols>
    <col min="1" max="1" width="29.5" bestFit="1" customWidth="1"/>
    <col min="2" max="2" width="25.5" bestFit="1" customWidth="1"/>
    <col min="3" max="3" width="6.83203125" bestFit="1" customWidth="1"/>
    <col min="4" max="4" width="29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2869</v>
      </c>
      <c r="B2" s="102" t="s">
        <v>2870</v>
      </c>
      <c r="C2" s="102">
        <v>236224</v>
      </c>
      <c r="D2" s="102" t="s">
        <v>2869</v>
      </c>
      <c r="E2" s="102"/>
    </row>
    <row r="3" spans="1:5" x14ac:dyDescent="0.15">
      <c r="A3" s="102" t="s">
        <v>2871</v>
      </c>
      <c r="B3" s="102" t="s">
        <v>2872</v>
      </c>
      <c r="C3" s="102">
        <v>236225</v>
      </c>
      <c r="D3" s="102" t="s">
        <v>2871</v>
      </c>
      <c r="E3" s="102"/>
    </row>
    <row r="4" spans="1:5" x14ac:dyDescent="0.15">
      <c r="A4" s="102" t="s">
        <v>2873</v>
      </c>
      <c r="B4" s="102" t="s">
        <v>2874</v>
      </c>
      <c r="C4" s="102">
        <v>235779</v>
      </c>
      <c r="D4" s="102" t="s">
        <v>2873</v>
      </c>
      <c r="E4" s="102"/>
    </row>
    <row r="5" spans="1:5" x14ac:dyDescent="0.15">
      <c r="A5" s="102" t="s">
        <v>2875</v>
      </c>
      <c r="B5" s="102" t="s">
        <v>2876</v>
      </c>
      <c r="C5" s="102">
        <v>242545</v>
      </c>
      <c r="D5" s="102" t="s">
        <v>2875</v>
      </c>
      <c r="E5" s="102"/>
    </row>
    <row r="6" spans="1:5" x14ac:dyDescent="0.15">
      <c r="A6" s="102" t="s">
        <v>2877</v>
      </c>
      <c r="B6" s="102" t="s">
        <v>2878</v>
      </c>
      <c r="C6" s="102">
        <v>236222</v>
      </c>
      <c r="D6" s="102" t="s">
        <v>2877</v>
      </c>
      <c r="E6" s="102"/>
    </row>
    <row r="7" spans="1:5" x14ac:dyDescent="0.15">
      <c r="A7" s="102" t="s">
        <v>2879</v>
      </c>
      <c r="B7" s="102" t="s">
        <v>2880</v>
      </c>
      <c r="C7" s="102">
        <v>236223</v>
      </c>
      <c r="D7" s="102" t="s">
        <v>2879</v>
      </c>
      <c r="E7" s="102"/>
    </row>
    <row r="8" spans="1:5" x14ac:dyDescent="0.15">
      <c r="A8" s="102" t="s">
        <v>2881</v>
      </c>
      <c r="B8" s="102" t="s">
        <v>2882</v>
      </c>
      <c r="C8" s="102">
        <v>228526</v>
      </c>
      <c r="D8" s="102" t="s">
        <v>2881</v>
      </c>
      <c r="E8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21"/>
  <dimension ref="A1:E7"/>
  <sheetViews>
    <sheetView workbookViewId="0">
      <selection activeCell="D2" sqref="D2"/>
    </sheetView>
  </sheetViews>
  <sheetFormatPr baseColWidth="10" defaultColWidth="11" defaultRowHeight="13" x14ac:dyDescent="0.15"/>
  <cols>
    <col min="1" max="1" width="13.5" bestFit="1" customWidth="1"/>
    <col min="2" max="2" width="25.5" bestFit="1" customWidth="1"/>
    <col min="3" max="3" width="6.83203125" bestFit="1" customWidth="1"/>
    <col min="4" max="4" width="13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84</v>
      </c>
      <c r="B2" s="102" t="s">
        <v>2883</v>
      </c>
      <c r="C2" s="102">
        <v>229023</v>
      </c>
      <c r="D2" s="102" t="s">
        <v>84</v>
      </c>
      <c r="E2" s="102"/>
    </row>
    <row r="3" spans="1:5" x14ac:dyDescent="0.15">
      <c r="A3" s="102" t="s">
        <v>92</v>
      </c>
      <c r="B3" s="102" t="s">
        <v>2884</v>
      </c>
      <c r="C3" s="102">
        <v>228450</v>
      </c>
      <c r="D3" s="102" t="s">
        <v>92</v>
      </c>
      <c r="E3" s="102"/>
    </row>
    <row r="4" spans="1:5" x14ac:dyDescent="0.15">
      <c r="A4" s="102" t="s">
        <v>80</v>
      </c>
      <c r="B4" s="102" t="s">
        <v>2885</v>
      </c>
      <c r="C4" s="102">
        <v>228525</v>
      </c>
      <c r="D4" s="102" t="s">
        <v>80</v>
      </c>
      <c r="E4" s="102"/>
    </row>
    <row r="5" spans="1:5" x14ac:dyDescent="0.15">
      <c r="A5" s="102" t="s">
        <v>2886</v>
      </c>
      <c r="B5" s="102" t="s">
        <v>2887</v>
      </c>
      <c r="C5" s="102">
        <v>230396</v>
      </c>
      <c r="D5" s="102" t="s">
        <v>2886</v>
      </c>
      <c r="E5" s="102"/>
    </row>
    <row r="6" spans="1:5" x14ac:dyDescent="0.15">
      <c r="A6" s="102" t="s">
        <v>2888</v>
      </c>
      <c r="B6" s="102" t="s">
        <v>2889</v>
      </c>
      <c r="C6" s="102">
        <v>229025</v>
      </c>
      <c r="D6" s="102" t="s">
        <v>2888</v>
      </c>
      <c r="E6" s="102"/>
    </row>
    <row r="7" spans="1:5" x14ac:dyDescent="0.15">
      <c r="A7" s="102" t="s">
        <v>76</v>
      </c>
      <c r="B7" s="102" t="s">
        <v>2890</v>
      </c>
      <c r="C7" s="102">
        <v>229026</v>
      </c>
      <c r="D7" s="102" t="s">
        <v>76</v>
      </c>
      <c r="E7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F1799-28E5-BC4E-927E-817AD4629A1F}">
  <dimension ref="A3:H37"/>
  <sheetViews>
    <sheetView topLeftCell="F1" zoomScale="150" zoomScaleNormal="150" workbookViewId="0">
      <selection activeCell="H10" sqref="H10"/>
    </sheetView>
  </sheetViews>
  <sheetFormatPr baseColWidth="10" defaultColWidth="10.83203125" defaultRowHeight="15" x14ac:dyDescent="0.2"/>
  <cols>
    <col min="1" max="1" width="39.5" style="128" customWidth="1"/>
    <col min="2" max="2" width="27" style="128" bestFit="1" customWidth="1"/>
    <col min="3" max="3" width="15.1640625" style="128" customWidth="1"/>
    <col min="4" max="4" width="20.6640625" style="128" customWidth="1"/>
    <col min="5" max="5" width="13.83203125" style="128" customWidth="1"/>
    <col min="6" max="6" width="29.6640625" style="128" customWidth="1"/>
    <col min="7" max="7" width="30.5" style="128" customWidth="1"/>
    <col min="8" max="16384" width="10.83203125" style="128"/>
  </cols>
  <sheetData>
    <row r="3" spans="1:8" s="289" customFormat="1" ht="40" x14ac:dyDescent="0.15">
      <c r="A3" s="287"/>
      <c r="B3" s="287" t="s">
        <v>70</v>
      </c>
      <c r="C3" s="287" t="s">
        <v>21</v>
      </c>
      <c r="D3" s="288" t="s">
        <v>3444</v>
      </c>
      <c r="E3" s="287" t="s">
        <v>71</v>
      </c>
      <c r="F3" s="288" t="s">
        <v>3438</v>
      </c>
      <c r="G3" s="288" t="s">
        <v>3450</v>
      </c>
      <c r="H3" s="288" t="s">
        <v>3408</v>
      </c>
    </row>
    <row r="4" spans="1:8" x14ac:dyDescent="0.2">
      <c r="B4" s="128" t="s">
        <v>72</v>
      </c>
      <c r="C4" s="129" t="s">
        <v>3435</v>
      </c>
      <c r="D4" s="129" t="s">
        <v>73</v>
      </c>
      <c r="E4" s="129" t="s">
        <v>74</v>
      </c>
      <c r="F4" s="128" t="s">
        <v>3439</v>
      </c>
      <c r="G4" s="128" t="s">
        <v>2829</v>
      </c>
      <c r="H4" s="128" t="s">
        <v>3458</v>
      </c>
    </row>
    <row r="5" spans="1:8" x14ac:dyDescent="0.2">
      <c r="B5" s="128" t="s">
        <v>75</v>
      </c>
      <c r="C5" s="129" t="s">
        <v>88</v>
      </c>
      <c r="D5" s="129" t="s">
        <v>77</v>
      </c>
      <c r="E5" s="129" t="s">
        <v>78</v>
      </c>
      <c r="F5" s="128" t="s">
        <v>2867</v>
      </c>
      <c r="G5" s="128" t="s">
        <v>3452</v>
      </c>
      <c r="H5" s="128" t="s">
        <v>3410</v>
      </c>
    </row>
    <row r="6" spans="1:8" x14ac:dyDescent="0.2">
      <c r="B6" s="128" t="s">
        <v>79</v>
      </c>
      <c r="C6" s="129" t="s">
        <v>92</v>
      </c>
      <c r="D6" s="129" t="s">
        <v>81</v>
      </c>
      <c r="E6" s="129" t="s">
        <v>82</v>
      </c>
      <c r="F6" s="128" t="s">
        <v>3440</v>
      </c>
      <c r="G6" s="128" t="s">
        <v>3453</v>
      </c>
      <c r="H6" s="128" t="s">
        <v>100</v>
      </c>
    </row>
    <row r="7" spans="1:8" x14ac:dyDescent="0.2">
      <c r="B7" s="128" t="s">
        <v>83</v>
      </c>
      <c r="C7" s="129"/>
      <c r="D7" s="129" t="s">
        <v>85</v>
      </c>
      <c r="E7" s="129" t="s">
        <v>86</v>
      </c>
      <c r="F7" s="128" t="s">
        <v>100</v>
      </c>
      <c r="G7" s="128" t="s">
        <v>2835</v>
      </c>
    </row>
    <row r="8" spans="1:8" x14ac:dyDescent="0.2">
      <c r="B8" s="128" t="s">
        <v>87</v>
      </c>
      <c r="C8" s="129"/>
      <c r="D8" s="129" t="s">
        <v>89</v>
      </c>
      <c r="E8" s="129" t="s">
        <v>90</v>
      </c>
      <c r="G8" s="128" t="s">
        <v>2837</v>
      </c>
    </row>
    <row r="9" spans="1:8" x14ac:dyDescent="0.2">
      <c r="B9" s="128" t="s">
        <v>91</v>
      </c>
      <c r="E9" s="129" t="s">
        <v>93</v>
      </c>
      <c r="G9" s="128" t="s">
        <v>2839</v>
      </c>
    </row>
    <row r="10" spans="1:8" x14ac:dyDescent="0.2">
      <c r="E10" s="129" t="s">
        <v>94</v>
      </c>
      <c r="G10" s="128" t="s">
        <v>2841</v>
      </c>
    </row>
    <row r="11" spans="1:8" x14ac:dyDescent="0.2">
      <c r="E11" s="129" t="s">
        <v>95</v>
      </c>
      <c r="G11" s="128" t="s">
        <v>3451</v>
      </c>
    </row>
    <row r="12" spans="1:8" x14ac:dyDescent="0.2">
      <c r="E12" s="129" t="s">
        <v>77</v>
      </c>
      <c r="G12" s="128" t="s">
        <v>2845</v>
      </c>
    </row>
    <row r="13" spans="1:8" x14ac:dyDescent="0.2">
      <c r="E13" s="129" t="s">
        <v>96</v>
      </c>
      <c r="G13" s="128" t="s">
        <v>2847</v>
      </c>
    </row>
    <row r="14" spans="1:8" x14ac:dyDescent="0.2">
      <c r="G14" s="128" t="s">
        <v>2849</v>
      </c>
    </row>
    <row r="15" spans="1:8" x14ac:dyDescent="0.2">
      <c r="G15" s="128" t="s">
        <v>3454</v>
      </c>
    </row>
    <row r="16" spans="1:8" s="290" customFormat="1" ht="19" x14ac:dyDescent="0.25">
      <c r="A16" s="287" t="s">
        <v>97</v>
      </c>
      <c r="B16" s="287" t="s">
        <v>3406</v>
      </c>
      <c r="D16" s="287" t="s">
        <v>28</v>
      </c>
      <c r="F16" s="287" t="s">
        <v>13</v>
      </c>
      <c r="G16" s="128" t="s">
        <v>100</v>
      </c>
    </row>
    <row r="17" spans="1:6" x14ac:dyDescent="0.2">
      <c r="A17" s="128" t="s">
        <v>98</v>
      </c>
      <c r="B17" s="128" t="s">
        <v>3433</v>
      </c>
      <c r="D17" s="130"/>
      <c r="F17" s="128" t="s">
        <v>98</v>
      </c>
    </row>
    <row r="18" spans="1:6" x14ac:dyDescent="0.2">
      <c r="A18" s="128" t="s">
        <v>99</v>
      </c>
      <c r="B18" s="128" t="s">
        <v>3434</v>
      </c>
      <c r="D18" s="130"/>
      <c r="F18" s="128" t="s">
        <v>3428</v>
      </c>
    </row>
    <row r="19" spans="1:6" x14ac:dyDescent="0.2">
      <c r="A19" s="128" t="s">
        <v>89</v>
      </c>
      <c r="B19" s="128" t="s">
        <v>3431</v>
      </c>
      <c r="D19" s="130"/>
      <c r="F19" s="128" t="s">
        <v>3429</v>
      </c>
    </row>
    <row r="20" spans="1:6" x14ac:dyDescent="0.2">
      <c r="B20" s="128" t="s">
        <v>3432</v>
      </c>
      <c r="D20" s="130"/>
      <c r="F20" s="128" t="s">
        <v>3442</v>
      </c>
    </row>
    <row r="21" spans="1:6" x14ac:dyDescent="0.2">
      <c r="B21" s="128" t="s">
        <v>100</v>
      </c>
      <c r="D21" s="130"/>
      <c r="F21" s="128" t="s">
        <v>3419</v>
      </c>
    </row>
    <row r="22" spans="1:6" x14ac:dyDescent="0.2">
      <c r="F22" s="128" t="s">
        <v>3420</v>
      </c>
    </row>
    <row r="25" spans="1:6" s="290" customFormat="1" ht="19" x14ac:dyDescent="0.25">
      <c r="A25" s="287" t="s">
        <v>3407</v>
      </c>
      <c r="F25" s="287" t="s">
        <v>3402</v>
      </c>
    </row>
    <row r="26" spans="1:6" x14ac:dyDescent="0.2">
      <c r="A26" s="128" t="s">
        <v>3411</v>
      </c>
      <c r="F26" s="128" t="s">
        <v>3403</v>
      </c>
    </row>
    <row r="27" spans="1:6" x14ac:dyDescent="0.2">
      <c r="A27" s="128" t="s">
        <v>3409</v>
      </c>
      <c r="F27" s="128" t="s">
        <v>3441</v>
      </c>
    </row>
    <row r="28" spans="1:6" x14ac:dyDescent="0.2">
      <c r="B28" s="131"/>
    </row>
    <row r="31" spans="1:6" s="290" customFormat="1" ht="19" x14ac:dyDescent="0.25">
      <c r="A31" s="287" t="s">
        <v>3408</v>
      </c>
    </row>
    <row r="32" spans="1:6" x14ac:dyDescent="0.2">
      <c r="A32" s="128" t="s">
        <v>3410</v>
      </c>
    </row>
    <row r="33" spans="1:1" x14ac:dyDescent="0.2">
      <c r="A33" s="128" t="s">
        <v>100</v>
      </c>
    </row>
    <row r="37" spans="1:1" x14ac:dyDescent="0.2">
      <c r="A37" s="147" t="s">
        <v>3436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22"/>
  <dimension ref="A1:E12"/>
  <sheetViews>
    <sheetView workbookViewId="0">
      <selection activeCell="C25" sqref="C25"/>
    </sheetView>
  </sheetViews>
  <sheetFormatPr baseColWidth="10" defaultColWidth="11" defaultRowHeight="13" x14ac:dyDescent="0.15"/>
  <cols>
    <col min="1" max="1" width="55.33203125" bestFit="1" customWidth="1"/>
    <col min="2" max="2" width="25.5" bestFit="1" customWidth="1"/>
    <col min="3" max="3" width="6.83203125" bestFit="1" customWidth="1"/>
    <col min="4" max="4" width="55.332031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2891</v>
      </c>
      <c r="B2" s="102" t="s">
        <v>2892</v>
      </c>
      <c r="C2" s="102">
        <v>242550</v>
      </c>
      <c r="D2" s="102" t="s">
        <v>2891</v>
      </c>
      <c r="E2" s="102"/>
    </row>
    <row r="3" spans="1:5" x14ac:dyDescent="0.15">
      <c r="A3" s="102" t="s">
        <v>2893</v>
      </c>
      <c r="B3" s="102" t="s">
        <v>2894</v>
      </c>
      <c r="C3" s="102">
        <v>236241</v>
      </c>
      <c r="D3" s="102" t="s">
        <v>2893</v>
      </c>
      <c r="E3" s="102"/>
    </row>
    <row r="4" spans="1:5" x14ac:dyDescent="0.15">
      <c r="A4" s="102" t="s">
        <v>2895</v>
      </c>
      <c r="B4" s="102" t="s">
        <v>2896</v>
      </c>
      <c r="C4" s="102">
        <v>242548</v>
      </c>
      <c r="D4" s="102" t="s">
        <v>2895</v>
      </c>
      <c r="E4" s="102"/>
    </row>
    <row r="5" spans="1:5" x14ac:dyDescent="0.15">
      <c r="A5" s="102" t="s">
        <v>2897</v>
      </c>
      <c r="B5" s="102" t="s">
        <v>2898</v>
      </c>
      <c r="C5" s="102">
        <v>228518</v>
      </c>
      <c r="D5" s="102" t="s">
        <v>2897</v>
      </c>
      <c r="E5" s="102"/>
    </row>
    <row r="6" spans="1:5" x14ac:dyDescent="0.15">
      <c r="A6" s="102" t="s">
        <v>2899</v>
      </c>
      <c r="B6" s="102" t="s">
        <v>2900</v>
      </c>
      <c r="C6" s="102">
        <v>228528</v>
      </c>
      <c r="D6" s="102" t="s">
        <v>2899</v>
      </c>
      <c r="E6" s="102"/>
    </row>
    <row r="7" spans="1:5" x14ac:dyDescent="0.15">
      <c r="A7" s="102" t="s">
        <v>2901</v>
      </c>
      <c r="B7" s="102" t="s">
        <v>2902</v>
      </c>
      <c r="C7" s="102">
        <v>232045</v>
      </c>
      <c r="D7" s="102" t="s">
        <v>2901</v>
      </c>
      <c r="E7" s="102"/>
    </row>
    <row r="8" spans="1:5" x14ac:dyDescent="0.15">
      <c r="A8" s="102" t="s">
        <v>2903</v>
      </c>
      <c r="B8" s="102" t="s">
        <v>2904</v>
      </c>
      <c r="C8" s="102">
        <v>229034</v>
      </c>
      <c r="D8" s="102" t="s">
        <v>2903</v>
      </c>
      <c r="E8" s="102"/>
    </row>
    <row r="9" spans="1:5" x14ac:dyDescent="0.15">
      <c r="A9" s="102" t="s">
        <v>2905</v>
      </c>
      <c r="B9" s="102" t="s">
        <v>2906</v>
      </c>
      <c r="C9" s="102">
        <v>242549</v>
      </c>
      <c r="D9" s="102" t="s">
        <v>2905</v>
      </c>
      <c r="E9" s="102"/>
    </row>
    <row r="10" spans="1:5" x14ac:dyDescent="0.15">
      <c r="A10" s="102" t="s">
        <v>2907</v>
      </c>
      <c r="B10" s="102" t="s">
        <v>2908</v>
      </c>
      <c r="C10" s="102">
        <v>236242</v>
      </c>
      <c r="D10" s="102" t="s">
        <v>2907</v>
      </c>
      <c r="E10" s="102"/>
    </row>
    <row r="11" spans="1:5" x14ac:dyDescent="0.15">
      <c r="A11" s="102" t="s">
        <v>2909</v>
      </c>
      <c r="B11" s="102" t="s">
        <v>2910</v>
      </c>
      <c r="C11" s="102">
        <v>232358</v>
      </c>
      <c r="D11" s="102" t="s">
        <v>2909</v>
      </c>
      <c r="E11" s="102"/>
    </row>
    <row r="12" spans="1:5" x14ac:dyDescent="0.15">
      <c r="A12" s="102" t="s">
        <v>2911</v>
      </c>
      <c r="B12" s="102" t="s">
        <v>2912</v>
      </c>
      <c r="C12" s="102">
        <v>242547</v>
      </c>
      <c r="D12" s="102" t="s">
        <v>2911</v>
      </c>
      <c r="E12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23"/>
  <dimension ref="A1:E8"/>
  <sheetViews>
    <sheetView workbookViewId="0"/>
  </sheetViews>
  <sheetFormatPr baseColWidth="10" defaultColWidth="11" defaultRowHeight="13" x14ac:dyDescent="0.15"/>
  <cols>
    <col min="1" max="1" width="30.5" bestFit="1" customWidth="1"/>
    <col min="2" max="2" width="25.5" bestFit="1" customWidth="1"/>
    <col min="3" max="3" width="6.83203125" bestFit="1" customWidth="1"/>
    <col min="4" max="4" width="30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2913</v>
      </c>
      <c r="B2" s="102" t="s">
        <v>2914</v>
      </c>
      <c r="C2" s="102">
        <v>236249</v>
      </c>
      <c r="D2" s="102" t="s">
        <v>2913</v>
      </c>
      <c r="E2" s="102"/>
    </row>
    <row r="3" spans="1:5" x14ac:dyDescent="0.15">
      <c r="A3" s="102" t="s">
        <v>2915</v>
      </c>
      <c r="B3" s="102" t="s">
        <v>2916</v>
      </c>
      <c r="C3" s="102">
        <v>236247</v>
      </c>
      <c r="D3" s="102" t="s">
        <v>2915</v>
      </c>
      <c r="E3" s="102"/>
    </row>
    <row r="4" spans="1:5" x14ac:dyDescent="0.15">
      <c r="A4" s="102" t="s">
        <v>2917</v>
      </c>
      <c r="B4" s="102" t="s">
        <v>2918</v>
      </c>
      <c r="C4" s="102">
        <v>236246</v>
      </c>
      <c r="D4" s="102" t="s">
        <v>2917</v>
      </c>
      <c r="E4" s="102"/>
    </row>
    <row r="5" spans="1:5" x14ac:dyDescent="0.15">
      <c r="A5" s="102" t="s">
        <v>2919</v>
      </c>
      <c r="B5" s="102" t="s">
        <v>2920</v>
      </c>
      <c r="C5" s="102">
        <v>228516</v>
      </c>
      <c r="D5" s="102" t="s">
        <v>2919</v>
      </c>
      <c r="E5" s="102"/>
    </row>
    <row r="6" spans="1:5" x14ac:dyDescent="0.15">
      <c r="A6" s="102" t="s">
        <v>2921</v>
      </c>
      <c r="B6" s="102" t="s">
        <v>2922</v>
      </c>
      <c r="C6" s="102">
        <v>242552</v>
      </c>
      <c r="D6" s="102" t="s">
        <v>2921</v>
      </c>
      <c r="E6" s="102"/>
    </row>
    <row r="7" spans="1:5" x14ac:dyDescent="0.15">
      <c r="A7" s="102" t="s">
        <v>2923</v>
      </c>
      <c r="B7" s="102" t="s">
        <v>2916</v>
      </c>
      <c r="C7" s="102">
        <v>236248</v>
      </c>
      <c r="D7" s="102" t="s">
        <v>2923</v>
      </c>
      <c r="E7" s="102"/>
    </row>
    <row r="8" spans="1:5" x14ac:dyDescent="0.15">
      <c r="A8" s="102" t="s">
        <v>2924</v>
      </c>
      <c r="B8" s="102" t="s">
        <v>2925</v>
      </c>
      <c r="C8" s="102">
        <v>243861</v>
      </c>
      <c r="D8" s="102" t="s">
        <v>2924</v>
      </c>
      <c r="E8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24"/>
  <dimension ref="A1:E28"/>
  <sheetViews>
    <sheetView workbookViewId="0">
      <selection activeCell="C20" sqref="C20"/>
    </sheetView>
  </sheetViews>
  <sheetFormatPr baseColWidth="10" defaultColWidth="11" defaultRowHeight="13" x14ac:dyDescent="0.15"/>
  <cols>
    <col min="1" max="1" width="32.33203125" bestFit="1" customWidth="1"/>
    <col min="2" max="2" width="25.5" bestFit="1" customWidth="1"/>
    <col min="3" max="3" width="6.83203125" bestFit="1" customWidth="1"/>
    <col min="4" max="4" width="32.332031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336</v>
      </c>
      <c r="B2" s="102" t="s">
        <v>2926</v>
      </c>
      <c r="C2" s="102">
        <v>235560</v>
      </c>
      <c r="D2" s="102" t="s">
        <v>336</v>
      </c>
      <c r="E2" s="102"/>
    </row>
    <row r="3" spans="1:5" x14ac:dyDescent="0.15">
      <c r="A3" s="102" t="s">
        <v>75</v>
      </c>
      <c r="B3" s="102" t="s">
        <v>2927</v>
      </c>
      <c r="C3" s="102">
        <v>235837</v>
      </c>
      <c r="D3" s="102" t="s">
        <v>75</v>
      </c>
      <c r="E3" s="102"/>
    </row>
    <row r="4" spans="1:5" x14ac:dyDescent="0.15">
      <c r="A4" s="102" t="s">
        <v>83</v>
      </c>
      <c r="B4" s="102" t="s">
        <v>2928</v>
      </c>
      <c r="C4" s="102">
        <v>235828</v>
      </c>
      <c r="D4" s="102" t="s">
        <v>83</v>
      </c>
      <c r="E4" s="102"/>
    </row>
    <row r="5" spans="1:5" x14ac:dyDescent="0.15">
      <c r="A5" s="102" t="s">
        <v>1095</v>
      </c>
      <c r="B5" s="102" t="s">
        <v>2929</v>
      </c>
      <c r="C5" s="102">
        <v>235558</v>
      </c>
      <c r="D5" s="102" t="s">
        <v>1095</v>
      </c>
      <c r="E5" s="102"/>
    </row>
    <row r="6" spans="1:5" x14ac:dyDescent="0.15">
      <c r="A6" s="102" t="s">
        <v>2930</v>
      </c>
      <c r="B6" s="102" t="s">
        <v>2931</v>
      </c>
      <c r="C6" s="102">
        <v>241810</v>
      </c>
      <c r="D6" s="102" t="s">
        <v>2930</v>
      </c>
      <c r="E6" s="102"/>
    </row>
    <row r="7" spans="1:5" x14ac:dyDescent="0.15">
      <c r="A7" s="102" t="s">
        <v>2932</v>
      </c>
      <c r="B7" s="102" t="s">
        <v>2933</v>
      </c>
      <c r="C7" s="102">
        <v>235557</v>
      </c>
      <c r="D7" s="102" t="s">
        <v>2932</v>
      </c>
      <c r="E7" s="102"/>
    </row>
    <row r="8" spans="1:5" x14ac:dyDescent="0.15">
      <c r="A8" s="102" t="s">
        <v>2934</v>
      </c>
      <c r="B8" s="102" t="s">
        <v>2935</v>
      </c>
      <c r="C8" s="102">
        <v>243933</v>
      </c>
      <c r="D8" s="102" t="s">
        <v>2934</v>
      </c>
      <c r="E8" s="102"/>
    </row>
    <row r="9" spans="1:5" x14ac:dyDescent="0.15">
      <c r="A9" s="102" t="s">
        <v>324</v>
      </c>
      <c r="B9" s="102" t="s">
        <v>2936</v>
      </c>
      <c r="C9" s="102">
        <v>235831</v>
      </c>
      <c r="D9" s="102" t="s">
        <v>324</v>
      </c>
      <c r="E9" s="102"/>
    </row>
    <row r="10" spans="1:5" x14ac:dyDescent="0.15">
      <c r="A10" s="102" t="s">
        <v>2899</v>
      </c>
      <c r="B10" s="102" t="s">
        <v>2937</v>
      </c>
      <c r="C10" s="102">
        <v>235778</v>
      </c>
      <c r="D10" s="102" t="s">
        <v>2899</v>
      </c>
      <c r="E10" s="102"/>
    </row>
    <row r="11" spans="1:5" x14ac:dyDescent="0.15">
      <c r="A11" s="102" t="s">
        <v>2938</v>
      </c>
      <c r="B11" s="102" t="s">
        <v>2939</v>
      </c>
      <c r="C11" s="102">
        <v>214453</v>
      </c>
      <c r="D11" s="102" t="s">
        <v>2938</v>
      </c>
      <c r="E11" s="102"/>
    </row>
    <row r="12" spans="1:5" x14ac:dyDescent="0.15">
      <c r="A12" s="102" t="s">
        <v>2940</v>
      </c>
      <c r="B12" s="102" t="s">
        <v>2941</v>
      </c>
      <c r="C12" s="102">
        <v>241806</v>
      </c>
      <c r="D12" s="102" t="s">
        <v>2940</v>
      </c>
      <c r="E12" s="102"/>
    </row>
    <row r="13" spans="1:5" x14ac:dyDescent="0.15">
      <c r="A13" s="102" t="s">
        <v>343</v>
      </c>
      <c r="B13" s="102" t="s">
        <v>2942</v>
      </c>
      <c r="C13" s="102">
        <v>235833</v>
      </c>
      <c r="D13" s="102" t="s">
        <v>343</v>
      </c>
      <c r="E13" s="102"/>
    </row>
    <row r="14" spans="1:5" x14ac:dyDescent="0.15">
      <c r="A14" s="102" t="s">
        <v>2943</v>
      </c>
      <c r="B14" s="102" t="s">
        <v>2944</v>
      </c>
      <c r="C14" s="102">
        <v>241812</v>
      </c>
      <c r="D14" s="102" t="s">
        <v>2943</v>
      </c>
      <c r="E14" s="102"/>
    </row>
    <row r="15" spans="1:5" x14ac:dyDescent="0.15">
      <c r="A15" s="102" t="s">
        <v>2945</v>
      </c>
      <c r="B15" s="102" t="s">
        <v>2946</v>
      </c>
      <c r="C15" s="102">
        <v>241805</v>
      </c>
      <c r="D15" s="102" t="s">
        <v>2945</v>
      </c>
      <c r="E15" s="102"/>
    </row>
    <row r="16" spans="1:5" x14ac:dyDescent="0.15">
      <c r="A16" s="102" t="s">
        <v>2947</v>
      </c>
      <c r="B16" s="102" t="s">
        <v>2948</v>
      </c>
      <c r="C16" s="102">
        <v>241809</v>
      </c>
      <c r="D16" s="102" t="s">
        <v>2947</v>
      </c>
      <c r="E16" s="102"/>
    </row>
    <row r="17" spans="1:5" x14ac:dyDescent="0.15">
      <c r="A17" s="102" t="s">
        <v>2949</v>
      </c>
      <c r="B17" s="102" t="s">
        <v>2950</v>
      </c>
      <c r="C17" s="102">
        <v>237575</v>
      </c>
      <c r="D17" s="102" t="s">
        <v>2949</v>
      </c>
      <c r="E17" s="102"/>
    </row>
    <row r="18" spans="1:5" x14ac:dyDescent="0.15">
      <c r="A18" s="102" t="s">
        <v>2951</v>
      </c>
      <c r="B18" s="102" t="s">
        <v>2941</v>
      </c>
      <c r="C18" s="102">
        <v>241808</v>
      </c>
      <c r="D18" s="102" t="s">
        <v>2951</v>
      </c>
      <c r="E18" s="102"/>
    </row>
    <row r="19" spans="1:5" x14ac:dyDescent="0.15">
      <c r="A19" s="102" t="s">
        <v>249</v>
      </c>
      <c r="B19" s="102" t="s">
        <v>2952</v>
      </c>
      <c r="C19" s="102">
        <v>235559</v>
      </c>
      <c r="D19" s="102" t="s">
        <v>249</v>
      </c>
      <c r="E19" s="102"/>
    </row>
    <row r="20" spans="1:5" x14ac:dyDescent="0.15">
      <c r="A20" s="102" t="s">
        <v>2953</v>
      </c>
      <c r="B20" s="102" t="s">
        <v>2954</v>
      </c>
      <c r="C20" s="102">
        <v>235829</v>
      </c>
      <c r="D20" s="102" t="s">
        <v>2953</v>
      </c>
      <c r="E20" s="102"/>
    </row>
    <row r="21" spans="1:5" x14ac:dyDescent="0.15">
      <c r="A21" s="102" t="s">
        <v>2955</v>
      </c>
      <c r="B21" s="102" t="s">
        <v>2956</v>
      </c>
      <c r="C21" s="102">
        <v>241804</v>
      </c>
      <c r="D21" s="102" t="s">
        <v>2955</v>
      </c>
      <c r="E21" s="102"/>
    </row>
    <row r="22" spans="1:5" x14ac:dyDescent="0.15">
      <c r="A22" s="102" t="s">
        <v>532</v>
      </c>
      <c r="B22" s="102" t="s">
        <v>2942</v>
      </c>
      <c r="C22" s="102">
        <v>235834</v>
      </c>
      <c r="D22" s="102" t="s">
        <v>532</v>
      </c>
      <c r="E22" s="102"/>
    </row>
    <row r="23" spans="1:5" x14ac:dyDescent="0.15">
      <c r="A23" s="102" t="s">
        <v>520</v>
      </c>
      <c r="B23" s="102" t="s">
        <v>2942</v>
      </c>
      <c r="C23" s="102">
        <v>235832</v>
      </c>
      <c r="D23" s="102" t="s">
        <v>520</v>
      </c>
      <c r="E23" s="102"/>
    </row>
    <row r="24" spans="1:5" x14ac:dyDescent="0.15">
      <c r="A24" s="102" t="s">
        <v>590</v>
      </c>
      <c r="B24" s="102" t="s">
        <v>2928</v>
      </c>
      <c r="C24" s="102">
        <v>235827</v>
      </c>
      <c r="D24" s="102" t="s">
        <v>590</v>
      </c>
      <c r="E24" s="102"/>
    </row>
    <row r="25" spans="1:5" x14ac:dyDescent="0.15">
      <c r="A25" s="102" t="s">
        <v>2957</v>
      </c>
      <c r="B25" s="102" t="s">
        <v>2958</v>
      </c>
      <c r="C25" s="102">
        <v>241834</v>
      </c>
      <c r="D25" s="102" t="s">
        <v>2957</v>
      </c>
      <c r="E25" s="102"/>
    </row>
    <row r="26" spans="1:5" x14ac:dyDescent="0.15">
      <c r="A26" s="102" t="s">
        <v>648</v>
      </c>
      <c r="B26" s="102" t="s">
        <v>2959</v>
      </c>
      <c r="C26" s="102">
        <v>235836</v>
      </c>
      <c r="D26" s="102" t="s">
        <v>648</v>
      </c>
      <c r="E26" s="102"/>
    </row>
    <row r="27" spans="1:5" x14ac:dyDescent="0.15">
      <c r="A27" s="102" t="s">
        <v>618</v>
      </c>
      <c r="B27" s="102" t="s">
        <v>2959</v>
      </c>
      <c r="C27" s="102">
        <v>235835</v>
      </c>
      <c r="D27" s="102" t="s">
        <v>618</v>
      </c>
      <c r="E27" s="102"/>
    </row>
    <row r="28" spans="1:5" x14ac:dyDescent="0.15">
      <c r="A28" s="102" t="s">
        <v>2960</v>
      </c>
      <c r="B28" s="102" t="s">
        <v>2944</v>
      </c>
      <c r="C28" s="102">
        <v>241811</v>
      </c>
      <c r="D28" s="102" t="s">
        <v>2960</v>
      </c>
      <c r="E28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25"/>
  <dimension ref="A1:E10"/>
  <sheetViews>
    <sheetView workbookViewId="0"/>
  </sheetViews>
  <sheetFormatPr baseColWidth="10" defaultColWidth="11" defaultRowHeight="13" x14ac:dyDescent="0.15"/>
  <cols>
    <col min="1" max="1" width="32" bestFit="1" customWidth="1"/>
    <col min="2" max="2" width="25.5" bestFit="1" customWidth="1"/>
    <col min="3" max="3" width="6.83203125" bestFit="1" customWidth="1"/>
    <col min="4" max="4" width="32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2961</v>
      </c>
      <c r="B2" s="102" t="s">
        <v>2962</v>
      </c>
      <c r="C2" s="102">
        <v>214980</v>
      </c>
      <c r="D2" s="102" t="s">
        <v>2961</v>
      </c>
      <c r="E2" s="102"/>
    </row>
    <row r="3" spans="1:5" x14ac:dyDescent="0.15">
      <c r="A3" s="102" t="s">
        <v>2963</v>
      </c>
      <c r="B3" s="102" t="s">
        <v>2964</v>
      </c>
      <c r="C3" s="102">
        <v>214798</v>
      </c>
      <c r="D3" s="102" t="s">
        <v>2963</v>
      </c>
      <c r="E3" s="102"/>
    </row>
    <row r="4" spans="1:5" x14ac:dyDescent="0.15">
      <c r="A4" s="102" t="s">
        <v>2965</v>
      </c>
      <c r="B4" s="102" t="s">
        <v>2966</v>
      </c>
      <c r="C4" s="102">
        <v>215922</v>
      </c>
      <c r="D4" s="102" t="s">
        <v>2965</v>
      </c>
      <c r="E4" s="102"/>
    </row>
    <row r="5" spans="1:5" x14ac:dyDescent="0.15">
      <c r="A5" s="102" t="s">
        <v>2967</v>
      </c>
      <c r="B5" s="102" t="s">
        <v>2968</v>
      </c>
      <c r="C5" s="102">
        <v>214954</v>
      </c>
      <c r="D5" s="102" t="s">
        <v>2967</v>
      </c>
      <c r="E5" s="102"/>
    </row>
    <row r="6" spans="1:5" x14ac:dyDescent="0.15">
      <c r="A6" s="102" t="s">
        <v>2969</v>
      </c>
      <c r="B6" s="102" t="s">
        <v>2970</v>
      </c>
      <c r="C6" s="102">
        <v>234637</v>
      </c>
      <c r="D6" s="102" t="s">
        <v>2969</v>
      </c>
      <c r="E6" s="102"/>
    </row>
    <row r="7" spans="1:5" x14ac:dyDescent="0.15">
      <c r="A7" s="102" t="s">
        <v>2971</v>
      </c>
      <c r="B7" s="102" t="s">
        <v>2972</v>
      </c>
      <c r="C7" s="102">
        <v>216157</v>
      </c>
      <c r="D7" s="102" t="s">
        <v>2971</v>
      </c>
      <c r="E7" s="102"/>
    </row>
    <row r="8" spans="1:5" x14ac:dyDescent="0.15">
      <c r="A8" s="102" t="s">
        <v>2973</v>
      </c>
      <c r="B8" s="102" t="s">
        <v>2974</v>
      </c>
      <c r="C8" s="102">
        <v>214799</v>
      </c>
      <c r="D8" s="102" t="s">
        <v>2973</v>
      </c>
      <c r="E8" s="102"/>
    </row>
    <row r="9" spans="1:5" x14ac:dyDescent="0.15">
      <c r="A9" s="102" t="s">
        <v>2975</v>
      </c>
      <c r="B9" s="102" t="s">
        <v>2976</v>
      </c>
      <c r="C9" s="102">
        <v>215370</v>
      </c>
      <c r="D9" s="102" t="s">
        <v>2975</v>
      </c>
      <c r="E9" s="102"/>
    </row>
    <row r="10" spans="1:5" x14ac:dyDescent="0.15">
      <c r="A10" s="102" t="s">
        <v>2977</v>
      </c>
      <c r="B10" s="102" t="s">
        <v>2978</v>
      </c>
      <c r="C10" s="102">
        <v>215131</v>
      </c>
      <c r="D10" s="102" t="s">
        <v>2977</v>
      </c>
      <c r="E10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26"/>
  <dimension ref="A1:E6"/>
  <sheetViews>
    <sheetView workbookViewId="0"/>
  </sheetViews>
  <sheetFormatPr baseColWidth="10" defaultColWidth="11" defaultRowHeight="13" x14ac:dyDescent="0.15"/>
  <cols>
    <col min="1" max="1" width="16" bestFit="1" customWidth="1"/>
    <col min="2" max="2" width="25.5" bestFit="1" customWidth="1"/>
    <col min="3" max="3" width="6.83203125" bestFit="1" customWidth="1"/>
    <col min="4" max="4" width="16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696</v>
      </c>
      <c r="B2" s="102" t="s">
        <v>2979</v>
      </c>
      <c r="C2" s="102">
        <v>235815</v>
      </c>
      <c r="D2" s="102" t="s">
        <v>696</v>
      </c>
      <c r="E2" s="102"/>
    </row>
    <row r="3" spans="1:5" x14ac:dyDescent="0.15">
      <c r="A3" s="102" t="s">
        <v>2980</v>
      </c>
      <c r="B3" s="102" t="s">
        <v>2981</v>
      </c>
      <c r="C3" s="102">
        <v>235855</v>
      </c>
      <c r="D3" s="102" t="s">
        <v>2980</v>
      </c>
      <c r="E3" s="102"/>
    </row>
    <row r="4" spans="1:5" x14ac:dyDescent="0.15">
      <c r="A4" s="102" t="s">
        <v>2982</v>
      </c>
      <c r="B4" s="102" t="s">
        <v>2983</v>
      </c>
      <c r="C4" s="102">
        <v>235854</v>
      </c>
      <c r="D4" s="102" t="s">
        <v>2982</v>
      </c>
      <c r="E4" s="102"/>
    </row>
    <row r="5" spans="1:5" x14ac:dyDescent="0.15">
      <c r="A5" s="102" t="s">
        <v>2984</v>
      </c>
      <c r="B5" s="102" t="s">
        <v>2985</v>
      </c>
      <c r="C5" s="102">
        <v>235856</v>
      </c>
      <c r="D5" s="102" t="s">
        <v>2984</v>
      </c>
      <c r="E5" s="102"/>
    </row>
    <row r="6" spans="1:5" x14ac:dyDescent="0.15">
      <c r="A6" s="102" t="s">
        <v>703</v>
      </c>
      <c r="B6" s="102" t="s">
        <v>2986</v>
      </c>
      <c r="C6" s="102">
        <v>235857</v>
      </c>
      <c r="D6" s="102" t="s">
        <v>703</v>
      </c>
      <c r="E6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27"/>
  <dimension ref="A1:E429"/>
  <sheetViews>
    <sheetView workbookViewId="0"/>
  </sheetViews>
  <sheetFormatPr baseColWidth="10" defaultColWidth="11" defaultRowHeight="13" x14ac:dyDescent="0.15"/>
  <cols>
    <col min="1" max="1" width="22.33203125" bestFit="1" customWidth="1"/>
    <col min="2" max="2" width="25.5" bestFit="1" customWidth="1"/>
    <col min="3" max="3" width="6.83203125" bestFit="1" customWidth="1"/>
    <col min="4" max="4" width="22.3320312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276</v>
      </c>
      <c r="B2" s="102" t="s">
        <v>2987</v>
      </c>
      <c r="C2" s="102">
        <v>236808</v>
      </c>
      <c r="D2" s="102" t="s">
        <v>276</v>
      </c>
      <c r="E2" s="102"/>
    </row>
    <row r="3" spans="1:5" x14ac:dyDescent="0.15">
      <c r="A3" s="102" t="s">
        <v>278</v>
      </c>
      <c r="B3" s="102" t="s">
        <v>2988</v>
      </c>
      <c r="C3" s="102">
        <v>237019</v>
      </c>
      <c r="D3" s="102" t="s">
        <v>278</v>
      </c>
      <c r="E3" s="102"/>
    </row>
    <row r="4" spans="1:5" x14ac:dyDescent="0.15">
      <c r="A4" s="102" t="s">
        <v>282</v>
      </c>
      <c r="B4" s="102" t="s">
        <v>1825</v>
      </c>
      <c r="C4" s="102">
        <v>85247</v>
      </c>
      <c r="D4" s="102" t="s">
        <v>282</v>
      </c>
      <c r="E4" s="102"/>
    </row>
    <row r="5" spans="1:5" x14ac:dyDescent="0.15">
      <c r="A5" s="102" t="s">
        <v>280</v>
      </c>
      <c r="B5" s="102" t="s">
        <v>2989</v>
      </c>
      <c r="C5" s="102">
        <v>236938</v>
      </c>
      <c r="D5" s="102" t="s">
        <v>280</v>
      </c>
      <c r="E5" s="102"/>
    </row>
    <row r="6" spans="1:5" x14ac:dyDescent="0.15">
      <c r="A6" s="102" t="s">
        <v>2990</v>
      </c>
      <c r="B6" s="102" t="s">
        <v>2991</v>
      </c>
      <c r="C6" s="102">
        <v>111851</v>
      </c>
      <c r="D6" s="102" t="s">
        <v>272</v>
      </c>
      <c r="E6" s="102"/>
    </row>
    <row r="7" spans="1:5" x14ac:dyDescent="0.15">
      <c r="A7" s="102" t="s">
        <v>296</v>
      </c>
      <c r="B7" s="102" t="s">
        <v>2992</v>
      </c>
      <c r="C7" s="102">
        <v>237020</v>
      </c>
      <c r="D7" s="102" t="s">
        <v>296</v>
      </c>
      <c r="E7" s="102"/>
    </row>
    <row r="8" spans="1:5" x14ac:dyDescent="0.15">
      <c r="A8" s="102" t="s">
        <v>271</v>
      </c>
      <c r="B8" s="102" t="s">
        <v>2993</v>
      </c>
      <c r="C8" s="102">
        <v>236899</v>
      </c>
      <c r="D8" s="102" t="s">
        <v>271</v>
      </c>
      <c r="E8" s="102"/>
    </row>
    <row r="9" spans="1:5" x14ac:dyDescent="0.15">
      <c r="A9" s="102" t="s">
        <v>270</v>
      </c>
      <c r="B9" s="102" t="s">
        <v>1825</v>
      </c>
      <c r="C9" s="102">
        <v>77631</v>
      </c>
      <c r="D9" s="102" t="s">
        <v>270</v>
      </c>
      <c r="E9" s="102"/>
    </row>
    <row r="10" spans="1:5" x14ac:dyDescent="0.15">
      <c r="A10" s="102" t="s">
        <v>79</v>
      </c>
      <c r="B10" s="102" t="s">
        <v>1825</v>
      </c>
      <c r="C10" s="102">
        <v>82152</v>
      </c>
      <c r="D10" s="102" t="s">
        <v>79</v>
      </c>
      <c r="E10" s="102"/>
    </row>
    <row r="11" spans="1:5" x14ac:dyDescent="0.15">
      <c r="A11" s="102" t="s">
        <v>289</v>
      </c>
      <c r="B11" s="102" t="s">
        <v>2993</v>
      </c>
      <c r="C11" s="102">
        <v>236900</v>
      </c>
      <c r="D11" s="102" t="s">
        <v>289</v>
      </c>
      <c r="E11" s="102"/>
    </row>
    <row r="12" spans="1:5" x14ac:dyDescent="0.15">
      <c r="A12" s="102" t="s">
        <v>275</v>
      </c>
      <c r="B12" s="102" t="s">
        <v>2994</v>
      </c>
      <c r="C12" s="102">
        <v>236784</v>
      </c>
      <c r="D12" s="102" t="s">
        <v>275</v>
      </c>
      <c r="E12" s="102"/>
    </row>
    <row r="13" spans="1:5" x14ac:dyDescent="0.15">
      <c r="A13" s="102" t="s">
        <v>283</v>
      </c>
      <c r="B13" s="102" t="s">
        <v>2995</v>
      </c>
      <c r="C13" s="102">
        <v>219691</v>
      </c>
      <c r="D13" s="102" t="s">
        <v>283</v>
      </c>
      <c r="E13" s="102"/>
    </row>
    <row r="14" spans="1:5" x14ac:dyDescent="0.15">
      <c r="A14" s="102" t="s">
        <v>273</v>
      </c>
      <c r="B14" s="102" t="s">
        <v>2996</v>
      </c>
      <c r="C14" s="102">
        <v>236828</v>
      </c>
      <c r="D14" s="102" t="s">
        <v>273</v>
      </c>
      <c r="E14" s="102"/>
    </row>
    <row r="15" spans="1:5" x14ac:dyDescent="0.15">
      <c r="A15" s="102" t="s">
        <v>274</v>
      </c>
      <c r="B15" s="102" t="s">
        <v>2997</v>
      </c>
      <c r="C15" s="102">
        <v>236751</v>
      </c>
      <c r="D15" s="102" t="s">
        <v>274</v>
      </c>
      <c r="E15" s="102"/>
    </row>
    <row r="16" spans="1:5" x14ac:dyDescent="0.15">
      <c r="A16" s="102" t="s">
        <v>292</v>
      </c>
      <c r="B16" s="102" t="s">
        <v>2997</v>
      </c>
      <c r="C16" s="102">
        <v>236752</v>
      </c>
      <c r="D16" s="102" t="s">
        <v>292</v>
      </c>
      <c r="E16" s="102"/>
    </row>
    <row r="17" spans="1:5" x14ac:dyDescent="0.15">
      <c r="A17" s="102" t="s">
        <v>293</v>
      </c>
      <c r="B17" s="102" t="s">
        <v>2994</v>
      </c>
      <c r="C17" s="102">
        <v>236785</v>
      </c>
      <c r="D17" s="102" t="s">
        <v>293</v>
      </c>
      <c r="E17" s="102"/>
    </row>
    <row r="18" spans="1:5" x14ac:dyDescent="0.15">
      <c r="A18" s="102" t="s">
        <v>285</v>
      </c>
      <c r="B18" s="102" t="s">
        <v>2998</v>
      </c>
      <c r="C18" s="102">
        <v>236887</v>
      </c>
      <c r="D18" s="102" t="s">
        <v>285</v>
      </c>
      <c r="E18" s="102"/>
    </row>
    <row r="19" spans="1:5" x14ac:dyDescent="0.15">
      <c r="A19" s="102" t="s">
        <v>301</v>
      </c>
      <c r="B19" s="102" t="s">
        <v>2999</v>
      </c>
      <c r="C19" s="102">
        <v>235984</v>
      </c>
      <c r="D19" s="102" t="s">
        <v>301</v>
      </c>
      <c r="E19" s="102"/>
    </row>
    <row r="20" spans="1:5" x14ac:dyDescent="0.15">
      <c r="A20" s="102" t="s">
        <v>318</v>
      </c>
      <c r="B20" s="102" t="s">
        <v>2999</v>
      </c>
      <c r="C20" s="102">
        <v>235985</v>
      </c>
      <c r="D20" s="102" t="s">
        <v>318</v>
      </c>
      <c r="E20" s="102"/>
    </row>
    <row r="21" spans="1:5" x14ac:dyDescent="0.15">
      <c r="A21" s="102" t="s">
        <v>309</v>
      </c>
      <c r="B21" s="102" t="s">
        <v>2997</v>
      </c>
      <c r="C21" s="102">
        <v>236753</v>
      </c>
      <c r="D21" s="102" t="s">
        <v>309</v>
      </c>
      <c r="E21" s="102"/>
    </row>
    <row r="22" spans="1:5" x14ac:dyDescent="0.15">
      <c r="A22" s="102" t="s">
        <v>310</v>
      </c>
      <c r="B22" s="102" t="s">
        <v>2994</v>
      </c>
      <c r="C22" s="102">
        <v>236786</v>
      </c>
      <c r="D22" s="102" t="s">
        <v>310</v>
      </c>
      <c r="E22" s="102"/>
    </row>
    <row r="23" spans="1:5" x14ac:dyDescent="0.15">
      <c r="A23" s="102" t="s">
        <v>313</v>
      </c>
      <c r="B23" s="102" t="s">
        <v>2992</v>
      </c>
      <c r="C23" s="102">
        <v>237021</v>
      </c>
      <c r="D23" s="102" t="s">
        <v>313</v>
      </c>
      <c r="E23" s="102"/>
    </row>
    <row r="24" spans="1:5" x14ac:dyDescent="0.15">
      <c r="A24" s="102" t="s">
        <v>281</v>
      </c>
      <c r="B24" s="102" t="s">
        <v>3000</v>
      </c>
      <c r="C24" s="102">
        <v>236979</v>
      </c>
      <c r="D24" s="102" t="s">
        <v>281</v>
      </c>
      <c r="E24" s="102"/>
    </row>
    <row r="25" spans="1:5" x14ac:dyDescent="0.15">
      <c r="A25" s="102" t="s">
        <v>269</v>
      </c>
      <c r="B25" s="102" t="s">
        <v>3001</v>
      </c>
      <c r="C25" s="102">
        <v>236850</v>
      </c>
      <c r="D25" s="102" t="s">
        <v>269</v>
      </c>
      <c r="E25" s="102"/>
    </row>
    <row r="26" spans="1:5" x14ac:dyDescent="0.15">
      <c r="A26" s="102" t="s">
        <v>299</v>
      </c>
      <c r="B26" s="102" t="s">
        <v>3000</v>
      </c>
      <c r="C26" s="102">
        <v>236980</v>
      </c>
      <c r="D26" s="102" t="s">
        <v>299</v>
      </c>
      <c r="E26" s="102"/>
    </row>
    <row r="27" spans="1:5" x14ac:dyDescent="0.15">
      <c r="A27" s="102" t="s">
        <v>331</v>
      </c>
      <c r="B27" s="102" t="s">
        <v>2992</v>
      </c>
      <c r="C27" s="102">
        <v>237022</v>
      </c>
      <c r="D27" s="102" t="s">
        <v>331</v>
      </c>
      <c r="E27" s="102"/>
    </row>
    <row r="28" spans="1:5" x14ac:dyDescent="0.15">
      <c r="A28" s="102" t="s">
        <v>316</v>
      </c>
      <c r="B28" s="102" t="s">
        <v>3000</v>
      </c>
      <c r="C28" s="102">
        <v>236981</v>
      </c>
      <c r="D28" s="102" t="s">
        <v>316</v>
      </c>
      <c r="E28" s="102"/>
    </row>
    <row r="29" spans="1:5" x14ac:dyDescent="0.15">
      <c r="A29" s="102" t="s">
        <v>336</v>
      </c>
      <c r="B29" s="102" t="s">
        <v>1825</v>
      </c>
      <c r="C29" s="102">
        <v>94528</v>
      </c>
      <c r="D29" s="102" t="s">
        <v>336</v>
      </c>
      <c r="E29" s="102"/>
    </row>
    <row r="30" spans="1:5" x14ac:dyDescent="0.15">
      <c r="A30" s="102" t="s">
        <v>300</v>
      </c>
      <c r="B30" s="102" t="s">
        <v>3002</v>
      </c>
      <c r="C30" s="102">
        <v>237002</v>
      </c>
      <c r="D30" s="102" t="s">
        <v>300</v>
      </c>
      <c r="E30" s="102"/>
    </row>
    <row r="31" spans="1:5" x14ac:dyDescent="0.15">
      <c r="A31" s="102" t="s">
        <v>348</v>
      </c>
      <c r="B31" s="102" t="s">
        <v>2992</v>
      </c>
      <c r="C31" s="102">
        <v>237023</v>
      </c>
      <c r="D31" s="102" t="s">
        <v>348</v>
      </c>
      <c r="E31" s="102"/>
    </row>
    <row r="32" spans="1:5" x14ac:dyDescent="0.15">
      <c r="A32" s="102" t="s">
        <v>288</v>
      </c>
      <c r="B32" s="102" t="s">
        <v>3003</v>
      </c>
      <c r="C32" s="102">
        <v>236840</v>
      </c>
      <c r="D32" s="102" t="s">
        <v>288</v>
      </c>
      <c r="E32" s="102"/>
    </row>
    <row r="33" spans="1:5" x14ac:dyDescent="0.15">
      <c r="A33" s="102" t="s">
        <v>334</v>
      </c>
      <c r="B33" s="102" t="s">
        <v>3000</v>
      </c>
      <c r="C33" s="102">
        <v>236982</v>
      </c>
      <c r="D33" s="102" t="s">
        <v>334</v>
      </c>
      <c r="E33" s="102"/>
    </row>
    <row r="34" spans="1:5" x14ac:dyDescent="0.15">
      <c r="A34" s="102" t="s">
        <v>268</v>
      </c>
      <c r="B34" s="102" t="s">
        <v>3004</v>
      </c>
      <c r="C34" s="102">
        <v>235961</v>
      </c>
      <c r="D34" s="102" t="s">
        <v>268</v>
      </c>
      <c r="E34" s="102"/>
    </row>
    <row r="35" spans="1:5" x14ac:dyDescent="0.15">
      <c r="A35" s="102" t="s">
        <v>294</v>
      </c>
      <c r="B35" s="102" t="s">
        <v>2987</v>
      </c>
      <c r="C35" s="102">
        <v>236809</v>
      </c>
      <c r="D35" s="102" t="s">
        <v>294</v>
      </c>
      <c r="E35" s="102"/>
    </row>
    <row r="36" spans="1:5" x14ac:dyDescent="0.15">
      <c r="A36" s="102" t="s">
        <v>366</v>
      </c>
      <c r="B36" s="102" t="s">
        <v>2992</v>
      </c>
      <c r="C36" s="102">
        <v>237024</v>
      </c>
      <c r="D36" s="102" t="s">
        <v>366</v>
      </c>
      <c r="E36" s="102"/>
    </row>
    <row r="37" spans="1:5" x14ac:dyDescent="0.15">
      <c r="A37" s="102" t="s">
        <v>284</v>
      </c>
      <c r="B37" s="102" t="s">
        <v>3004</v>
      </c>
      <c r="C37" s="102">
        <v>235962</v>
      </c>
      <c r="D37" s="102" t="s">
        <v>284</v>
      </c>
      <c r="E37" s="102"/>
    </row>
    <row r="38" spans="1:5" x14ac:dyDescent="0.15">
      <c r="A38" s="102" t="s">
        <v>328</v>
      </c>
      <c r="B38" s="102" t="s">
        <v>3005</v>
      </c>
      <c r="C38" s="102">
        <v>236787</v>
      </c>
      <c r="D38" s="102" t="s">
        <v>328</v>
      </c>
      <c r="E38" s="102"/>
    </row>
    <row r="39" spans="1:5" x14ac:dyDescent="0.15">
      <c r="A39" s="102" t="s">
        <v>384</v>
      </c>
      <c r="B39" s="102" t="s">
        <v>3006</v>
      </c>
      <c r="C39" s="102">
        <v>237025</v>
      </c>
      <c r="D39" s="102" t="s">
        <v>384</v>
      </c>
      <c r="E39" s="102"/>
    </row>
    <row r="40" spans="1:5" x14ac:dyDescent="0.15">
      <c r="A40" s="102" t="s">
        <v>305</v>
      </c>
      <c r="B40" s="102" t="s">
        <v>3003</v>
      </c>
      <c r="C40" s="102">
        <v>236841</v>
      </c>
      <c r="D40" s="102" t="s">
        <v>305</v>
      </c>
      <c r="E40" s="102"/>
    </row>
    <row r="41" spans="1:5" x14ac:dyDescent="0.15">
      <c r="A41" s="102" t="s">
        <v>323</v>
      </c>
      <c r="B41" s="102" t="s">
        <v>3007</v>
      </c>
      <c r="C41" s="102">
        <v>236842</v>
      </c>
      <c r="D41" s="102" t="s">
        <v>323</v>
      </c>
      <c r="E41" s="102"/>
    </row>
    <row r="42" spans="1:5" x14ac:dyDescent="0.15">
      <c r="A42" s="102" t="s">
        <v>75</v>
      </c>
      <c r="B42" s="102" t="s">
        <v>1825</v>
      </c>
      <c r="C42" s="102">
        <v>98787</v>
      </c>
      <c r="D42" s="102" t="s">
        <v>75</v>
      </c>
      <c r="E42" s="102"/>
    </row>
    <row r="43" spans="1:5" x14ac:dyDescent="0.15">
      <c r="A43" s="102" t="s">
        <v>402</v>
      </c>
      <c r="B43" s="102" t="s">
        <v>3006</v>
      </c>
      <c r="C43" s="102">
        <v>237026</v>
      </c>
      <c r="D43" s="102" t="s">
        <v>402</v>
      </c>
      <c r="E43" s="102"/>
    </row>
    <row r="44" spans="1:5" x14ac:dyDescent="0.15">
      <c r="A44" s="102" t="s">
        <v>353</v>
      </c>
      <c r="B44" s="102" t="s">
        <v>2999</v>
      </c>
      <c r="C44" s="102">
        <v>235986</v>
      </c>
      <c r="D44" s="102" t="s">
        <v>353</v>
      </c>
      <c r="E44" s="102"/>
    </row>
    <row r="45" spans="1:5" x14ac:dyDescent="0.15">
      <c r="A45" s="102" t="s">
        <v>317</v>
      </c>
      <c r="B45" s="102" t="s">
        <v>3002</v>
      </c>
      <c r="C45" s="102">
        <v>237003</v>
      </c>
      <c r="D45" s="102" t="s">
        <v>317</v>
      </c>
      <c r="E45" s="102"/>
    </row>
    <row r="46" spans="1:5" x14ac:dyDescent="0.15">
      <c r="A46" s="102" t="s">
        <v>279</v>
      </c>
      <c r="B46" s="102" t="s">
        <v>3008</v>
      </c>
      <c r="C46" s="102">
        <v>236914</v>
      </c>
      <c r="D46" s="102" t="s">
        <v>279</v>
      </c>
      <c r="E46" s="102"/>
    </row>
    <row r="47" spans="1:5" x14ac:dyDescent="0.15">
      <c r="A47" s="102" t="s">
        <v>83</v>
      </c>
      <c r="B47" s="102" t="s">
        <v>3009</v>
      </c>
      <c r="C47" s="102">
        <v>155133</v>
      </c>
      <c r="D47" s="102" t="s">
        <v>83</v>
      </c>
      <c r="E47" s="102"/>
    </row>
    <row r="48" spans="1:5" x14ac:dyDescent="0.15">
      <c r="A48" s="102" t="s">
        <v>287</v>
      </c>
      <c r="B48" s="102" t="s">
        <v>3010</v>
      </c>
      <c r="C48" s="102">
        <v>236851</v>
      </c>
      <c r="D48" s="102" t="s">
        <v>287</v>
      </c>
      <c r="E48" s="102"/>
    </row>
    <row r="49" spans="1:5" x14ac:dyDescent="0.15">
      <c r="A49" s="102" t="s">
        <v>351</v>
      </c>
      <c r="B49" s="102" t="s">
        <v>3000</v>
      </c>
      <c r="C49" s="102">
        <v>236983</v>
      </c>
      <c r="D49" s="102" t="s">
        <v>351</v>
      </c>
      <c r="E49" s="102"/>
    </row>
    <row r="50" spans="1:5" x14ac:dyDescent="0.15">
      <c r="A50" s="102" t="s">
        <v>420</v>
      </c>
      <c r="B50" s="102" t="s">
        <v>3011</v>
      </c>
      <c r="C50" s="102">
        <v>237027</v>
      </c>
      <c r="D50" s="102" t="s">
        <v>420</v>
      </c>
      <c r="E50" s="102"/>
    </row>
    <row r="51" spans="1:5" x14ac:dyDescent="0.15">
      <c r="A51" s="102" t="s">
        <v>345</v>
      </c>
      <c r="B51" s="102" t="s">
        <v>3005</v>
      </c>
      <c r="C51" s="102">
        <v>236788</v>
      </c>
      <c r="D51" s="102" t="s">
        <v>345</v>
      </c>
      <c r="E51" s="102"/>
    </row>
    <row r="52" spans="1:5" x14ac:dyDescent="0.15">
      <c r="A52" s="102" t="s">
        <v>327</v>
      </c>
      <c r="B52" s="102" t="s">
        <v>3012</v>
      </c>
      <c r="C52" s="102">
        <v>236754</v>
      </c>
      <c r="D52" s="102" t="s">
        <v>327</v>
      </c>
      <c r="E52" s="102"/>
    </row>
    <row r="53" spans="1:5" x14ac:dyDescent="0.15">
      <c r="A53" s="102" t="s">
        <v>371</v>
      </c>
      <c r="B53" s="102" t="s">
        <v>3013</v>
      </c>
      <c r="C53" s="102">
        <v>235987</v>
      </c>
      <c r="D53" s="102" t="s">
        <v>371</v>
      </c>
      <c r="E53" s="102"/>
    </row>
    <row r="54" spans="1:5" x14ac:dyDescent="0.15">
      <c r="A54" s="102" t="s">
        <v>306</v>
      </c>
      <c r="B54" s="102" t="s">
        <v>2993</v>
      </c>
      <c r="C54" s="102">
        <v>236901</v>
      </c>
      <c r="D54" s="102" t="s">
        <v>306</v>
      </c>
      <c r="E54" s="102"/>
    </row>
    <row r="55" spans="1:5" x14ac:dyDescent="0.15">
      <c r="A55" s="102" t="s">
        <v>298</v>
      </c>
      <c r="B55" s="102" t="s">
        <v>2989</v>
      </c>
      <c r="C55" s="102">
        <v>236939</v>
      </c>
      <c r="D55" s="102" t="s">
        <v>298</v>
      </c>
      <c r="E55" s="102"/>
    </row>
    <row r="56" spans="1:5" x14ac:dyDescent="0.15">
      <c r="A56" s="102" t="s">
        <v>320</v>
      </c>
      <c r="B56" s="102" t="s">
        <v>2998</v>
      </c>
      <c r="C56" s="102">
        <v>236888</v>
      </c>
      <c r="D56" s="102" t="s">
        <v>320</v>
      </c>
      <c r="E56" s="102"/>
    </row>
    <row r="57" spans="1:5" x14ac:dyDescent="0.15">
      <c r="A57" s="102" t="s">
        <v>302</v>
      </c>
      <c r="B57" s="102" t="s">
        <v>1825</v>
      </c>
      <c r="C57" s="102">
        <v>115312</v>
      </c>
      <c r="D57" s="102" t="s">
        <v>302</v>
      </c>
      <c r="E57" s="102"/>
    </row>
    <row r="58" spans="1:5" x14ac:dyDescent="0.15">
      <c r="A58" s="102" t="s">
        <v>315</v>
      </c>
      <c r="B58" s="102" t="s">
        <v>2989</v>
      </c>
      <c r="C58" s="102">
        <v>236940</v>
      </c>
      <c r="D58" s="102" t="s">
        <v>315</v>
      </c>
      <c r="E58" s="102"/>
    </row>
    <row r="59" spans="1:5" x14ac:dyDescent="0.15">
      <c r="A59" s="102" t="s">
        <v>338</v>
      </c>
      <c r="B59" s="102" t="s">
        <v>2998</v>
      </c>
      <c r="C59" s="102">
        <v>236889</v>
      </c>
      <c r="D59" s="102" t="s">
        <v>338</v>
      </c>
      <c r="E59" s="102"/>
    </row>
    <row r="60" spans="1:5" x14ac:dyDescent="0.15">
      <c r="A60" s="102" t="s">
        <v>333</v>
      </c>
      <c r="B60" s="102" t="s">
        <v>3014</v>
      </c>
      <c r="C60" s="102">
        <v>236941</v>
      </c>
      <c r="D60" s="102" t="s">
        <v>333</v>
      </c>
      <c r="E60" s="102"/>
    </row>
    <row r="61" spans="1:5" x14ac:dyDescent="0.15">
      <c r="A61" s="102" t="s">
        <v>389</v>
      </c>
      <c r="B61" s="102" t="s">
        <v>3013</v>
      </c>
      <c r="C61" s="102">
        <v>235988</v>
      </c>
      <c r="D61" s="102" t="s">
        <v>389</v>
      </c>
      <c r="E61" s="102"/>
    </row>
    <row r="62" spans="1:5" x14ac:dyDescent="0.15">
      <c r="A62" s="102" t="s">
        <v>297</v>
      </c>
      <c r="B62" s="102" t="s">
        <v>3008</v>
      </c>
      <c r="C62" s="102">
        <v>236915</v>
      </c>
      <c r="D62" s="102" t="s">
        <v>297</v>
      </c>
      <c r="E62" s="102"/>
    </row>
    <row r="63" spans="1:5" x14ac:dyDescent="0.15">
      <c r="A63" s="102" t="s">
        <v>438</v>
      </c>
      <c r="B63" s="102" t="s">
        <v>3011</v>
      </c>
      <c r="C63" s="102">
        <v>237028</v>
      </c>
      <c r="D63" s="102" t="s">
        <v>438</v>
      </c>
      <c r="E63" s="102"/>
    </row>
    <row r="64" spans="1:5" x14ac:dyDescent="0.15">
      <c r="A64" s="102" t="s">
        <v>341</v>
      </c>
      <c r="B64" s="102" t="s">
        <v>3007</v>
      </c>
      <c r="C64" s="102">
        <v>236843</v>
      </c>
      <c r="D64" s="102" t="s">
        <v>341</v>
      </c>
      <c r="E64" s="102"/>
    </row>
    <row r="65" spans="1:5" x14ac:dyDescent="0.15">
      <c r="A65" s="102" t="s">
        <v>291</v>
      </c>
      <c r="B65" s="102" t="s">
        <v>1825</v>
      </c>
      <c r="C65" s="102">
        <v>103323</v>
      </c>
      <c r="D65" s="102" t="s">
        <v>291</v>
      </c>
      <c r="E65" s="102"/>
    </row>
    <row r="66" spans="1:5" x14ac:dyDescent="0.15">
      <c r="A66" s="102" t="s">
        <v>456</v>
      </c>
      <c r="B66" s="102" t="s">
        <v>3011</v>
      </c>
      <c r="C66" s="102">
        <v>237029</v>
      </c>
      <c r="D66" s="102" t="s">
        <v>456</v>
      </c>
      <c r="E66" s="102"/>
    </row>
    <row r="67" spans="1:5" x14ac:dyDescent="0.15">
      <c r="A67" s="102" t="s">
        <v>407</v>
      </c>
      <c r="B67" s="102" t="s">
        <v>3013</v>
      </c>
      <c r="C67" s="102">
        <v>235989</v>
      </c>
      <c r="D67" s="102" t="s">
        <v>407</v>
      </c>
      <c r="E67" s="102"/>
    </row>
    <row r="68" spans="1:5" x14ac:dyDescent="0.15">
      <c r="A68" s="102" t="s">
        <v>355</v>
      </c>
      <c r="B68" s="102" t="s">
        <v>3015</v>
      </c>
      <c r="C68" s="102">
        <v>236890</v>
      </c>
      <c r="D68" s="102" t="s">
        <v>355</v>
      </c>
      <c r="E68" s="102"/>
    </row>
    <row r="69" spans="1:5" x14ac:dyDescent="0.15">
      <c r="A69" s="102" t="s">
        <v>319</v>
      </c>
      <c r="B69" s="102" t="s">
        <v>3016</v>
      </c>
      <c r="C69" s="102">
        <v>235963</v>
      </c>
      <c r="D69" s="102" t="s">
        <v>319</v>
      </c>
      <c r="E69" s="102"/>
    </row>
    <row r="70" spans="1:5" x14ac:dyDescent="0.15">
      <c r="A70" s="102" t="s">
        <v>425</v>
      </c>
      <c r="B70" s="102" t="s">
        <v>3013</v>
      </c>
      <c r="C70" s="102">
        <v>235990</v>
      </c>
      <c r="D70" s="102" t="s">
        <v>425</v>
      </c>
      <c r="E70" s="102"/>
    </row>
    <row r="71" spans="1:5" x14ac:dyDescent="0.15">
      <c r="A71" s="102" t="s">
        <v>363</v>
      </c>
      <c r="B71" s="102" t="s">
        <v>3005</v>
      </c>
      <c r="C71" s="102">
        <v>236789</v>
      </c>
      <c r="D71" s="102" t="s">
        <v>363</v>
      </c>
      <c r="E71" s="102"/>
    </row>
    <row r="72" spans="1:5" x14ac:dyDescent="0.15">
      <c r="A72" s="102" t="s">
        <v>443</v>
      </c>
      <c r="B72" s="102" t="s">
        <v>3017</v>
      </c>
      <c r="C72" s="102">
        <v>235991</v>
      </c>
      <c r="D72" s="102" t="s">
        <v>443</v>
      </c>
      <c r="E72" s="102"/>
    </row>
    <row r="73" spans="1:5" x14ac:dyDescent="0.15">
      <c r="A73" s="102" t="s">
        <v>474</v>
      </c>
      <c r="B73" s="102" t="s">
        <v>3011</v>
      </c>
      <c r="C73" s="102">
        <v>237030</v>
      </c>
      <c r="D73" s="102" t="s">
        <v>474</v>
      </c>
      <c r="E73" s="102"/>
    </row>
    <row r="74" spans="1:5" x14ac:dyDescent="0.15">
      <c r="A74" s="102" t="s">
        <v>277</v>
      </c>
      <c r="B74" s="102" t="s">
        <v>3018</v>
      </c>
      <c r="C74" s="102">
        <v>236959</v>
      </c>
      <c r="D74" s="102" t="s">
        <v>277</v>
      </c>
      <c r="E74" s="102"/>
    </row>
    <row r="75" spans="1:5" x14ac:dyDescent="0.15">
      <c r="A75" s="102" t="s">
        <v>308</v>
      </c>
      <c r="B75" s="102" t="s">
        <v>2996</v>
      </c>
      <c r="C75" s="102">
        <v>236829</v>
      </c>
      <c r="D75" s="102" t="s">
        <v>308</v>
      </c>
      <c r="E75" s="102"/>
    </row>
    <row r="76" spans="1:5" x14ac:dyDescent="0.15">
      <c r="A76" s="102" t="s">
        <v>286</v>
      </c>
      <c r="B76" s="102" t="s">
        <v>3019</v>
      </c>
      <c r="C76" s="102">
        <v>236864</v>
      </c>
      <c r="D76" s="102" t="s">
        <v>286</v>
      </c>
      <c r="E76" s="102"/>
    </row>
    <row r="77" spans="1:5" x14ac:dyDescent="0.15">
      <c r="A77" s="102" t="s">
        <v>381</v>
      </c>
      <c r="B77" s="102" t="s">
        <v>3005</v>
      </c>
      <c r="C77" s="102">
        <v>236790</v>
      </c>
      <c r="D77" s="102" t="s">
        <v>381</v>
      </c>
      <c r="E77" s="102"/>
    </row>
    <row r="78" spans="1:5" x14ac:dyDescent="0.15">
      <c r="A78" s="102" t="s">
        <v>303</v>
      </c>
      <c r="B78" s="102" t="s">
        <v>3019</v>
      </c>
      <c r="C78" s="102">
        <v>236865</v>
      </c>
      <c r="D78" s="102" t="s">
        <v>303</v>
      </c>
      <c r="E78" s="102"/>
    </row>
    <row r="79" spans="1:5" x14ac:dyDescent="0.15">
      <c r="A79" s="102" t="s">
        <v>350</v>
      </c>
      <c r="B79" s="102" t="s">
        <v>3014</v>
      </c>
      <c r="C79" s="102">
        <v>236942</v>
      </c>
      <c r="D79" s="102" t="s">
        <v>350</v>
      </c>
      <c r="E79" s="102"/>
    </row>
    <row r="80" spans="1:5" x14ac:dyDescent="0.15">
      <c r="A80" s="102" t="s">
        <v>337</v>
      </c>
      <c r="B80" s="102" t="s">
        <v>3016</v>
      </c>
      <c r="C80" s="102">
        <v>235964</v>
      </c>
      <c r="D80" s="102" t="s">
        <v>337</v>
      </c>
      <c r="E80" s="102"/>
    </row>
    <row r="81" spans="1:5" x14ac:dyDescent="0.15">
      <c r="A81" s="102" t="s">
        <v>295</v>
      </c>
      <c r="B81" s="102" t="s">
        <v>3018</v>
      </c>
      <c r="C81" s="102">
        <v>236960</v>
      </c>
      <c r="D81" s="102" t="s">
        <v>295</v>
      </c>
      <c r="E81" s="102"/>
    </row>
    <row r="82" spans="1:5" x14ac:dyDescent="0.15">
      <c r="A82" s="102" t="s">
        <v>324</v>
      </c>
      <c r="B82" s="102" t="s">
        <v>1825</v>
      </c>
      <c r="C82" s="102">
        <v>91659</v>
      </c>
      <c r="D82" s="102" t="s">
        <v>324</v>
      </c>
      <c r="E82" s="102"/>
    </row>
    <row r="83" spans="1:5" x14ac:dyDescent="0.15">
      <c r="A83" s="102" t="s">
        <v>324</v>
      </c>
      <c r="B83" s="102" t="s">
        <v>3020</v>
      </c>
      <c r="C83" s="102">
        <v>241188</v>
      </c>
      <c r="D83" s="102" t="s">
        <v>324</v>
      </c>
      <c r="E83" s="102"/>
    </row>
    <row r="84" spans="1:5" x14ac:dyDescent="0.15">
      <c r="A84" s="102" t="s">
        <v>373</v>
      </c>
      <c r="B84" s="102" t="s">
        <v>1825</v>
      </c>
      <c r="C84" s="102">
        <v>110652</v>
      </c>
      <c r="D84" s="102" t="s">
        <v>373</v>
      </c>
      <c r="E84" s="102"/>
    </row>
    <row r="85" spans="1:5" x14ac:dyDescent="0.15">
      <c r="A85" s="102" t="s">
        <v>358</v>
      </c>
      <c r="B85" s="102" t="s">
        <v>3021</v>
      </c>
      <c r="C85" s="102">
        <v>215884</v>
      </c>
      <c r="D85" s="102" t="s">
        <v>358</v>
      </c>
      <c r="E85" s="102"/>
    </row>
    <row r="86" spans="1:5" x14ac:dyDescent="0.15">
      <c r="A86" s="102" t="s">
        <v>312</v>
      </c>
      <c r="B86" s="102" t="s">
        <v>3022</v>
      </c>
      <c r="C86" s="102">
        <v>236961</v>
      </c>
      <c r="D86" s="102" t="s">
        <v>312</v>
      </c>
      <c r="E86" s="102"/>
    </row>
    <row r="87" spans="1:5" x14ac:dyDescent="0.15">
      <c r="A87" s="102" t="s">
        <v>344</v>
      </c>
      <c r="B87" s="102" t="s">
        <v>3023</v>
      </c>
      <c r="C87" s="102">
        <v>236756</v>
      </c>
      <c r="D87" s="102" t="s">
        <v>344</v>
      </c>
      <c r="E87" s="102"/>
    </row>
    <row r="88" spans="1:5" x14ac:dyDescent="0.15">
      <c r="A88" s="102" t="s">
        <v>311</v>
      </c>
      <c r="B88" s="102" t="s">
        <v>1928</v>
      </c>
      <c r="C88" s="102">
        <v>179442</v>
      </c>
      <c r="D88" s="102" t="s">
        <v>311</v>
      </c>
      <c r="E88" s="102"/>
    </row>
    <row r="89" spans="1:5" x14ac:dyDescent="0.15">
      <c r="A89" s="102" t="s">
        <v>461</v>
      </c>
      <c r="B89" s="102" t="s">
        <v>3017</v>
      </c>
      <c r="C89" s="102">
        <v>235992</v>
      </c>
      <c r="D89" s="102" t="s">
        <v>461</v>
      </c>
      <c r="E89" s="102"/>
    </row>
    <row r="90" spans="1:5" x14ac:dyDescent="0.15">
      <c r="A90" s="102" t="s">
        <v>304</v>
      </c>
      <c r="B90" s="102" t="s">
        <v>3010</v>
      </c>
      <c r="C90" s="102">
        <v>236852</v>
      </c>
      <c r="D90" s="102" t="s">
        <v>304</v>
      </c>
      <c r="E90" s="102"/>
    </row>
    <row r="91" spans="1:5" x14ac:dyDescent="0.15">
      <c r="A91" s="102" t="s">
        <v>399</v>
      </c>
      <c r="B91" s="102" t="s">
        <v>3024</v>
      </c>
      <c r="C91" s="102">
        <v>236791</v>
      </c>
      <c r="D91" s="102" t="s">
        <v>399</v>
      </c>
      <c r="E91" s="102"/>
    </row>
    <row r="92" spans="1:5" x14ac:dyDescent="0.15">
      <c r="A92" s="102" t="s">
        <v>335</v>
      </c>
      <c r="B92" s="102" t="s">
        <v>3002</v>
      </c>
      <c r="C92" s="102">
        <v>237004</v>
      </c>
      <c r="D92" s="102" t="s">
        <v>335</v>
      </c>
      <c r="E92" s="102"/>
    </row>
    <row r="93" spans="1:5" x14ac:dyDescent="0.15">
      <c r="A93" s="102" t="s">
        <v>417</v>
      </c>
      <c r="B93" s="102" t="s">
        <v>3024</v>
      </c>
      <c r="C93" s="102">
        <v>236792</v>
      </c>
      <c r="D93" s="102" t="s">
        <v>417</v>
      </c>
      <c r="E93" s="102"/>
    </row>
    <row r="94" spans="1:5" x14ac:dyDescent="0.15">
      <c r="A94" s="102" t="s">
        <v>314</v>
      </c>
      <c r="B94" s="102" t="s">
        <v>3008</v>
      </c>
      <c r="C94" s="102">
        <v>236916</v>
      </c>
      <c r="D94" s="102" t="s">
        <v>314</v>
      </c>
      <c r="E94" s="102"/>
    </row>
    <row r="95" spans="1:5" x14ac:dyDescent="0.15">
      <c r="A95" s="102" t="s">
        <v>492</v>
      </c>
      <c r="B95" s="102" t="s">
        <v>3025</v>
      </c>
      <c r="C95" s="102">
        <v>237031</v>
      </c>
      <c r="D95" s="102" t="s">
        <v>492</v>
      </c>
      <c r="E95" s="102"/>
    </row>
    <row r="96" spans="1:5" x14ac:dyDescent="0.15">
      <c r="A96" s="102" t="s">
        <v>362</v>
      </c>
      <c r="B96" s="102" t="s">
        <v>3023</v>
      </c>
      <c r="C96" s="102">
        <v>236757</v>
      </c>
      <c r="D96" s="102" t="s">
        <v>362</v>
      </c>
      <c r="E96" s="102"/>
    </row>
    <row r="97" spans="1:5" x14ac:dyDescent="0.15">
      <c r="A97" s="102" t="s">
        <v>380</v>
      </c>
      <c r="B97" s="102" t="s">
        <v>3023</v>
      </c>
      <c r="C97" s="102">
        <v>236758</v>
      </c>
      <c r="D97" s="102" t="s">
        <v>380</v>
      </c>
      <c r="E97" s="102"/>
    </row>
    <row r="98" spans="1:5" x14ac:dyDescent="0.15">
      <c r="A98" s="102" t="s">
        <v>391</v>
      </c>
      <c r="B98" s="102" t="s">
        <v>1825</v>
      </c>
      <c r="C98" s="102">
        <v>103242</v>
      </c>
      <c r="D98" s="102" t="s">
        <v>391</v>
      </c>
      <c r="E98" s="102"/>
    </row>
    <row r="99" spans="1:5" x14ac:dyDescent="0.15">
      <c r="A99" s="102" t="s">
        <v>376</v>
      </c>
      <c r="B99" s="102" t="s">
        <v>3007</v>
      </c>
      <c r="C99" s="102">
        <v>236844</v>
      </c>
      <c r="D99" s="102" t="s">
        <v>376</v>
      </c>
      <c r="E99" s="102"/>
    </row>
    <row r="100" spans="1:5" x14ac:dyDescent="0.15">
      <c r="A100" s="102" t="s">
        <v>354</v>
      </c>
      <c r="B100" s="102" t="s">
        <v>3016</v>
      </c>
      <c r="C100" s="102">
        <v>235965</v>
      </c>
      <c r="D100" s="102" t="s">
        <v>354</v>
      </c>
      <c r="E100" s="102"/>
    </row>
    <row r="101" spans="1:5" x14ac:dyDescent="0.15">
      <c r="A101" s="102" t="s">
        <v>332</v>
      </c>
      <c r="B101" s="102" t="s">
        <v>3008</v>
      </c>
      <c r="C101" s="102">
        <v>236917</v>
      </c>
      <c r="D101" s="102" t="s">
        <v>332</v>
      </c>
      <c r="E101" s="102"/>
    </row>
    <row r="102" spans="1:5" x14ac:dyDescent="0.15">
      <c r="A102" s="102" t="s">
        <v>435</v>
      </c>
      <c r="B102" s="102" t="s">
        <v>3024</v>
      </c>
      <c r="C102" s="102">
        <v>236793</v>
      </c>
      <c r="D102" s="102" t="s">
        <v>435</v>
      </c>
      <c r="E102" s="102"/>
    </row>
    <row r="103" spans="1:5" x14ac:dyDescent="0.15">
      <c r="A103" s="102" t="s">
        <v>321</v>
      </c>
      <c r="B103" s="102" t="s">
        <v>3019</v>
      </c>
      <c r="C103" s="102">
        <v>236866</v>
      </c>
      <c r="D103" s="102" t="s">
        <v>321</v>
      </c>
      <c r="E103" s="102"/>
    </row>
    <row r="104" spans="1:5" x14ac:dyDescent="0.15">
      <c r="A104" s="102" t="s">
        <v>349</v>
      </c>
      <c r="B104" s="102" t="s">
        <v>3026</v>
      </c>
      <c r="C104" s="102">
        <v>236918</v>
      </c>
      <c r="D104" s="102" t="s">
        <v>349</v>
      </c>
      <c r="E104" s="102"/>
    </row>
    <row r="105" spans="1:5" x14ac:dyDescent="0.15">
      <c r="A105" s="102" t="s">
        <v>509</v>
      </c>
      <c r="B105" s="102" t="s">
        <v>3025</v>
      </c>
      <c r="C105" s="102">
        <v>237032</v>
      </c>
      <c r="D105" s="102" t="s">
        <v>509</v>
      </c>
      <c r="E105" s="102"/>
    </row>
    <row r="106" spans="1:5" x14ac:dyDescent="0.15">
      <c r="A106" s="102" t="s">
        <v>479</v>
      </c>
      <c r="B106" s="102" t="s">
        <v>3017</v>
      </c>
      <c r="C106" s="102">
        <v>235993</v>
      </c>
      <c r="D106" s="102" t="s">
        <v>479</v>
      </c>
      <c r="E106" s="102"/>
    </row>
    <row r="107" spans="1:5" x14ac:dyDescent="0.15">
      <c r="A107" s="102" t="s">
        <v>369</v>
      </c>
      <c r="B107" s="102" t="s">
        <v>3027</v>
      </c>
      <c r="C107" s="102">
        <v>236984</v>
      </c>
      <c r="D107" s="102" t="s">
        <v>369</v>
      </c>
      <c r="E107" s="102"/>
    </row>
    <row r="108" spans="1:5" x14ac:dyDescent="0.15">
      <c r="A108" s="102" t="s">
        <v>394</v>
      </c>
      <c r="B108" s="102" t="s">
        <v>3028</v>
      </c>
      <c r="C108" s="102">
        <v>236013</v>
      </c>
      <c r="D108" s="102" t="s">
        <v>394</v>
      </c>
      <c r="E108" s="102"/>
    </row>
    <row r="109" spans="1:5" x14ac:dyDescent="0.15">
      <c r="A109" s="102" t="s">
        <v>3029</v>
      </c>
      <c r="B109" s="102" t="s">
        <v>1825</v>
      </c>
      <c r="C109" s="102">
        <v>110960</v>
      </c>
      <c r="D109" s="102" t="s">
        <v>330</v>
      </c>
      <c r="E109" s="102"/>
    </row>
    <row r="110" spans="1:5" x14ac:dyDescent="0.15">
      <c r="A110" s="102" t="s">
        <v>368</v>
      </c>
      <c r="B110" s="102" t="s">
        <v>3014</v>
      </c>
      <c r="C110" s="102">
        <v>236943</v>
      </c>
      <c r="D110" s="102" t="s">
        <v>368</v>
      </c>
      <c r="E110" s="102"/>
    </row>
    <row r="111" spans="1:5" x14ac:dyDescent="0.15">
      <c r="A111" s="102" t="s">
        <v>453</v>
      </c>
      <c r="B111" s="102" t="s">
        <v>3030</v>
      </c>
      <c r="C111" s="102">
        <v>236795</v>
      </c>
      <c r="D111" s="102" t="s">
        <v>453</v>
      </c>
      <c r="E111" s="102"/>
    </row>
    <row r="112" spans="1:5" x14ac:dyDescent="0.15">
      <c r="A112" s="102" t="s">
        <v>526</v>
      </c>
      <c r="B112" s="102" t="s">
        <v>3025</v>
      </c>
      <c r="C112" s="102">
        <v>237033</v>
      </c>
      <c r="D112" s="102" t="s">
        <v>526</v>
      </c>
      <c r="E112" s="102"/>
    </row>
    <row r="113" spans="1:5" x14ac:dyDescent="0.15">
      <c r="A113" s="102" t="s">
        <v>3031</v>
      </c>
      <c r="B113" s="102" t="s">
        <v>3032</v>
      </c>
      <c r="C113" s="102">
        <v>228639</v>
      </c>
      <c r="D113" s="102" t="s">
        <v>359</v>
      </c>
      <c r="E113" s="102"/>
    </row>
    <row r="114" spans="1:5" x14ac:dyDescent="0.15">
      <c r="A114" s="102" t="s">
        <v>398</v>
      </c>
      <c r="B114" s="102" t="s">
        <v>3033</v>
      </c>
      <c r="C114" s="102">
        <v>236759</v>
      </c>
      <c r="D114" s="102" t="s">
        <v>398</v>
      </c>
      <c r="E114" s="102"/>
    </row>
    <row r="115" spans="1:5" x14ac:dyDescent="0.15">
      <c r="A115" s="102" t="s">
        <v>386</v>
      </c>
      <c r="B115" s="102" t="s">
        <v>3014</v>
      </c>
      <c r="C115" s="102">
        <v>236944</v>
      </c>
      <c r="D115" s="102" t="s">
        <v>386</v>
      </c>
      <c r="E115" s="102"/>
    </row>
    <row r="116" spans="1:5" x14ac:dyDescent="0.15">
      <c r="A116" s="102" t="s">
        <v>541</v>
      </c>
      <c r="B116" s="102" t="s">
        <v>3034</v>
      </c>
      <c r="C116" s="102">
        <v>223379</v>
      </c>
      <c r="D116" s="102" t="s">
        <v>541</v>
      </c>
      <c r="E116" s="102"/>
    </row>
    <row r="117" spans="1:5" x14ac:dyDescent="0.15">
      <c r="A117" s="102" t="s">
        <v>352</v>
      </c>
      <c r="B117" s="102" t="s">
        <v>3002</v>
      </c>
      <c r="C117" s="102">
        <v>237005</v>
      </c>
      <c r="D117" s="102" t="s">
        <v>352</v>
      </c>
      <c r="E117" s="102"/>
    </row>
    <row r="118" spans="1:5" x14ac:dyDescent="0.15">
      <c r="A118" s="102" t="s">
        <v>416</v>
      </c>
      <c r="B118" s="102" t="s">
        <v>3033</v>
      </c>
      <c r="C118" s="102">
        <v>236760</v>
      </c>
      <c r="D118" s="102" t="s">
        <v>416</v>
      </c>
      <c r="E118" s="102"/>
    </row>
    <row r="119" spans="1:5" x14ac:dyDescent="0.15">
      <c r="A119" s="102" t="s">
        <v>434</v>
      </c>
      <c r="B119" s="102" t="s">
        <v>3033</v>
      </c>
      <c r="C119" s="102">
        <v>236761</v>
      </c>
      <c r="D119" s="102" t="s">
        <v>434</v>
      </c>
      <c r="E119" s="102"/>
    </row>
    <row r="120" spans="1:5" x14ac:dyDescent="0.15">
      <c r="A120" s="102" t="s">
        <v>387</v>
      </c>
      <c r="B120" s="102" t="s">
        <v>1825</v>
      </c>
      <c r="C120" s="102">
        <v>111974</v>
      </c>
      <c r="D120" s="102" t="s">
        <v>387</v>
      </c>
      <c r="E120" s="102"/>
    </row>
    <row r="121" spans="1:5" x14ac:dyDescent="0.15">
      <c r="A121" s="102" t="s">
        <v>370</v>
      </c>
      <c r="B121" s="102" t="s">
        <v>3035</v>
      </c>
      <c r="C121" s="102">
        <v>237006</v>
      </c>
      <c r="D121" s="102" t="s">
        <v>370</v>
      </c>
      <c r="E121" s="102"/>
    </row>
    <row r="122" spans="1:5" x14ac:dyDescent="0.15">
      <c r="A122" s="102" t="s">
        <v>556</v>
      </c>
      <c r="B122" s="102" t="s">
        <v>3025</v>
      </c>
      <c r="C122" s="102">
        <v>237034</v>
      </c>
      <c r="D122" s="102" t="s">
        <v>556</v>
      </c>
      <c r="E122" s="102"/>
    </row>
    <row r="123" spans="1:5" x14ac:dyDescent="0.15">
      <c r="A123" s="102" t="s">
        <v>372</v>
      </c>
      <c r="B123" s="102" t="s">
        <v>1825</v>
      </c>
      <c r="C123" s="102">
        <v>115457</v>
      </c>
      <c r="D123" s="102" t="s">
        <v>372</v>
      </c>
      <c r="E123" s="102"/>
    </row>
    <row r="124" spans="1:5" x14ac:dyDescent="0.15">
      <c r="A124" s="102" t="s">
        <v>329</v>
      </c>
      <c r="B124" s="102" t="s">
        <v>2987</v>
      </c>
      <c r="C124" s="102">
        <v>236810</v>
      </c>
      <c r="D124" s="102" t="s">
        <v>329</v>
      </c>
      <c r="E124" s="102"/>
    </row>
    <row r="125" spans="1:5" x14ac:dyDescent="0.15">
      <c r="A125" s="102" t="s">
        <v>570</v>
      </c>
      <c r="B125" s="102" t="s">
        <v>3036</v>
      </c>
      <c r="C125" s="102">
        <v>237035</v>
      </c>
      <c r="D125" s="102" t="s">
        <v>570</v>
      </c>
      <c r="E125" s="102"/>
    </row>
    <row r="126" spans="1:5" x14ac:dyDescent="0.15">
      <c r="A126" s="102" t="s">
        <v>339</v>
      </c>
      <c r="B126" s="102" t="s">
        <v>3019</v>
      </c>
      <c r="C126" s="102">
        <v>236867</v>
      </c>
      <c r="D126" s="102" t="s">
        <v>339</v>
      </c>
      <c r="E126" s="102"/>
    </row>
    <row r="127" spans="1:5" x14ac:dyDescent="0.15">
      <c r="A127" s="102" t="s">
        <v>584</v>
      </c>
      <c r="B127" s="102" t="s">
        <v>3037</v>
      </c>
      <c r="C127" s="102">
        <v>237036</v>
      </c>
      <c r="D127" s="102" t="s">
        <v>584</v>
      </c>
      <c r="E127" s="102"/>
    </row>
    <row r="128" spans="1:5" x14ac:dyDescent="0.15">
      <c r="A128" s="102" t="s">
        <v>452</v>
      </c>
      <c r="B128" s="102" t="s">
        <v>1928</v>
      </c>
      <c r="C128" s="102">
        <v>205119</v>
      </c>
      <c r="D128" s="102" t="s">
        <v>452</v>
      </c>
      <c r="E128" s="102"/>
    </row>
    <row r="129" spans="1:5" x14ac:dyDescent="0.15">
      <c r="A129" s="102" t="s">
        <v>346</v>
      </c>
      <c r="B129" s="102" t="s">
        <v>3038</v>
      </c>
      <c r="C129" s="102">
        <v>236811</v>
      </c>
      <c r="D129" s="102" t="s">
        <v>346</v>
      </c>
      <c r="E129" s="102"/>
    </row>
    <row r="130" spans="1:5" x14ac:dyDescent="0.15">
      <c r="A130" s="102" t="s">
        <v>322</v>
      </c>
      <c r="B130" s="102" t="s">
        <v>3010</v>
      </c>
      <c r="C130" s="102">
        <v>236853</v>
      </c>
      <c r="D130" s="102" t="s">
        <v>322</v>
      </c>
      <c r="E130" s="102"/>
    </row>
    <row r="131" spans="1:5" x14ac:dyDescent="0.15">
      <c r="A131" s="102" t="s">
        <v>390</v>
      </c>
      <c r="B131" s="102" t="s">
        <v>3039</v>
      </c>
      <c r="C131" s="102">
        <v>235966</v>
      </c>
      <c r="D131" s="102" t="s">
        <v>390</v>
      </c>
      <c r="E131" s="102"/>
    </row>
    <row r="132" spans="1:5" x14ac:dyDescent="0.15">
      <c r="A132" s="102" t="s">
        <v>377</v>
      </c>
      <c r="B132" s="102" t="s">
        <v>2993</v>
      </c>
      <c r="C132" s="102">
        <v>236902</v>
      </c>
      <c r="D132" s="102" t="s">
        <v>377</v>
      </c>
      <c r="E132" s="102"/>
    </row>
    <row r="133" spans="1:5" x14ac:dyDescent="0.15">
      <c r="A133" s="102" t="s">
        <v>290</v>
      </c>
      <c r="B133" s="102" t="s">
        <v>2991</v>
      </c>
      <c r="C133" s="102">
        <v>236880</v>
      </c>
      <c r="D133" s="102" t="s">
        <v>290</v>
      </c>
      <c r="E133" s="102"/>
    </row>
    <row r="134" spans="1:5" x14ac:dyDescent="0.15">
      <c r="A134" s="102" t="s">
        <v>356</v>
      </c>
      <c r="B134" s="102" t="s">
        <v>3040</v>
      </c>
      <c r="C134" s="102">
        <v>236868</v>
      </c>
      <c r="D134" s="102" t="s">
        <v>356</v>
      </c>
      <c r="E134" s="102"/>
    </row>
    <row r="135" spans="1:5" x14ac:dyDescent="0.15">
      <c r="A135" s="102" t="s">
        <v>374</v>
      </c>
      <c r="B135" s="102" t="s">
        <v>3040</v>
      </c>
      <c r="C135" s="102">
        <v>236869</v>
      </c>
      <c r="D135" s="102" t="s">
        <v>374</v>
      </c>
      <c r="E135" s="102"/>
    </row>
    <row r="136" spans="1:5" x14ac:dyDescent="0.15">
      <c r="A136" s="102" t="s">
        <v>307</v>
      </c>
      <c r="B136" s="102" t="s">
        <v>2991</v>
      </c>
      <c r="C136" s="102">
        <v>236881</v>
      </c>
      <c r="D136" s="102" t="s">
        <v>307</v>
      </c>
      <c r="E136" s="102"/>
    </row>
    <row r="137" spans="1:5" x14ac:dyDescent="0.15">
      <c r="A137" s="102" t="s">
        <v>364</v>
      </c>
      <c r="B137" s="102" t="s">
        <v>3038</v>
      </c>
      <c r="C137" s="102">
        <v>236812</v>
      </c>
      <c r="D137" s="102" t="s">
        <v>364</v>
      </c>
      <c r="E137" s="102"/>
    </row>
    <row r="138" spans="1:5" x14ac:dyDescent="0.15">
      <c r="A138" s="102" t="s">
        <v>471</v>
      </c>
      <c r="B138" s="102" t="s">
        <v>3030</v>
      </c>
      <c r="C138" s="102">
        <v>236794</v>
      </c>
      <c r="D138" s="102" t="s">
        <v>471</v>
      </c>
      <c r="E138" s="102"/>
    </row>
    <row r="139" spans="1:5" x14ac:dyDescent="0.15">
      <c r="A139" s="102" t="s">
        <v>325</v>
      </c>
      <c r="B139" s="102" t="s">
        <v>1825</v>
      </c>
      <c r="C139" s="102">
        <v>120261</v>
      </c>
      <c r="D139" s="102" t="s">
        <v>325</v>
      </c>
      <c r="E139" s="102"/>
    </row>
    <row r="140" spans="1:5" x14ac:dyDescent="0.15">
      <c r="A140" s="102" t="s">
        <v>409</v>
      </c>
      <c r="B140" s="102" t="s">
        <v>3015</v>
      </c>
      <c r="C140" s="102">
        <v>236891</v>
      </c>
      <c r="D140" s="102" t="s">
        <v>409</v>
      </c>
      <c r="E140" s="102"/>
    </row>
    <row r="141" spans="1:5" x14ac:dyDescent="0.15">
      <c r="A141" s="102" t="s">
        <v>392</v>
      </c>
      <c r="B141" s="102" t="s">
        <v>3040</v>
      </c>
      <c r="C141" s="102">
        <v>236870</v>
      </c>
      <c r="D141" s="102" t="s">
        <v>392</v>
      </c>
      <c r="E141" s="102"/>
    </row>
    <row r="142" spans="1:5" x14ac:dyDescent="0.15">
      <c r="A142" s="102" t="s">
        <v>395</v>
      </c>
      <c r="B142" s="102" t="s">
        <v>3041</v>
      </c>
      <c r="C142" s="102">
        <v>236903</v>
      </c>
      <c r="D142" s="102" t="s">
        <v>395</v>
      </c>
      <c r="E142" s="102"/>
    </row>
    <row r="143" spans="1:5" x14ac:dyDescent="0.15">
      <c r="A143" s="102" t="s">
        <v>489</v>
      </c>
      <c r="B143" s="102" t="s">
        <v>3030</v>
      </c>
      <c r="C143" s="102">
        <v>236796</v>
      </c>
      <c r="D143" s="102" t="s">
        <v>489</v>
      </c>
      <c r="E143" s="102"/>
    </row>
    <row r="144" spans="1:5" x14ac:dyDescent="0.15">
      <c r="A144" s="102" t="s">
        <v>326</v>
      </c>
      <c r="B144" s="102" t="s">
        <v>2996</v>
      </c>
      <c r="C144" s="102">
        <v>236830</v>
      </c>
      <c r="D144" s="102" t="s">
        <v>326</v>
      </c>
      <c r="E144" s="102"/>
    </row>
    <row r="145" spans="1:5" x14ac:dyDescent="0.15">
      <c r="A145" s="102" t="s">
        <v>506</v>
      </c>
      <c r="B145" s="102" t="s">
        <v>3030</v>
      </c>
      <c r="C145" s="102">
        <v>236797</v>
      </c>
      <c r="D145" s="102" t="s">
        <v>506</v>
      </c>
      <c r="E145" s="102"/>
    </row>
    <row r="146" spans="1:5" x14ac:dyDescent="0.15">
      <c r="A146" s="102" t="s">
        <v>347</v>
      </c>
      <c r="B146" s="102" t="s">
        <v>3022</v>
      </c>
      <c r="C146" s="102">
        <v>236962</v>
      </c>
      <c r="D146" s="102" t="s">
        <v>347</v>
      </c>
      <c r="E146" s="102"/>
    </row>
    <row r="147" spans="1:5" x14ac:dyDescent="0.15">
      <c r="A147" s="102" t="s">
        <v>408</v>
      </c>
      <c r="B147" s="102" t="s">
        <v>3039</v>
      </c>
      <c r="C147" s="102">
        <v>235967</v>
      </c>
      <c r="D147" s="102" t="s">
        <v>408</v>
      </c>
      <c r="E147" s="102"/>
    </row>
    <row r="148" spans="1:5" x14ac:dyDescent="0.15">
      <c r="A148" s="102" t="s">
        <v>405</v>
      </c>
      <c r="B148" s="102" t="s">
        <v>3027</v>
      </c>
      <c r="C148" s="102">
        <v>236985</v>
      </c>
      <c r="D148" s="102" t="s">
        <v>405</v>
      </c>
      <c r="E148" s="102"/>
    </row>
    <row r="149" spans="1:5" x14ac:dyDescent="0.15">
      <c r="A149" s="102" t="s">
        <v>365</v>
      </c>
      <c r="B149" s="102" t="s">
        <v>3022</v>
      </c>
      <c r="C149" s="102">
        <v>236963</v>
      </c>
      <c r="D149" s="102" t="s">
        <v>365</v>
      </c>
      <c r="E149" s="102"/>
    </row>
    <row r="150" spans="1:5" x14ac:dyDescent="0.15">
      <c r="A150" s="102" t="s">
        <v>412</v>
      </c>
      <c r="B150" s="102" t="s">
        <v>3042</v>
      </c>
      <c r="C150" s="102">
        <v>236845</v>
      </c>
      <c r="D150" s="102" t="s">
        <v>412</v>
      </c>
      <c r="E150" s="102"/>
    </row>
    <row r="151" spans="1:5" x14ac:dyDescent="0.15">
      <c r="A151" s="102" t="s">
        <v>367</v>
      </c>
      <c r="B151" s="102" t="s">
        <v>3026</v>
      </c>
      <c r="C151" s="102">
        <v>236919</v>
      </c>
      <c r="D151" s="102" t="s">
        <v>367</v>
      </c>
      <c r="E151" s="102"/>
    </row>
    <row r="152" spans="1:5" x14ac:dyDescent="0.15">
      <c r="A152" s="102" t="s">
        <v>497</v>
      </c>
      <c r="B152" s="102" t="s">
        <v>3017</v>
      </c>
      <c r="C152" s="102">
        <v>235994</v>
      </c>
      <c r="D152" s="102" t="s">
        <v>497</v>
      </c>
      <c r="E152" s="102"/>
    </row>
    <row r="153" spans="1:5" x14ac:dyDescent="0.15">
      <c r="A153" s="102" t="s">
        <v>523</v>
      </c>
      <c r="B153" s="102" t="s">
        <v>3043</v>
      </c>
      <c r="C153" s="102">
        <v>236798</v>
      </c>
      <c r="D153" s="102" t="s">
        <v>523</v>
      </c>
      <c r="E153" s="102"/>
    </row>
    <row r="154" spans="1:5" x14ac:dyDescent="0.15">
      <c r="A154" s="102" t="s">
        <v>388</v>
      </c>
      <c r="B154" s="102" t="s">
        <v>3035</v>
      </c>
      <c r="C154" s="102">
        <v>237007</v>
      </c>
      <c r="D154" s="102" t="s">
        <v>388</v>
      </c>
      <c r="E154" s="102"/>
    </row>
    <row r="155" spans="1:5" x14ac:dyDescent="0.15">
      <c r="A155" s="102" t="s">
        <v>423</v>
      </c>
      <c r="B155" s="102" t="s">
        <v>3027</v>
      </c>
      <c r="C155" s="102">
        <v>236986</v>
      </c>
      <c r="D155" s="102" t="s">
        <v>423</v>
      </c>
      <c r="E155" s="102"/>
    </row>
    <row r="156" spans="1:5" x14ac:dyDescent="0.15">
      <c r="A156" s="102" t="s">
        <v>426</v>
      </c>
      <c r="B156" s="102" t="s">
        <v>3039</v>
      </c>
      <c r="C156" s="102">
        <v>235968</v>
      </c>
      <c r="D156" s="102" t="s">
        <v>426</v>
      </c>
      <c r="E156" s="102"/>
    </row>
    <row r="157" spans="1:5" x14ac:dyDescent="0.15">
      <c r="A157" s="102" t="s">
        <v>406</v>
      </c>
      <c r="B157" s="102" t="s">
        <v>3035</v>
      </c>
      <c r="C157" s="102">
        <v>237008</v>
      </c>
      <c r="D157" s="102" t="s">
        <v>406</v>
      </c>
      <c r="E157" s="102"/>
    </row>
    <row r="158" spans="1:5" x14ac:dyDescent="0.15">
      <c r="A158" s="102" t="s">
        <v>444</v>
      </c>
      <c r="B158" s="102" t="s">
        <v>3044</v>
      </c>
      <c r="C158" s="102">
        <v>228973</v>
      </c>
      <c r="D158" s="102" t="s">
        <v>444</v>
      </c>
      <c r="E158" s="102"/>
    </row>
    <row r="159" spans="1:5" x14ac:dyDescent="0.15">
      <c r="A159" s="102" t="s">
        <v>382</v>
      </c>
      <c r="B159" s="102" t="s">
        <v>3038</v>
      </c>
      <c r="C159" s="102">
        <v>236813</v>
      </c>
      <c r="D159" s="102" t="s">
        <v>382</v>
      </c>
      <c r="E159" s="102"/>
    </row>
    <row r="160" spans="1:5" x14ac:dyDescent="0.15">
      <c r="A160" s="102" t="s">
        <v>410</v>
      </c>
      <c r="B160" s="102" t="s">
        <v>1825</v>
      </c>
      <c r="C160" s="102">
        <v>91368</v>
      </c>
      <c r="D160" s="102" t="s">
        <v>410</v>
      </c>
      <c r="E160" s="102"/>
    </row>
    <row r="161" spans="1:5" x14ac:dyDescent="0.15">
      <c r="A161" s="102" t="s">
        <v>404</v>
      </c>
      <c r="B161" s="102" t="s">
        <v>3045</v>
      </c>
      <c r="C161" s="102">
        <v>214722</v>
      </c>
      <c r="D161" s="102" t="s">
        <v>404</v>
      </c>
      <c r="E161" s="102"/>
    </row>
    <row r="162" spans="1:5" x14ac:dyDescent="0.15">
      <c r="A162" s="102" t="s">
        <v>340</v>
      </c>
      <c r="B162" s="102" t="s">
        <v>3046</v>
      </c>
      <c r="C162" s="102">
        <v>236854</v>
      </c>
      <c r="D162" s="102" t="s">
        <v>340</v>
      </c>
      <c r="E162" s="102"/>
    </row>
    <row r="163" spans="1:5" x14ac:dyDescent="0.15">
      <c r="A163" s="102" t="s">
        <v>343</v>
      </c>
      <c r="B163" s="102" t="s">
        <v>1825</v>
      </c>
      <c r="C163" s="102">
        <v>91495</v>
      </c>
      <c r="D163" s="102" t="s">
        <v>343</v>
      </c>
      <c r="E163" s="102"/>
    </row>
    <row r="164" spans="1:5" x14ac:dyDescent="0.15">
      <c r="A164" s="102" t="s">
        <v>470</v>
      </c>
      <c r="B164" s="102" t="s">
        <v>3047</v>
      </c>
      <c r="C164" s="102">
        <v>236762</v>
      </c>
      <c r="D164" s="102" t="s">
        <v>470</v>
      </c>
      <c r="E164" s="102"/>
    </row>
    <row r="165" spans="1:5" x14ac:dyDescent="0.15">
      <c r="A165" s="102" t="s">
        <v>428</v>
      </c>
      <c r="B165" s="102" t="s">
        <v>3040</v>
      </c>
      <c r="C165" s="102">
        <v>236871</v>
      </c>
      <c r="D165" s="102" t="s">
        <v>428</v>
      </c>
      <c r="E165" s="102"/>
    </row>
    <row r="166" spans="1:5" x14ac:dyDescent="0.15">
      <c r="A166" s="102" t="s">
        <v>424</v>
      </c>
      <c r="B166" s="102" t="s">
        <v>3035</v>
      </c>
      <c r="C166" s="102">
        <v>237009</v>
      </c>
      <c r="D166" s="102" t="s">
        <v>424</v>
      </c>
      <c r="E166" s="102"/>
    </row>
    <row r="167" spans="1:5" x14ac:dyDescent="0.15">
      <c r="A167" s="102" t="s">
        <v>514</v>
      </c>
      <c r="B167" s="102" t="s">
        <v>3048</v>
      </c>
      <c r="C167" s="102">
        <v>223606</v>
      </c>
      <c r="D167" s="102" t="s">
        <v>514</v>
      </c>
      <c r="E167" s="102"/>
    </row>
    <row r="168" spans="1:5" x14ac:dyDescent="0.15">
      <c r="A168" s="102" t="s">
        <v>361</v>
      </c>
      <c r="B168" s="102" t="s">
        <v>3049</v>
      </c>
      <c r="C168" s="102">
        <v>236831</v>
      </c>
      <c r="D168" s="102" t="s">
        <v>361</v>
      </c>
      <c r="E168" s="102"/>
    </row>
    <row r="169" spans="1:5" x14ac:dyDescent="0.15">
      <c r="A169" s="102" t="s">
        <v>531</v>
      </c>
      <c r="B169" s="102" t="s">
        <v>3050</v>
      </c>
      <c r="C169" s="102">
        <v>235995</v>
      </c>
      <c r="D169" s="102" t="s">
        <v>531</v>
      </c>
      <c r="E169" s="102"/>
    </row>
    <row r="170" spans="1:5" x14ac:dyDescent="0.15">
      <c r="A170" s="102" t="s">
        <v>357</v>
      </c>
      <c r="B170" s="102" t="s">
        <v>3046</v>
      </c>
      <c r="C170" s="102">
        <v>236855</v>
      </c>
      <c r="D170" s="102" t="s">
        <v>357</v>
      </c>
      <c r="E170" s="102"/>
    </row>
    <row r="171" spans="1:5" x14ac:dyDescent="0.15">
      <c r="A171" s="102" t="s">
        <v>462</v>
      </c>
      <c r="B171" s="102" t="s">
        <v>3051</v>
      </c>
      <c r="C171" s="102">
        <v>235969</v>
      </c>
      <c r="D171" s="102" t="s">
        <v>462</v>
      </c>
      <c r="E171" s="102"/>
    </row>
    <row r="172" spans="1:5" x14ac:dyDescent="0.15">
      <c r="A172" s="102" t="s">
        <v>441</v>
      </c>
      <c r="B172" s="102" t="s">
        <v>3027</v>
      </c>
      <c r="C172" s="102">
        <v>236987</v>
      </c>
      <c r="D172" s="102" t="s">
        <v>441</v>
      </c>
      <c r="E172" s="102"/>
    </row>
    <row r="173" spans="1:5" x14ac:dyDescent="0.15">
      <c r="A173" s="102" t="s">
        <v>459</v>
      </c>
      <c r="B173" s="102" t="s">
        <v>3052</v>
      </c>
      <c r="C173" s="102">
        <v>236988</v>
      </c>
      <c r="D173" s="102" t="s">
        <v>459</v>
      </c>
      <c r="E173" s="102"/>
    </row>
    <row r="174" spans="1:5" x14ac:dyDescent="0.15">
      <c r="A174" s="102" t="s">
        <v>477</v>
      </c>
      <c r="B174" s="102" t="s">
        <v>3052</v>
      </c>
      <c r="C174" s="102">
        <v>236989</v>
      </c>
      <c r="D174" s="102" t="s">
        <v>477</v>
      </c>
      <c r="E174" s="102"/>
    </row>
    <row r="175" spans="1:5" x14ac:dyDescent="0.15">
      <c r="A175" s="102" t="s">
        <v>342</v>
      </c>
      <c r="B175" s="102" t="s">
        <v>3053</v>
      </c>
      <c r="C175" s="102">
        <v>236882</v>
      </c>
      <c r="D175" s="102" t="s">
        <v>342</v>
      </c>
      <c r="E175" s="102"/>
    </row>
    <row r="176" spans="1:5" x14ac:dyDescent="0.15">
      <c r="A176" s="102" t="s">
        <v>360</v>
      </c>
      <c r="B176" s="102" t="s">
        <v>3054</v>
      </c>
      <c r="C176" s="102">
        <v>120130</v>
      </c>
      <c r="D176" s="102" t="s">
        <v>360</v>
      </c>
      <c r="E176" s="102"/>
    </row>
    <row r="177" spans="1:5" x14ac:dyDescent="0.15">
      <c r="A177" s="102" t="s">
        <v>495</v>
      </c>
      <c r="B177" s="102" t="s">
        <v>3052</v>
      </c>
      <c r="C177" s="102">
        <v>236990</v>
      </c>
      <c r="D177" s="102" t="s">
        <v>495</v>
      </c>
      <c r="E177" s="102"/>
    </row>
    <row r="178" spans="1:5" x14ac:dyDescent="0.15">
      <c r="A178" s="102" t="s">
        <v>442</v>
      </c>
      <c r="B178" s="102" t="s">
        <v>3055</v>
      </c>
      <c r="C178" s="102">
        <v>237010</v>
      </c>
      <c r="D178" s="102" t="s">
        <v>442</v>
      </c>
      <c r="E178" s="102"/>
    </row>
    <row r="179" spans="1:5" x14ac:dyDescent="0.15">
      <c r="A179" s="102" t="s">
        <v>538</v>
      </c>
      <c r="B179" s="102" t="s">
        <v>3043</v>
      </c>
      <c r="C179" s="102">
        <v>236799</v>
      </c>
      <c r="D179" s="102" t="s">
        <v>538</v>
      </c>
      <c r="E179" s="102"/>
    </row>
    <row r="180" spans="1:5" x14ac:dyDescent="0.15">
      <c r="A180" s="102" t="s">
        <v>597</v>
      </c>
      <c r="B180" s="102" t="s">
        <v>3037</v>
      </c>
      <c r="C180" s="102">
        <v>237037</v>
      </c>
      <c r="D180" s="102" t="s">
        <v>597</v>
      </c>
      <c r="E180" s="102"/>
    </row>
    <row r="181" spans="1:5" x14ac:dyDescent="0.15">
      <c r="A181" s="102" t="s">
        <v>383</v>
      </c>
      <c r="B181" s="102" t="s">
        <v>3022</v>
      </c>
      <c r="C181" s="102">
        <v>236964</v>
      </c>
      <c r="D181" s="102" t="s">
        <v>383</v>
      </c>
      <c r="E181" s="102"/>
    </row>
    <row r="182" spans="1:5" x14ac:dyDescent="0.15">
      <c r="A182" s="102" t="s">
        <v>401</v>
      </c>
      <c r="B182" s="102" t="s">
        <v>3056</v>
      </c>
      <c r="C182" s="102">
        <v>236965</v>
      </c>
      <c r="D182" s="102" t="s">
        <v>401</v>
      </c>
      <c r="E182" s="102"/>
    </row>
    <row r="183" spans="1:5" x14ac:dyDescent="0.15">
      <c r="A183" s="102" t="s">
        <v>512</v>
      </c>
      <c r="B183" s="102" t="s">
        <v>3052</v>
      </c>
      <c r="C183" s="102">
        <v>236991</v>
      </c>
      <c r="D183" s="102" t="s">
        <v>512</v>
      </c>
      <c r="E183" s="102"/>
    </row>
    <row r="184" spans="1:5" x14ac:dyDescent="0.15">
      <c r="A184" s="102" t="s">
        <v>385</v>
      </c>
      <c r="B184" s="102" t="s">
        <v>3026</v>
      </c>
      <c r="C184" s="102">
        <v>236920</v>
      </c>
      <c r="D184" s="102" t="s">
        <v>385</v>
      </c>
      <c r="E184" s="102"/>
    </row>
    <row r="185" spans="1:5" x14ac:dyDescent="0.15">
      <c r="A185" s="102" t="s">
        <v>419</v>
      </c>
      <c r="B185" s="102" t="s">
        <v>3056</v>
      </c>
      <c r="C185" s="102">
        <v>236966</v>
      </c>
      <c r="D185" s="102" t="s">
        <v>419</v>
      </c>
      <c r="E185" s="102"/>
    </row>
    <row r="186" spans="1:5" x14ac:dyDescent="0.15">
      <c r="A186" s="102" t="s">
        <v>446</v>
      </c>
      <c r="B186" s="102" t="s">
        <v>1825</v>
      </c>
      <c r="C186" s="102">
        <v>97937</v>
      </c>
      <c r="D186" s="102" t="s">
        <v>446</v>
      </c>
      <c r="E186" s="102"/>
    </row>
    <row r="187" spans="1:5" x14ac:dyDescent="0.15">
      <c r="A187" s="102" t="s">
        <v>437</v>
      </c>
      <c r="B187" s="102" t="s">
        <v>3056</v>
      </c>
      <c r="C187" s="102">
        <v>236967</v>
      </c>
      <c r="D187" s="102" t="s">
        <v>437</v>
      </c>
      <c r="E187" s="102"/>
    </row>
    <row r="188" spans="1:5" x14ac:dyDescent="0.15">
      <c r="A188" s="102" t="s">
        <v>403</v>
      </c>
      <c r="B188" s="102" t="s">
        <v>1825</v>
      </c>
      <c r="C188" s="102">
        <v>120300</v>
      </c>
      <c r="D188" s="102" t="s">
        <v>403</v>
      </c>
      <c r="E188" s="102"/>
    </row>
    <row r="189" spans="1:5" x14ac:dyDescent="0.15">
      <c r="A189" s="102" t="s">
        <v>430</v>
      </c>
      <c r="B189" s="102" t="s">
        <v>3042</v>
      </c>
      <c r="C189" s="102">
        <v>236846</v>
      </c>
      <c r="D189" s="102" t="s">
        <v>430</v>
      </c>
      <c r="E189" s="102"/>
    </row>
    <row r="190" spans="1:5" x14ac:dyDescent="0.15">
      <c r="A190" s="102" t="s">
        <v>379</v>
      </c>
      <c r="B190" s="102" t="s">
        <v>3049</v>
      </c>
      <c r="C190" s="102">
        <v>236832</v>
      </c>
      <c r="D190" s="102" t="s">
        <v>379</v>
      </c>
      <c r="E190" s="102"/>
    </row>
    <row r="191" spans="1:5" x14ac:dyDescent="0.15">
      <c r="A191" s="102" t="s">
        <v>546</v>
      </c>
      <c r="B191" s="102" t="s">
        <v>3050</v>
      </c>
      <c r="C191" s="102">
        <v>235996</v>
      </c>
      <c r="D191" s="102" t="s">
        <v>546</v>
      </c>
      <c r="E191" s="102"/>
    </row>
    <row r="192" spans="1:5" x14ac:dyDescent="0.15">
      <c r="A192" s="102" t="s">
        <v>421</v>
      </c>
      <c r="B192" s="102" t="s">
        <v>1825</v>
      </c>
      <c r="C192" s="102">
        <v>119825</v>
      </c>
      <c r="D192" s="102" t="s">
        <v>421</v>
      </c>
      <c r="E192" s="102"/>
    </row>
    <row r="193" spans="1:5" x14ac:dyDescent="0.15">
      <c r="A193" s="102" t="s">
        <v>460</v>
      </c>
      <c r="B193" s="102" t="s">
        <v>3055</v>
      </c>
      <c r="C193" s="102">
        <v>237011</v>
      </c>
      <c r="D193" s="102" t="s">
        <v>460</v>
      </c>
      <c r="E193" s="102"/>
    </row>
    <row r="194" spans="1:5" x14ac:dyDescent="0.15">
      <c r="A194" s="102" t="s">
        <v>480</v>
      </c>
      <c r="B194" s="102" t="s">
        <v>3051</v>
      </c>
      <c r="C194" s="102">
        <v>235970</v>
      </c>
      <c r="D194" s="102" t="s">
        <v>480</v>
      </c>
      <c r="E194" s="102"/>
    </row>
    <row r="195" spans="1:5" x14ac:dyDescent="0.15">
      <c r="A195" s="102" t="s">
        <v>439</v>
      </c>
      <c r="B195" s="102" t="s">
        <v>3057</v>
      </c>
      <c r="C195" s="102">
        <v>236921</v>
      </c>
      <c r="D195" s="102" t="s">
        <v>439</v>
      </c>
      <c r="E195" s="102"/>
    </row>
    <row r="196" spans="1:5" x14ac:dyDescent="0.15">
      <c r="A196" s="102" t="s">
        <v>609</v>
      </c>
      <c r="B196" s="102" t="s">
        <v>3037</v>
      </c>
      <c r="C196" s="102">
        <v>237038</v>
      </c>
      <c r="D196" s="102" t="s">
        <v>609</v>
      </c>
      <c r="E196" s="102"/>
    </row>
    <row r="197" spans="1:5" x14ac:dyDescent="0.15">
      <c r="A197" s="102" t="s">
        <v>553</v>
      </c>
      <c r="B197" s="102" t="s">
        <v>3043</v>
      </c>
      <c r="C197" s="102">
        <v>236800</v>
      </c>
      <c r="D197" s="102" t="s">
        <v>553</v>
      </c>
      <c r="E197" s="102"/>
    </row>
    <row r="198" spans="1:5" x14ac:dyDescent="0.15">
      <c r="A198" s="102" t="s">
        <v>397</v>
      </c>
      <c r="B198" s="102" t="s">
        <v>3049</v>
      </c>
      <c r="C198" s="102">
        <v>236833</v>
      </c>
      <c r="D198" s="102" t="s">
        <v>397</v>
      </c>
      <c r="E198" s="102"/>
    </row>
    <row r="199" spans="1:5" x14ac:dyDescent="0.15">
      <c r="A199" s="102" t="s">
        <v>529</v>
      </c>
      <c r="B199" s="102" t="s">
        <v>3058</v>
      </c>
      <c r="C199" s="102">
        <v>236992</v>
      </c>
      <c r="D199" s="102" t="s">
        <v>529</v>
      </c>
      <c r="E199" s="102"/>
    </row>
    <row r="200" spans="1:5" x14ac:dyDescent="0.15">
      <c r="A200" s="102" t="s">
        <v>567</v>
      </c>
      <c r="B200" s="102" t="s">
        <v>3059</v>
      </c>
      <c r="C200" s="102">
        <v>236801</v>
      </c>
      <c r="D200" s="102" t="s">
        <v>567</v>
      </c>
      <c r="E200" s="102"/>
    </row>
    <row r="201" spans="1:5" x14ac:dyDescent="0.15">
      <c r="A201" s="102" t="s">
        <v>620</v>
      </c>
      <c r="B201" s="102" t="s">
        <v>3060</v>
      </c>
      <c r="C201" s="102">
        <v>237039</v>
      </c>
      <c r="D201" s="102" t="s">
        <v>620</v>
      </c>
      <c r="E201" s="102"/>
    </row>
    <row r="202" spans="1:5" x14ac:dyDescent="0.15">
      <c r="A202" s="102" t="s">
        <v>427</v>
      </c>
      <c r="B202" s="102" t="s">
        <v>3015</v>
      </c>
      <c r="C202" s="102">
        <v>236892</v>
      </c>
      <c r="D202" s="102" t="s">
        <v>427</v>
      </c>
      <c r="E202" s="102"/>
    </row>
    <row r="203" spans="1:5" x14ac:dyDescent="0.15">
      <c r="A203" s="102" t="s">
        <v>422</v>
      </c>
      <c r="B203" s="102" t="s">
        <v>3014</v>
      </c>
      <c r="C203" s="102">
        <v>236945</v>
      </c>
      <c r="D203" s="102" t="s">
        <v>422</v>
      </c>
      <c r="E203" s="102"/>
    </row>
    <row r="204" spans="1:5" x14ac:dyDescent="0.15">
      <c r="A204" s="102" t="s">
        <v>400</v>
      </c>
      <c r="B204" s="102" t="s">
        <v>3061</v>
      </c>
      <c r="C204" s="102">
        <v>236011</v>
      </c>
      <c r="D204" s="102" t="s">
        <v>400</v>
      </c>
      <c r="E204" s="102"/>
    </row>
    <row r="205" spans="1:5" x14ac:dyDescent="0.15">
      <c r="A205" s="102" t="s">
        <v>415</v>
      </c>
      <c r="B205" s="102" t="s">
        <v>3049</v>
      </c>
      <c r="C205" s="102">
        <v>236834</v>
      </c>
      <c r="D205" s="102" t="s">
        <v>415</v>
      </c>
      <c r="E205" s="102"/>
    </row>
    <row r="206" spans="1:5" x14ac:dyDescent="0.15">
      <c r="A206" s="102" t="s">
        <v>413</v>
      </c>
      <c r="B206" s="102" t="s">
        <v>3041</v>
      </c>
      <c r="C206" s="102">
        <v>236904</v>
      </c>
      <c r="D206" s="102" t="s">
        <v>413</v>
      </c>
      <c r="E206" s="102"/>
    </row>
    <row r="207" spans="1:5" x14ac:dyDescent="0.15">
      <c r="A207" s="102" t="s">
        <v>433</v>
      </c>
      <c r="B207" s="102" t="s">
        <v>3062</v>
      </c>
      <c r="C207" s="102">
        <v>236835</v>
      </c>
      <c r="D207" s="102" t="s">
        <v>433</v>
      </c>
      <c r="E207" s="102"/>
    </row>
    <row r="208" spans="1:5" x14ac:dyDescent="0.15">
      <c r="A208" s="102" t="s">
        <v>561</v>
      </c>
      <c r="B208" s="102" t="s">
        <v>3050</v>
      </c>
      <c r="C208" s="102">
        <v>235997</v>
      </c>
      <c r="D208" s="102" t="s">
        <v>561</v>
      </c>
      <c r="E208" s="102"/>
    </row>
    <row r="209" spans="1:5" x14ac:dyDescent="0.15">
      <c r="A209" s="102" t="s">
        <v>575</v>
      </c>
      <c r="B209" s="102" t="s">
        <v>3050</v>
      </c>
      <c r="C209" s="102">
        <v>235998</v>
      </c>
      <c r="D209" s="102" t="s">
        <v>575</v>
      </c>
      <c r="E209" s="102"/>
    </row>
    <row r="210" spans="1:5" x14ac:dyDescent="0.15">
      <c r="A210" s="102" t="s">
        <v>418</v>
      </c>
      <c r="B210" s="102" t="s">
        <v>3063</v>
      </c>
      <c r="C210" s="102">
        <v>236814</v>
      </c>
      <c r="D210" s="102" t="s">
        <v>418</v>
      </c>
      <c r="E210" s="102"/>
    </row>
    <row r="211" spans="1:5" x14ac:dyDescent="0.15">
      <c r="A211" s="102" t="s">
        <v>436</v>
      </c>
      <c r="B211" s="102" t="s">
        <v>3064</v>
      </c>
      <c r="C211" s="102">
        <v>222908</v>
      </c>
      <c r="D211" s="102" t="s">
        <v>436</v>
      </c>
      <c r="E211" s="102"/>
    </row>
    <row r="212" spans="1:5" x14ac:dyDescent="0.15">
      <c r="A212" s="102" t="s">
        <v>630</v>
      </c>
      <c r="B212" s="102" t="s">
        <v>3060</v>
      </c>
      <c r="C212" s="102">
        <v>237040</v>
      </c>
      <c r="D212" s="102" t="s">
        <v>630</v>
      </c>
      <c r="E212" s="102"/>
    </row>
    <row r="213" spans="1:5" x14ac:dyDescent="0.15">
      <c r="A213" s="102" t="s">
        <v>455</v>
      </c>
      <c r="B213" s="102" t="s">
        <v>3056</v>
      </c>
      <c r="C213" s="102">
        <v>236968</v>
      </c>
      <c r="D213" s="102" t="s">
        <v>455</v>
      </c>
      <c r="E213" s="102"/>
    </row>
    <row r="214" spans="1:5" x14ac:dyDescent="0.15">
      <c r="A214" s="102" t="s">
        <v>488</v>
      </c>
      <c r="B214" s="102" t="s">
        <v>3012</v>
      </c>
      <c r="C214" s="102">
        <v>236755</v>
      </c>
      <c r="D214" s="102" t="s">
        <v>488</v>
      </c>
      <c r="E214" s="102"/>
    </row>
    <row r="215" spans="1:5" x14ac:dyDescent="0.15">
      <c r="A215" s="102" t="s">
        <v>454</v>
      </c>
      <c r="B215" s="102" t="s">
        <v>3063</v>
      </c>
      <c r="C215" s="102">
        <v>236815</v>
      </c>
      <c r="D215" s="102" t="s">
        <v>454</v>
      </c>
      <c r="E215" s="102"/>
    </row>
    <row r="216" spans="1:5" x14ac:dyDescent="0.15">
      <c r="A216" s="102" t="s">
        <v>589</v>
      </c>
      <c r="B216" s="102" t="s">
        <v>3065</v>
      </c>
      <c r="C216" s="102">
        <v>235999</v>
      </c>
      <c r="D216" s="102" t="s">
        <v>589</v>
      </c>
      <c r="E216" s="102"/>
    </row>
    <row r="217" spans="1:5" x14ac:dyDescent="0.15">
      <c r="A217" s="102" t="s">
        <v>464</v>
      </c>
      <c r="B217" s="102" t="s">
        <v>3066</v>
      </c>
      <c r="C217" s="102">
        <v>236872</v>
      </c>
      <c r="D217" s="102" t="s">
        <v>464</v>
      </c>
      <c r="E217" s="102"/>
    </row>
    <row r="218" spans="1:5" x14ac:dyDescent="0.15">
      <c r="A218" s="102" t="s">
        <v>505</v>
      </c>
      <c r="B218" s="102" t="s">
        <v>3067</v>
      </c>
      <c r="C218" s="102">
        <v>236763</v>
      </c>
      <c r="D218" s="102" t="s">
        <v>505</v>
      </c>
      <c r="E218" s="102"/>
    </row>
    <row r="219" spans="1:5" x14ac:dyDescent="0.15">
      <c r="A219" s="102" t="s">
        <v>638</v>
      </c>
      <c r="B219" s="102" t="s">
        <v>3060</v>
      </c>
      <c r="C219" s="102">
        <v>237041</v>
      </c>
      <c r="D219" s="102" t="s">
        <v>638</v>
      </c>
      <c r="E219" s="102"/>
    </row>
    <row r="220" spans="1:5" x14ac:dyDescent="0.15">
      <c r="A220" s="102" t="s">
        <v>431</v>
      </c>
      <c r="B220" s="102" t="s">
        <v>3041</v>
      </c>
      <c r="C220" s="102">
        <v>236905</v>
      </c>
      <c r="D220" s="102" t="s">
        <v>431</v>
      </c>
      <c r="E220" s="102"/>
    </row>
    <row r="221" spans="1:5" x14ac:dyDescent="0.15">
      <c r="A221" s="102" t="s">
        <v>544</v>
      </c>
      <c r="B221" s="102" t="s">
        <v>3058</v>
      </c>
      <c r="C221" s="102">
        <v>236993</v>
      </c>
      <c r="D221" s="102" t="s">
        <v>544</v>
      </c>
      <c r="E221" s="102"/>
    </row>
    <row r="222" spans="1:5" x14ac:dyDescent="0.15">
      <c r="A222" s="102" t="s">
        <v>478</v>
      </c>
      <c r="B222" s="102" t="s">
        <v>3055</v>
      </c>
      <c r="C222" s="102">
        <v>237012</v>
      </c>
      <c r="D222" s="102" t="s">
        <v>478</v>
      </c>
      <c r="E222" s="102"/>
    </row>
    <row r="223" spans="1:5" x14ac:dyDescent="0.15">
      <c r="A223" s="102" t="s">
        <v>473</v>
      </c>
      <c r="B223" s="102" t="s">
        <v>3068</v>
      </c>
      <c r="C223" s="102">
        <v>236970</v>
      </c>
      <c r="D223" s="102" t="s">
        <v>473</v>
      </c>
      <c r="E223" s="102"/>
    </row>
    <row r="224" spans="1:5" x14ac:dyDescent="0.15">
      <c r="A224" s="102" t="s">
        <v>491</v>
      </c>
      <c r="B224" s="102" t="s">
        <v>3068</v>
      </c>
      <c r="C224" s="102">
        <v>236971</v>
      </c>
      <c r="D224" s="102" t="s">
        <v>491</v>
      </c>
      <c r="E224" s="102"/>
    </row>
    <row r="225" spans="1:5" x14ac:dyDescent="0.15">
      <c r="A225" s="102" t="s">
        <v>508</v>
      </c>
      <c r="B225" s="102" t="s">
        <v>3068</v>
      </c>
      <c r="C225" s="102">
        <v>236972</v>
      </c>
      <c r="D225" s="102" t="s">
        <v>508</v>
      </c>
      <c r="E225" s="102"/>
    </row>
    <row r="226" spans="1:5" x14ac:dyDescent="0.15">
      <c r="A226" s="102" t="s">
        <v>445</v>
      </c>
      <c r="B226" s="102" t="s">
        <v>3069</v>
      </c>
      <c r="C226" s="102">
        <v>236893</v>
      </c>
      <c r="D226" s="102" t="s">
        <v>445</v>
      </c>
      <c r="E226" s="102"/>
    </row>
    <row r="227" spans="1:5" x14ac:dyDescent="0.15">
      <c r="A227" s="102" t="s">
        <v>646</v>
      </c>
      <c r="B227" s="102" t="s">
        <v>3060</v>
      </c>
      <c r="C227" s="102">
        <v>237042</v>
      </c>
      <c r="D227" s="102" t="s">
        <v>646</v>
      </c>
      <c r="E227" s="102"/>
    </row>
    <row r="228" spans="1:5" x14ac:dyDescent="0.15">
      <c r="A228" s="102" t="s">
        <v>581</v>
      </c>
      <c r="B228" s="102" t="s">
        <v>3059</v>
      </c>
      <c r="C228" s="102">
        <v>236802</v>
      </c>
      <c r="D228" s="102" t="s">
        <v>581</v>
      </c>
      <c r="E228" s="102"/>
    </row>
    <row r="229" spans="1:5" x14ac:dyDescent="0.15">
      <c r="A229" s="102" t="s">
        <v>482</v>
      </c>
      <c r="B229" s="102" t="s">
        <v>3066</v>
      </c>
      <c r="C229" s="102">
        <v>236873</v>
      </c>
      <c r="D229" s="102" t="s">
        <v>482</v>
      </c>
      <c r="E229" s="102"/>
    </row>
    <row r="230" spans="1:5" x14ac:dyDescent="0.15">
      <c r="A230" s="102" t="s">
        <v>463</v>
      </c>
      <c r="B230" s="102" t="s">
        <v>3070</v>
      </c>
      <c r="C230" s="102">
        <v>236894</v>
      </c>
      <c r="D230" s="102" t="s">
        <v>463</v>
      </c>
      <c r="E230" s="102"/>
    </row>
    <row r="231" spans="1:5" x14ac:dyDescent="0.15">
      <c r="A231" s="102" t="s">
        <v>500</v>
      </c>
      <c r="B231" s="102" t="s">
        <v>3071</v>
      </c>
      <c r="C231" s="102">
        <v>236874</v>
      </c>
      <c r="D231" s="102" t="s">
        <v>500</v>
      </c>
      <c r="E231" s="102"/>
    </row>
    <row r="232" spans="1:5" x14ac:dyDescent="0.15">
      <c r="A232" s="102" t="s">
        <v>653</v>
      </c>
      <c r="B232" s="102" t="s">
        <v>3060</v>
      </c>
      <c r="C232" s="102">
        <v>237043</v>
      </c>
      <c r="D232" s="102" t="s">
        <v>653</v>
      </c>
      <c r="E232" s="102"/>
    </row>
    <row r="233" spans="1:5" x14ac:dyDescent="0.15">
      <c r="A233" s="102" t="s">
        <v>481</v>
      </c>
      <c r="B233" s="102" t="s">
        <v>3072</v>
      </c>
      <c r="C233" s="102">
        <v>103044</v>
      </c>
      <c r="D233" s="102" t="s">
        <v>481</v>
      </c>
      <c r="E233" s="102"/>
    </row>
    <row r="234" spans="1:5" x14ac:dyDescent="0.15">
      <c r="A234" s="102" t="s">
        <v>496</v>
      </c>
      <c r="B234" s="102" t="s">
        <v>3055</v>
      </c>
      <c r="C234" s="102">
        <v>237013</v>
      </c>
      <c r="D234" s="102" t="s">
        <v>496</v>
      </c>
      <c r="E234" s="102"/>
    </row>
    <row r="235" spans="1:5" x14ac:dyDescent="0.15">
      <c r="A235" s="102" t="s">
        <v>522</v>
      </c>
      <c r="B235" s="102" t="s">
        <v>3067</v>
      </c>
      <c r="C235" s="102">
        <v>236764</v>
      </c>
      <c r="D235" s="102" t="s">
        <v>522</v>
      </c>
      <c r="E235" s="102"/>
    </row>
    <row r="236" spans="1:5" x14ac:dyDescent="0.15">
      <c r="A236" s="102" t="s">
        <v>375</v>
      </c>
      <c r="B236" s="102" t="s">
        <v>3046</v>
      </c>
      <c r="C236" s="102">
        <v>236856</v>
      </c>
      <c r="D236" s="102" t="s">
        <v>375</v>
      </c>
      <c r="E236" s="102"/>
    </row>
    <row r="237" spans="1:5" x14ac:dyDescent="0.15">
      <c r="A237" s="102" t="s">
        <v>499</v>
      </c>
      <c r="B237" s="102" t="s">
        <v>3070</v>
      </c>
      <c r="C237" s="102">
        <v>236895</v>
      </c>
      <c r="D237" s="102" t="s">
        <v>499</v>
      </c>
      <c r="E237" s="102"/>
    </row>
    <row r="238" spans="1:5" x14ac:dyDescent="0.15">
      <c r="A238" s="102" t="s">
        <v>393</v>
      </c>
      <c r="B238" s="102" t="s">
        <v>3073</v>
      </c>
      <c r="C238" s="102">
        <v>236857</v>
      </c>
      <c r="D238" s="102" t="s">
        <v>393</v>
      </c>
      <c r="E238" s="102"/>
    </row>
    <row r="239" spans="1:5" x14ac:dyDescent="0.15">
      <c r="A239" s="102" t="s">
        <v>457</v>
      </c>
      <c r="B239" s="102" t="s">
        <v>3074</v>
      </c>
      <c r="C239" s="102">
        <v>236922</v>
      </c>
      <c r="D239" s="102" t="s">
        <v>457</v>
      </c>
      <c r="E239" s="102"/>
    </row>
    <row r="240" spans="1:5" x14ac:dyDescent="0.15">
      <c r="A240" s="102" t="s">
        <v>537</v>
      </c>
      <c r="B240" s="102" t="s">
        <v>3067</v>
      </c>
      <c r="C240" s="102">
        <v>236765</v>
      </c>
      <c r="D240" s="102" t="s">
        <v>537</v>
      </c>
      <c r="E240" s="102"/>
    </row>
    <row r="241" spans="1:5" x14ac:dyDescent="0.15">
      <c r="A241" s="102" t="s">
        <v>475</v>
      </c>
      <c r="B241" s="102" t="s">
        <v>3074</v>
      </c>
      <c r="C241" s="102">
        <v>236923</v>
      </c>
      <c r="D241" s="102" t="s">
        <v>475</v>
      </c>
      <c r="E241" s="102"/>
    </row>
    <row r="242" spans="1:5" x14ac:dyDescent="0.15">
      <c r="A242" s="102" t="s">
        <v>513</v>
      </c>
      <c r="B242" s="102" t="s">
        <v>3075</v>
      </c>
      <c r="C242" s="102">
        <v>237014</v>
      </c>
      <c r="D242" s="102" t="s">
        <v>513</v>
      </c>
      <c r="E242" s="102"/>
    </row>
    <row r="243" spans="1:5" x14ac:dyDescent="0.15">
      <c r="A243" s="102" t="s">
        <v>440</v>
      </c>
      <c r="B243" s="102" t="s">
        <v>3076</v>
      </c>
      <c r="C243" s="102">
        <v>236947</v>
      </c>
      <c r="D243" s="102" t="s">
        <v>440</v>
      </c>
      <c r="E243" s="102"/>
    </row>
    <row r="244" spans="1:5" x14ac:dyDescent="0.15">
      <c r="A244" s="102" t="s">
        <v>493</v>
      </c>
      <c r="B244" s="102" t="s">
        <v>3074</v>
      </c>
      <c r="C244" s="102">
        <v>236924</v>
      </c>
      <c r="D244" s="102" t="s">
        <v>493</v>
      </c>
      <c r="E244" s="102"/>
    </row>
    <row r="245" spans="1:5" x14ac:dyDescent="0.15">
      <c r="A245" s="102" t="s">
        <v>559</v>
      </c>
      <c r="B245" s="102" t="s">
        <v>3058</v>
      </c>
      <c r="C245" s="102">
        <v>236994</v>
      </c>
      <c r="D245" s="102" t="s">
        <v>559</v>
      </c>
      <c r="E245" s="102"/>
    </row>
    <row r="246" spans="1:5" x14ac:dyDescent="0.15">
      <c r="A246" s="102" t="s">
        <v>517</v>
      </c>
      <c r="B246" s="102" t="s">
        <v>3071</v>
      </c>
      <c r="C246" s="102">
        <v>236875</v>
      </c>
      <c r="D246" s="102" t="s">
        <v>517</v>
      </c>
      <c r="E246" s="102"/>
    </row>
    <row r="247" spans="1:5" x14ac:dyDescent="0.15">
      <c r="A247" s="102" t="s">
        <v>411</v>
      </c>
      <c r="B247" s="102" t="s">
        <v>3009</v>
      </c>
      <c r="C247" s="102">
        <v>155422</v>
      </c>
      <c r="D247" s="102" t="s">
        <v>411</v>
      </c>
      <c r="E247" s="102"/>
    </row>
    <row r="248" spans="1:5" x14ac:dyDescent="0.15">
      <c r="A248" s="102" t="s">
        <v>525</v>
      </c>
      <c r="B248" s="102" t="s">
        <v>3068</v>
      </c>
      <c r="C248" s="102">
        <v>236973</v>
      </c>
      <c r="D248" s="102" t="s">
        <v>525</v>
      </c>
      <c r="E248" s="102"/>
    </row>
    <row r="249" spans="1:5" x14ac:dyDescent="0.15">
      <c r="A249" s="102" t="s">
        <v>378</v>
      </c>
      <c r="B249" s="102" t="s">
        <v>3053</v>
      </c>
      <c r="C249" s="102">
        <v>236883</v>
      </c>
      <c r="D249" s="102" t="s">
        <v>378</v>
      </c>
      <c r="E249" s="102"/>
    </row>
    <row r="250" spans="1:5" x14ac:dyDescent="0.15">
      <c r="A250" s="102" t="s">
        <v>601</v>
      </c>
      <c r="B250" s="102" t="s">
        <v>3065</v>
      </c>
      <c r="C250" s="102">
        <v>236000</v>
      </c>
      <c r="D250" s="102" t="s">
        <v>601</v>
      </c>
      <c r="E250" s="102"/>
    </row>
    <row r="251" spans="1:5" x14ac:dyDescent="0.15">
      <c r="A251" s="102" t="s">
        <v>472</v>
      </c>
      <c r="B251" s="102" t="s">
        <v>3063</v>
      </c>
      <c r="C251" s="102">
        <v>236816</v>
      </c>
      <c r="D251" s="102" t="s">
        <v>472</v>
      </c>
      <c r="E251" s="102"/>
    </row>
    <row r="252" spans="1:5" x14ac:dyDescent="0.15">
      <c r="A252" s="102" t="s">
        <v>516</v>
      </c>
      <c r="B252" s="102" t="s">
        <v>3070</v>
      </c>
      <c r="C252" s="102">
        <v>236896</v>
      </c>
      <c r="D252" s="102" t="s">
        <v>516</v>
      </c>
      <c r="E252" s="102"/>
    </row>
    <row r="253" spans="1:5" x14ac:dyDescent="0.15">
      <c r="A253" s="102" t="s">
        <v>490</v>
      </c>
      <c r="B253" s="102" t="s">
        <v>3077</v>
      </c>
      <c r="C253" s="102">
        <v>236817</v>
      </c>
      <c r="D253" s="102" t="s">
        <v>490</v>
      </c>
      <c r="E253" s="102"/>
    </row>
    <row r="254" spans="1:5" x14ac:dyDescent="0.15">
      <c r="A254" s="102" t="s">
        <v>458</v>
      </c>
      <c r="B254" s="102" t="s">
        <v>3076</v>
      </c>
      <c r="C254" s="102">
        <v>236948</v>
      </c>
      <c r="D254" s="102" t="s">
        <v>458</v>
      </c>
      <c r="E254" s="102"/>
    </row>
    <row r="255" spans="1:5" x14ac:dyDescent="0.15">
      <c r="A255" s="102" t="s">
        <v>613</v>
      </c>
      <c r="B255" s="102" t="s">
        <v>1928</v>
      </c>
      <c r="C255" s="102">
        <v>119841</v>
      </c>
      <c r="D255" s="102" t="s">
        <v>613</v>
      </c>
      <c r="E255" s="102"/>
    </row>
    <row r="256" spans="1:5" x14ac:dyDescent="0.15">
      <c r="A256" s="102" t="s">
        <v>507</v>
      </c>
      <c r="B256" s="102" t="s">
        <v>3078</v>
      </c>
      <c r="C256" s="102">
        <v>236818</v>
      </c>
      <c r="D256" s="102" t="s">
        <v>507</v>
      </c>
      <c r="E256" s="102"/>
    </row>
    <row r="257" spans="1:5" x14ac:dyDescent="0.15">
      <c r="A257" s="102" t="s">
        <v>249</v>
      </c>
      <c r="B257" s="102" t="s">
        <v>3079</v>
      </c>
      <c r="C257" s="102">
        <v>78108</v>
      </c>
      <c r="D257" s="102" t="s">
        <v>249</v>
      </c>
      <c r="E257" s="102"/>
    </row>
    <row r="258" spans="1:5" x14ac:dyDescent="0.15">
      <c r="A258" s="102" t="s">
        <v>624</v>
      </c>
      <c r="B258" s="102" t="s">
        <v>3065</v>
      </c>
      <c r="C258" s="102">
        <v>236001</v>
      </c>
      <c r="D258" s="102" t="s">
        <v>624</v>
      </c>
      <c r="E258" s="102"/>
    </row>
    <row r="259" spans="1:5" x14ac:dyDescent="0.15">
      <c r="A259" s="102" t="s">
        <v>540</v>
      </c>
      <c r="B259" s="102" t="s">
        <v>3061</v>
      </c>
      <c r="C259" s="102">
        <v>236012</v>
      </c>
      <c r="D259" s="102" t="s">
        <v>540</v>
      </c>
      <c r="E259" s="102"/>
    </row>
    <row r="260" spans="1:5" x14ac:dyDescent="0.15">
      <c r="A260" s="102" t="s">
        <v>530</v>
      </c>
      <c r="B260" s="102" t="s">
        <v>3075</v>
      </c>
      <c r="C260" s="102">
        <v>237015</v>
      </c>
      <c r="D260" s="102" t="s">
        <v>530</v>
      </c>
      <c r="E260" s="102"/>
    </row>
    <row r="261" spans="1:5" x14ac:dyDescent="0.15">
      <c r="A261" s="102" t="s">
        <v>429</v>
      </c>
      <c r="B261" s="102" t="s">
        <v>3009</v>
      </c>
      <c r="C261" s="102">
        <v>121307</v>
      </c>
      <c r="D261" s="102" t="s">
        <v>429</v>
      </c>
      <c r="E261" s="102"/>
    </row>
    <row r="262" spans="1:5" x14ac:dyDescent="0.15">
      <c r="A262" s="102" t="s">
        <v>633</v>
      </c>
      <c r="B262" s="102" t="s">
        <v>3080</v>
      </c>
      <c r="C262" s="102">
        <v>236002</v>
      </c>
      <c r="D262" s="102" t="s">
        <v>633</v>
      </c>
      <c r="E262" s="102"/>
    </row>
    <row r="263" spans="1:5" x14ac:dyDescent="0.15">
      <c r="A263" s="102" t="s">
        <v>449</v>
      </c>
      <c r="B263" s="102" t="s">
        <v>3081</v>
      </c>
      <c r="C263" s="102">
        <v>236906</v>
      </c>
      <c r="D263" s="102" t="s">
        <v>449</v>
      </c>
      <c r="E263" s="102"/>
    </row>
    <row r="264" spans="1:5" x14ac:dyDescent="0.15">
      <c r="A264" s="102" t="s">
        <v>657</v>
      </c>
      <c r="B264" s="102" t="s">
        <v>3082</v>
      </c>
      <c r="C264" s="102">
        <v>237044</v>
      </c>
      <c r="D264" s="102" t="s">
        <v>657</v>
      </c>
      <c r="E264" s="102"/>
    </row>
    <row r="265" spans="1:5" x14ac:dyDescent="0.15">
      <c r="A265" s="102" t="s">
        <v>498</v>
      </c>
      <c r="B265" s="102" t="s">
        <v>3051</v>
      </c>
      <c r="C265" s="102">
        <v>235971</v>
      </c>
      <c r="D265" s="102" t="s">
        <v>498</v>
      </c>
      <c r="E265" s="102"/>
    </row>
    <row r="266" spans="1:5" x14ac:dyDescent="0.15">
      <c r="A266" s="102" t="s">
        <v>552</v>
      </c>
      <c r="B266" s="102" t="s">
        <v>3083</v>
      </c>
      <c r="C266" s="102">
        <v>236766</v>
      </c>
      <c r="D266" s="102" t="s">
        <v>552</v>
      </c>
      <c r="E266" s="102"/>
    </row>
    <row r="267" spans="1:5" x14ac:dyDescent="0.15">
      <c r="A267" s="102" t="s">
        <v>396</v>
      </c>
      <c r="B267" s="102" t="s">
        <v>1825</v>
      </c>
      <c r="C267" s="102">
        <v>121089</v>
      </c>
      <c r="D267" s="102" t="s">
        <v>396</v>
      </c>
      <c r="E267" s="102"/>
    </row>
    <row r="268" spans="1:5" x14ac:dyDescent="0.15">
      <c r="A268" s="102" t="s">
        <v>476</v>
      </c>
      <c r="B268" s="102" t="s">
        <v>3076</v>
      </c>
      <c r="C268" s="102">
        <v>236949</v>
      </c>
      <c r="D268" s="102" t="s">
        <v>476</v>
      </c>
      <c r="E268" s="102"/>
    </row>
    <row r="269" spans="1:5" x14ac:dyDescent="0.15">
      <c r="A269" s="102" t="s">
        <v>524</v>
      </c>
      <c r="B269" s="102" t="s">
        <v>3078</v>
      </c>
      <c r="C269" s="102">
        <v>236819</v>
      </c>
      <c r="D269" s="102" t="s">
        <v>524</v>
      </c>
      <c r="E269" s="102"/>
    </row>
    <row r="270" spans="1:5" x14ac:dyDescent="0.15">
      <c r="A270" s="102" t="s">
        <v>515</v>
      </c>
      <c r="B270" s="102" t="s">
        <v>3051</v>
      </c>
      <c r="C270" s="102">
        <v>235972</v>
      </c>
      <c r="D270" s="102" t="s">
        <v>515</v>
      </c>
      <c r="E270" s="102"/>
    </row>
    <row r="271" spans="1:5" x14ac:dyDescent="0.15">
      <c r="A271" s="102" t="s">
        <v>566</v>
      </c>
      <c r="B271" s="102" t="s">
        <v>3083</v>
      </c>
      <c r="C271" s="102">
        <v>236767</v>
      </c>
      <c r="D271" s="102" t="s">
        <v>566</v>
      </c>
      <c r="E271" s="102"/>
    </row>
    <row r="272" spans="1:5" x14ac:dyDescent="0.15">
      <c r="A272" s="102" t="s">
        <v>510</v>
      </c>
      <c r="B272" s="102" t="s">
        <v>3084</v>
      </c>
      <c r="C272" s="102">
        <v>236925</v>
      </c>
      <c r="D272" s="102" t="s">
        <v>510</v>
      </c>
      <c r="E272" s="102"/>
    </row>
    <row r="273" spans="1:5" x14ac:dyDescent="0.15">
      <c r="A273" s="102" t="s">
        <v>534</v>
      </c>
      <c r="B273" s="102" t="s">
        <v>1825</v>
      </c>
      <c r="C273" s="102">
        <v>120207</v>
      </c>
      <c r="D273" s="102" t="s">
        <v>534</v>
      </c>
      <c r="E273" s="102"/>
    </row>
    <row r="274" spans="1:5" x14ac:dyDescent="0.15">
      <c r="A274" s="102" t="s">
        <v>494</v>
      </c>
      <c r="B274" s="102" t="s">
        <v>3085</v>
      </c>
      <c r="C274" s="102">
        <v>236950</v>
      </c>
      <c r="D274" s="102" t="s">
        <v>494</v>
      </c>
      <c r="E274" s="102"/>
    </row>
    <row r="275" spans="1:5" x14ac:dyDescent="0.15">
      <c r="A275" s="102" t="s">
        <v>539</v>
      </c>
      <c r="B275" s="102" t="s">
        <v>3078</v>
      </c>
      <c r="C275" s="102">
        <v>236820</v>
      </c>
      <c r="D275" s="102" t="s">
        <v>539</v>
      </c>
      <c r="E275" s="102"/>
    </row>
    <row r="276" spans="1:5" x14ac:dyDescent="0.15">
      <c r="A276" s="102" t="s">
        <v>448</v>
      </c>
      <c r="B276" s="102" t="s">
        <v>3009</v>
      </c>
      <c r="C276" s="102">
        <v>203389</v>
      </c>
      <c r="D276" s="102" t="s">
        <v>448</v>
      </c>
      <c r="E276" s="102"/>
    </row>
    <row r="277" spans="1:5" x14ac:dyDescent="0.15">
      <c r="A277" s="102" t="s">
        <v>554</v>
      </c>
      <c r="B277" s="102" t="s">
        <v>3086</v>
      </c>
      <c r="C277" s="102">
        <v>236821</v>
      </c>
      <c r="D277" s="102" t="s">
        <v>554</v>
      </c>
      <c r="E277" s="102"/>
    </row>
    <row r="278" spans="1:5" x14ac:dyDescent="0.15">
      <c r="A278" s="102" t="s">
        <v>549</v>
      </c>
      <c r="B278" s="102" t="s">
        <v>3071</v>
      </c>
      <c r="C278" s="102">
        <v>236876</v>
      </c>
      <c r="D278" s="102" t="s">
        <v>549</v>
      </c>
      <c r="E278" s="102"/>
    </row>
    <row r="279" spans="1:5" x14ac:dyDescent="0.15">
      <c r="A279" s="102" t="s">
        <v>467</v>
      </c>
      <c r="B279" s="102" t="s">
        <v>3087</v>
      </c>
      <c r="C279" s="102">
        <v>236907</v>
      </c>
      <c r="D279" s="102" t="s">
        <v>467</v>
      </c>
      <c r="E279" s="102"/>
    </row>
    <row r="280" spans="1:5" x14ac:dyDescent="0.15">
      <c r="A280" s="102" t="s">
        <v>533</v>
      </c>
      <c r="B280" s="102" t="s">
        <v>3088</v>
      </c>
      <c r="C280" s="102">
        <v>236897</v>
      </c>
      <c r="D280" s="102" t="s">
        <v>533</v>
      </c>
      <c r="E280" s="102"/>
    </row>
    <row r="281" spans="1:5" x14ac:dyDescent="0.15">
      <c r="A281" s="102" t="s">
        <v>660</v>
      </c>
      <c r="B281" s="102" t="s">
        <v>3082</v>
      </c>
      <c r="C281" s="102">
        <v>237045</v>
      </c>
      <c r="D281" s="102" t="s">
        <v>660</v>
      </c>
      <c r="E281" s="102"/>
    </row>
    <row r="282" spans="1:5" x14ac:dyDescent="0.15">
      <c r="A282" s="102" t="s">
        <v>485</v>
      </c>
      <c r="B282" s="102" t="s">
        <v>3009</v>
      </c>
      <c r="C282" s="102">
        <v>178586</v>
      </c>
      <c r="D282" s="102" t="s">
        <v>485</v>
      </c>
      <c r="E282" s="102"/>
    </row>
    <row r="283" spans="1:5" x14ac:dyDescent="0.15">
      <c r="A283" s="102" t="s">
        <v>568</v>
      </c>
      <c r="B283" s="102" t="s">
        <v>3086</v>
      </c>
      <c r="C283" s="102">
        <v>236822</v>
      </c>
      <c r="D283" s="102" t="s">
        <v>568</v>
      </c>
      <c r="E283" s="102"/>
    </row>
    <row r="284" spans="1:5" x14ac:dyDescent="0.15">
      <c r="A284" s="102" t="s">
        <v>663</v>
      </c>
      <c r="B284" s="102" t="s">
        <v>3082</v>
      </c>
      <c r="C284" s="102">
        <v>237046</v>
      </c>
      <c r="D284" s="102" t="s">
        <v>663</v>
      </c>
      <c r="E284" s="102"/>
    </row>
    <row r="285" spans="1:5" x14ac:dyDescent="0.15">
      <c r="A285" s="102" t="s">
        <v>564</v>
      </c>
      <c r="B285" s="102" t="s">
        <v>3089</v>
      </c>
      <c r="C285" s="102">
        <v>236877</v>
      </c>
      <c r="D285" s="102" t="s">
        <v>564</v>
      </c>
      <c r="E285" s="102"/>
    </row>
    <row r="286" spans="1:5" x14ac:dyDescent="0.15">
      <c r="A286" s="102" t="s">
        <v>555</v>
      </c>
      <c r="B286" s="102" t="s">
        <v>3090</v>
      </c>
      <c r="C286" s="102">
        <v>236974</v>
      </c>
      <c r="D286" s="102" t="s">
        <v>555</v>
      </c>
      <c r="E286" s="102"/>
    </row>
    <row r="287" spans="1:5" x14ac:dyDescent="0.15">
      <c r="A287" s="102" t="s">
        <v>503</v>
      </c>
      <c r="B287" s="102" t="s">
        <v>3087</v>
      </c>
      <c r="C287" s="102">
        <v>236908</v>
      </c>
      <c r="D287" s="102" t="s">
        <v>503</v>
      </c>
      <c r="E287" s="102"/>
    </row>
    <row r="288" spans="1:5" x14ac:dyDescent="0.15">
      <c r="A288" s="102" t="s">
        <v>573</v>
      </c>
      <c r="B288" s="102" t="s">
        <v>3058</v>
      </c>
      <c r="C288" s="102">
        <v>236995</v>
      </c>
      <c r="D288" s="102" t="s">
        <v>573</v>
      </c>
      <c r="E288" s="102"/>
    </row>
    <row r="289" spans="1:5" x14ac:dyDescent="0.15">
      <c r="A289" s="102" t="s">
        <v>669</v>
      </c>
      <c r="B289" s="102" t="s">
        <v>3082</v>
      </c>
      <c r="C289" s="102">
        <v>237047</v>
      </c>
      <c r="D289" s="102" t="s">
        <v>669</v>
      </c>
      <c r="E289" s="102"/>
    </row>
    <row r="290" spans="1:5" x14ac:dyDescent="0.15">
      <c r="A290" s="102" t="s">
        <v>641</v>
      </c>
      <c r="B290" s="102" t="s">
        <v>1825</v>
      </c>
      <c r="C290" s="102">
        <v>110882</v>
      </c>
      <c r="D290" s="102" t="s">
        <v>641</v>
      </c>
      <c r="E290" s="102"/>
    </row>
    <row r="291" spans="1:5" x14ac:dyDescent="0.15">
      <c r="A291" s="102" t="s">
        <v>580</v>
      </c>
      <c r="B291" s="102" t="s">
        <v>3083</v>
      </c>
      <c r="C291" s="102">
        <v>236768</v>
      </c>
      <c r="D291" s="102" t="s">
        <v>580</v>
      </c>
      <c r="E291" s="102"/>
    </row>
    <row r="292" spans="1:5" x14ac:dyDescent="0.15">
      <c r="A292" s="102" t="s">
        <v>414</v>
      </c>
      <c r="B292" s="102" t="s">
        <v>1928</v>
      </c>
      <c r="C292" s="102">
        <v>120240</v>
      </c>
      <c r="D292" s="102" t="s">
        <v>414</v>
      </c>
      <c r="E292" s="102"/>
    </row>
    <row r="293" spans="1:5" x14ac:dyDescent="0.15">
      <c r="A293" s="102" t="s">
        <v>532</v>
      </c>
      <c r="B293" s="102" t="s">
        <v>1825</v>
      </c>
      <c r="C293" s="102">
        <v>73987</v>
      </c>
      <c r="D293" s="102" t="s">
        <v>532</v>
      </c>
      <c r="E293" s="102"/>
    </row>
    <row r="294" spans="1:5" x14ac:dyDescent="0.15">
      <c r="A294" s="102" t="s">
        <v>593</v>
      </c>
      <c r="B294" s="102" t="s">
        <v>3091</v>
      </c>
      <c r="C294" s="102">
        <v>236769</v>
      </c>
      <c r="D294" s="102" t="s">
        <v>593</v>
      </c>
      <c r="E294" s="102"/>
    </row>
    <row r="295" spans="1:5" x14ac:dyDescent="0.15">
      <c r="A295" s="102" t="s">
        <v>520</v>
      </c>
      <c r="B295" s="102" t="s">
        <v>3092</v>
      </c>
      <c r="C295" s="102">
        <v>236910</v>
      </c>
      <c r="D295" s="102" t="s">
        <v>520</v>
      </c>
      <c r="E295" s="102"/>
    </row>
    <row r="296" spans="1:5" x14ac:dyDescent="0.15">
      <c r="A296" s="102" t="s">
        <v>547</v>
      </c>
      <c r="B296" s="102" t="s">
        <v>3093</v>
      </c>
      <c r="C296" s="102">
        <v>235973</v>
      </c>
      <c r="D296" s="102" t="s">
        <v>547</v>
      </c>
      <c r="E296" s="102"/>
    </row>
    <row r="297" spans="1:5" x14ac:dyDescent="0.15">
      <c r="A297" s="102" t="s">
        <v>447</v>
      </c>
      <c r="B297" s="102" t="s">
        <v>3073</v>
      </c>
      <c r="C297" s="102">
        <v>236858</v>
      </c>
      <c r="D297" s="102" t="s">
        <v>447</v>
      </c>
      <c r="E297" s="102"/>
    </row>
    <row r="298" spans="1:5" x14ac:dyDescent="0.15">
      <c r="A298" s="102" t="s">
        <v>527</v>
      </c>
      <c r="B298" s="102" t="s">
        <v>3084</v>
      </c>
      <c r="C298" s="102">
        <v>236926</v>
      </c>
      <c r="D298" s="102" t="s">
        <v>527</v>
      </c>
      <c r="E298" s="102"/>
    </row>
    <row r="299" spans="1:5" x14ac:dyDescent="0.15">
      <c r="A299" s="102" t="s">
        <v>582</v>
      </c>
      <c r="B299" s="102" t="s">
        <v>3086</v>
      </c>
      <c r="C299" s="102">
        <v>236823</v>
      </c>
      <c r="D299" s="102" t="s">
        <v>582</v>
      </c>
      <c r="E299" s="102"/>
    </row>
    <row r="300" spans="1:5" x14ac:dyDescent="0.15">
      <c r="A300" s="102" t="s">
        <v>594</v>
      </c>
      <c r="B300" s="102" t="s">
        <v>3094</v>
      </c>
      <c r="C300" s="102">
        <v>236803</v>
      </c>
      <c r="D300" s="102" t="s">
        <v>594</v>
      </c>
      <c r="E300" s="102"/>
    </row>
    <row r="301" spans="1:5" x14ac:dyDescent="0.15">
      <c r="A301" s="102" t="s">
        <v>465</v>
      </c>
      <c r="B301" s="102" t="s">
        <v>3073</v>
      </c>
      <c r="C301" s="102">
        <v>236859</v>
      </c>
      <c r="D301" s="102" t="s">
        <v>465</v>
      </c>
      <c r="E301" s="102"/>
    </row>
    <row r="302" spans="1:5" x14ac:dyDescent="0.15">
      <c r="A302" s="102" t="s">
        <v>578</v>
      </c>
      <c r="B302" s="102" t="s">
        <v>3089</v>
      </c>
      <c r="C302" s="102">
        <v>236878</v>
      </c>
      <c r="D302" s="102" t="s">
        <v>578</v>
      </c>
      <c r="E302" s="102"/>
    </row>
    <row r="303" spans="1:5" x14ac:dyDescent="0.15">
      <c r="A303" s="102" t="s">
        <v>483</v>
      </c>
      <c r="B303" s="102" t="s">
        <v>3073</v>
      </c>
      <c r="C303" s="102">
        <v>236860</v>
      </c>
      <c r="D303" s="102" t="s">
        <v>483</v>
      </c>
      <c r="E303" s="102"/>
    </row>
    <row r="304" spans="1:5" x14ac:dyDescent="0.15">
      <c r="A304" s="102" t="s">
        <v>451</v>
      </c>
      <c r="B304" s="102" t="s">
        <v>3062</v>
      </c>
      <c r="C304" s="102">
        <v>236836</v>
      </c>
      <c r="D304" s="102" t="s">
        <v>451</v>
      </c>
      <c r="E304" s="102"/>
    </row>
    <row r="305" spans="1:5" x14ac:dyDescent="0.15">
      <c r="A305" s="102" t="s">
        <v>595</v>
      </c>
      <c r="B305" s="102" t="s">
        <v>3086</v>
      </c>
      <c r="C305" s="102">
        <v>236824</v>
      </c>
      <c r="D305" s="102" t="s">
        <v>595</v>
      </c>
      <c r="E305" s="102"/>
    </row>
    <row r="306" spans="1:5" x14ac:dyDescent="0.15">
      <c r="A306" s="102" t="s">
        <v>548</v>
      </c>
      <c r="B306" s="102" t="s">
        <v>1825</v>
      </c>
      <c r="C306" s="102">
        <v>73995</v>
      </c>
      <c r="D306" s="102" t="s">
        <v>548</v>
      </c>
      <c r="E306" s="102"/>
    </row>
    <row r="307" spans="1:5" x14ac:dyDescent="0.15">
      <c r="A307" s="102" t="s">
        <v>563</v>
      </c>
      <c r="B307" s="102" t="s">
        <v>1825</v>
      </c>
      <c r="C307" s="102">
        <v>103355</v>
      </c>
      <c r="D307" s="102" t="s">
        <v>563</v>
      </c>
      <c r="E307" s="102"/>
    </row>
    <row r="308" spans="1:5" x14ac:dyDescent="0.15">
      <c r="A308" s="102" t="s">
        <v>501</v>
      </c>
      <c r="B308" s="102" t="s">
        <v>1825</v>
      </c>
      <c r="C308" s="102">
        <v>103117</v>
      </c>
      <c r="D308" s="102" t="s">
        <v>501</v>
      </c>
      <c r="E308" s="102"/>
    </row>
    <row r="309" spans="1:5" x14ac:dyDescent="0.15">
      <c r="A309" s="102" t="s">
        <v>536</v>
      </c>
      <c r="B309" s="102" t="s">
        <v>1825</v>
      </c>
      <c r="C309" s="102">
        <v>112350</v>
      </c>
      <c r="D309" s="102" t="s">
        <v>536</v>
      </c>
      <c r="E309" s="102"/>
    </row>
    <row r="310" spans="1:5" x14ac:dyDescent="0.15">
      <c r="A310" s="102" t="s">
        <v>587</v>
      </c>
      <c r="B310" s="102" t="s">
        <v>3095</v>
      </c>
      <c r="C310" s="102">
        <v>236996</v>
      </c>
      <c r="D310" s="102" t="s">
        <v>587</v>
      </c>
      <c r="E310" s="102"/>
    </row>
    <row r="311" spans="1:5" x14ac:dyDescent="0.15">
      <c r="A311" s="102" t="s">
        <v>542</v>
      </c>
      <c r="B311" s="102" t="s">
        <v>3084</v>
      </c>
      <c r="C311" s="102">
        <v>236927</v>
      </c>
      <c r="D311" s="102" t="s">
        <v>542</v>
      </c>
      <c r="E311" s="102"/>
    </row>
    <row r="312" spans="1:5" x14ac:dyDescent="0.15">
      <c r="A312" s="102" t="s">
        <v>605</v>
      </c>
      <c r="B312" s="102" t="s">
        <v>3091</v>
      </c>
      <c r="C312" s="102">
        <v>236770</v>
      </c>
      <c r="D312" s="102" t="s">
        <v>605</v>
      </c>
      <c r="E312" s="102"/>
    </row>
    <row r="313" spans="1:5" x14ac:dyDescent="0.15">
      <c r="A313" s="102" t="s">
        <v>600</v>
      </c>
      <c r="B313" s="102" t="s">
        <v>3095</v>
      </c>
      <c r="C313" s="102">
        <v>236997</v>
      </c>
      <c r="D313" s="102" t="s">
        <v>600</v>
      </c>
      <c r="E313" s="102"/>
    </row>
    <row r="314" spans="1:5" x14ac:dyDescent="0.15">
      <c r="A314" s="102" t="s">
        <v>616</v>
      </c>
      <c r="B314" s="102" t="s">
        <v>3091</v>
      </c>
      <c r="C314" s="102">
        <v>236771</v>
      </c>
      <c r="D314" s="102" t="s">
        <v>616</v>
      </c>
      <c r="E314" s="102"/>
    </row>
    <row r="315" spans="1:5" x14ac:dyDescent="0.15">
      <c r="A315" s="102" t="s">
        <v>607</v>
      </c>
      <c r="B315" s="102" t="s">
        <v>3096</v>
      </c>
      <c r="C315" s="102">
        <v>236825</v>
      </c>
      <c r="D315" s="102" t="s">
        <v>607</v>
      </c>
      <c r="E315" s="102"/>
    </row>
    <row r="316" spans="1:5" x14ac:dyDescent="0.15">
      <c r="A316" s="102" t="s">
        <v>569</v>
      </c>
      <c r="B316" s="102" t="s">
        <v>3090</v>
      </c>
      <c r="C316" s="102">
        <v>236975</v>
      </c>
      <c r="D316" s="102" t="s">
        <v>569</v>
      </c>
      <c r="E316" s="102"/>
    </row>
    <row r="317" spans="1:5" x14ac:dyDescent="0.15">
      <c r="A317" s="102" t="s">
        <v>606</v>
      </c>
      <c r="B317" s="102" t="s">
        <v>3097</v>
      </c>
      <c r="C317" s="102">
        <v>214841</v>
      </c>
      <c r="D317" s="102" t="s">
        <v>606</v>
      </c>
      <c r="E317" s="102"/>
    </row>
    <row r="318" spans="1:5" x14ac:dyDescent="0.15">
      <c r="A318" s="102" t="s">
        <v>562</v>
      </c>
      <c r="B318" s="102" t="s">
        <v>3093</v>
      </c>
      <c r="C318" s="102">
        <v>235974</v>
      </c>
      <c r="D318" s="102" t="s">
        <v>562</v>
      </c>
      <c r="E318" s="102"/>
    </row>
    <row r="319" spans="1:5" x14ac:dyDescent="0.15">
      <c r="A319" s="102" t="s">
        <v>576</v>
      </c>
      <c r="B319" s="102" t="s">
        <v>1825</v>
      </c>
      <c r="C319" s="102">
        <v>119800</v>
      </c>
      <c r="D319" s="102" t="s">
        <v>576</v>
      </c>
      <c r="E319" s="102"/>
    </row>
    <row r="320" spans="1:5" x14ac:dyDescent="0.15">
      <c r="A320" s="102" t="s">
        <v>617</v>
      </c>
      <c r="B320" s="102" t="s">
        <v>3094</v>
      </c>
      <c r="C320" s="102">
        <v>236804</v>
      </c>
      <c r="D320" s="102" t="s">
        <v>617</v>
      </c>
      <c r="E320" s="102"/>
    </row>
    <row r="321" spans="1:5" x14ac:dyDescent="0.15">
      <c r="A321" s="102" t="s">
        <v>469</v>
      </c>
      <c r="B321" s="102" t="s">
        <v>3062</v>
      </c>
      <c r="C321" s="102">
        <v>236837</v>
      </c>
      <c r="D321" s="102" t="s">
        <v>469</v>
      </c>
      <c r="E321" s="102"/>
    </row>
    <row r="322" spans="1:5" x14ac:dyDescent="0.15">
      <c r="A322" s="102" t="s">
        <v>672</v>
      </c>
      <c r="B322" s="102" t="s">
        <v>3098</v>
      </c>
      <c r="C322" s="102">
        <v>237048</v>
      </c>
      <c r="D322" s="102" t="s">
        <v>672</v>
      </c>
      <c r="E322" s="102"/>
    </row>
    <row r="323" spans="1:5" x14ac:dyDescent="0.15">
      <c r="A323" s="102" t="s">
        <v>551</v>
      </c>
      <c r="B323" s="102" t="s">
        <v>3092</v>
      </c>
      <c r="C323" s="102">
        <v>236911</v>
      </c>
      <c r="D323" s="102" t="s">
        <v>551</v>
      </c>
      <c r="E323" s="102"/>
    </row>
    <row r="324" spans="1:5" x14ac:dyDescent="0.15">
      <c r="A324" s="102" t="s">
        <v>511</v>
      </c>
      <c r="B324" s="102" t="s">
        <v>3085</v>
      </c>
      <c r="C324" s="102">
        <v>236951</v>
      </c>
      <c r="D324" s="102" t="s">
        <v>511</v>
      </c>
      <c r="E324" s="102"/>
    </row>
    <row r="325" spans="1:5" x14ac:dyDescent="0.15">
      <c r="A325" s="102" t="s">
        <v>590</v>
      </c>
      <c r="B325" s="102" t="s">
        <v>1825</v>
      </c>
      <c r="C325" s="102">
        <v>58715</v>
      </c>
      <c r="D325" s="102" t="s">
        <v>590</v>
      </c>
      <c r="E325" s="102"/>
    </row>
    <row r="326" spans="1:5" x14ac:dyDescent="0.15">
      <c r="A326" s="102" t="s">
        <v>675</v>
      </c>
      <c r="B326" s="102" t="s">
        <v>3098</v>
      </c>
      <c r="C326" s="102">
        <v>237049</v>
      </c>
      <c r="D326" s="102" t="s">
        <v>675</v>
      </c>
      <c r="E326" s="102"/>
    </row>
    <row r="327" spans="1:5" x14ac:dyDescent="0.15">
      <c r="A327" s="102" t="s">
        <v>583</v>
      </c>
      <c r="B327" s="102" t="s">
        <v>3009</v>
      </c>
      <c r="C327" s="102">
        <v>155090</v>
      </c>
      <c r="D327" s="102" t="s">
        <v>583</v>
      </c>
      <c r="E327" s="102"/>
    </row>
    <row r="328" spans="1:5" x14ac:dyDescent="0.15">
      <c r="A328" s="102" t="s">
        <v>596</v>
      </c>
      <c r="B328" s="102" t="s">
        <v>1825</v>
      </c>
      <c r="C328" s="102">
        <v>87461</v>
      </c>
      <c r="D328" s="102" t="s">
        <v>596</v>
      </c>
      <c r="E328" s="102"/>
    </row>
    <row r="329" spans="1:5" x14ac:dyDescent="0.15">
      <c r="A329" s="102" t="s">
        <v>432</v>
      </c>
      <c r="B329" s="102" t="s">
        <v>3053</v>
      </c>
      <c r="C329" s="102">
        <v>236884</v>
      </c>
      <c r="D329" s="102" t="s">
        <v>432</v>
      </c>
      <c r="E329" s="102"/>
    </row>
    <row r="330" spans="1:5" x14ac:dyDescent="0.15">
      <c r="A330" s="102" t="s">
        <v>649</v>
      </c>
      <c r="B330" s="102" t="s">
        <v>3080</v>
      </c>
      <c r="C330" s="102">
        <v>236003</v>
      </c>
      <c r="D330" s="102" t="s">
        <v>649</v>
      </c>
      <c r="E330" s="102"/>
    </row>
    <row r="331" spans="1:5" x14ac:dyDescent="0.15">
      <c r="A331" s="102" t="s">
        <v>626</v>
      </c>
      <c r="B331" s="102" t="s">
        <v>3099</v>
      </c>
      <c r="C331" s="102">
        <v>236772</v>
      </c>
      <c r="D331" s="102" t="s">
        <v>626</v>
      </c>
      <c r="E331" s="102"/>
    </row>
    <row r="332" spans="1:5" x14ac:dyDescent="0.15">
      <c r="A332" s="102" t="s">
        <v>528</v>
      </c>
      <c r="B332" s="102" t="s">
        <v>3085</v>
      </c>
      <c r="C332" s="102">
        <v>236952</v>
      </c>
      <c r="D332" s="102" t="s">
        <v>528</v>
      </c>
      <c r="E332" s="102"/>
    </row>
    <row r="333" spans="1:5" x14ac:dyDescent="0.15">
      <c r="A333" s="102" t="s">
        <v>612</v>
      </c>
      <c r="B333" s="102" t="s">
        <v>3095</v>
      </c>
      <c r="C333" s="102">
        <v>236998</v>
      </c>
      <c r="D333" s="102" t="s">
        <v>612</v>
      </c>
      <c r="E333" s="102"/>
    </row>
    <row r="334" spans="1:5" x14ac:dyDescent="0.15">
      <c r="A334" s="102" t="s">
        <v>602</v>
      </c>
      <c r="B334" s="102" t="s">
        <v>1825</v>
      </c>
      <c r="C334" s="102">
        <v>119755</v>
      </c>
      <c r="D334" s="102" t="s">
        <v>602</v>
      </c>
      <c r="E334" s="102"/>
    </row>
    <row r="335" spans="1:5" x14ac:dyDescent="0.15">
      <c r="A335" s="102" t="s">
        <v>635</v>
      </c>
      <c r="B335" s="102" t="s">
        <v>3099</v>
      </c>
      <c r="C335" s="102">
        <v>236773</v>
      </c>
      <c r="D335" s="102" t="s">
        <v>635</v>
      </c>
      <c r="E335" s="102"/>
    </row>
    <row r="336" spans="1:5" x14ac:dyDescent="0.15">
      <c r="A336" s="102" t="s">
        <v>627</v>
      </c>
      <c r="B336" s="102" t="s">
        <v>3094</v>
      </c>
      <c r="C336" s="102">
        <v>236805</v>
      </c>
      <c r="D336" s="102" t="s">
        <v>627</v>
      </c>
      <c r="E336" s="102"/>
    </row>
    <row r="337" spans="1:5" x14ac:dyDescent="0.15">
      <c r="A337" s="102" t="s">
        <v>643</v>
      </c>
      <c r="B337" s="102" t="s">
        <v>3099</v>
      </c>
      <c r="C337" s="102">
        <v>236774</v>
      </c>
      <c r="D337" s="102" t="s">
        <v>643</v>
      </c>
      <c r="E337" s="102"/>
    </row>
    <row r="338" spans="1:5" x14ac:dyDescent="0.15">
      <c r="A338" s="102" t="s">
        <v>614</v>
      </c>
      <c r="B338" s="102" t="s">
        <v>3100</v>
      </c>
      <c r="C338" s="102">
        <v>235980</v>
      </c>
      <c r="D338" s="102" t="s">
        <v>614</v>
      </c>
      <c r="E338" s="102"/>
    </row>
    <row r="339" spans="1:5" x14ac:dyDescent="0.15">
      <c r="A339" s="102" t="s">
        <v>655</v>
      </c>
      <c r="B339" s="102" t="s">
        <v>3101</v>
      </c>
      <c r="C339" s="102">
        <v>236004</v>
      </c>
      <c r="D339" s="102" t="s">
        <v>655</v>
      </c>
      <c r="E339" s="102"/>
    </row>
    <row r="340" spans="1:5" x14ac:dyDescent="0.15">
      <c r="A340" s="102" t="s">
        <v>651</v>
      </c>
      <c r="B340" s="102" t="s">
        <v>3009</v>
      </c>
      <c r="C340" s="102">
        <v>121190</v>
      </c>
      <c r="D340" s="102" t="s">
        <v>651</v>
      </c>
      <c r="E340" s="102"/>
    </row>
    <row r="341" spans="1:5" x14ac:dyDescent="0.15">
      <c r="A341" s="102" t="s">
        <v>656</v>
      </c>
      <c r="B341" s="102" t="s">
        <v>3102</v>
      </c>
      <c r="C341" s="102">
        <v>236775</v>
      </c>
      <c r="D341" s="102" t="s">
        <v>656</v>
      </c>
      <c r="E341" s="102"/>
    </row>
    <row r="342" spans="1:5" x14ac:dyDescent="0.15">
      <c r="A342" s="102" t="s">
        <v>658</v>
      </c>
      <c r="B342" s="102" t="s">
        <v>3103</v>
      </c>
      <c r="C342" s="102">
        <v>164691</v>
      </c>
      <c r="D342" s="102" t="s">
        <v>658</v>
      </c>
      <c r="E342" s="102"/>
    </row>
    <row r="343" spans="1:5" x14ac:dyDescent="0.15">
      <c r="A343" s="102" t="s">
        <v>450</v>
      </c>
      <c r="B343" s="102" t="s">
        <v>3104</v>
      </c>
      <c r="C343" s="102">
        <v>236885</v>
      </c>
      <c r="D343" s="102" t="s">
        <v>450</v>
      </c>
      <c r="E343" s="102"/>
    </row>
    <row r="344" spans="1:5" x14ac:dyDescent="0.15">
      <c r="A344" s="102" t="s">
        <v>659</v>
      </c>
      <c r="B344" s="102" t="s">
        <v>3102</v>
      </c>
      <c r="C344" s="102">
        <v>236776</v>
      </c>
      <c r="D344" s="102" t="s">
        <v>659</v>
      </c>
      <c r="E344" s="102"/>
    </row>
    <row r="345" spans="1:5" x14ac:dyDescent="0.15">
      <c r="A345" s="102" t="s">
        <v>487</v>
      </c>
      <c r="B345" s="102" t="s">
        <v>3062</v>
      </c>
      <c r="C345" s="102">
        <v>236838</v>
      </c>
      <c r="D345" s="102" t="s">
        <v>487</v>
      </c>
      <c r="E345" s="102"/>
    </row>
    <row r="346" spans="1:5" x14ac:dyDescent="0.15">
      <c r="A346" s="102" t="s">
        <v>678</v>
      </c>
      <c r="B346" s="102" t="s">
        <v>3098</v>
      </c>
      <c r="C346" s="102">
        <v>237050</v>
      </c>
      <c r="D346" s="102" t="s">
        <v>678</v>
      </c>
      <c r="E346" s="102"/>
    </row>
    <row r="347" spans="1:5" x14ac:dyDescent="0.15">
      <c r="A347" s="102" t="s">
        <v>557</v>
      </c>
      <c r="B347" s="102" t="s">
        <v>3084</v>
      </c>
      <c r="C347" s="102">
        <v>236928</v>
      </c>
      <c r="D347" s="102" t="s">
        <v>557</v>
      </c>
      <c r="E347" s="102"/>
    </row>
    <row r="348" spans="1:5" x14ac:dyDescent="0.15">
      <c r="A348" s="102" t="s">
        <v>571</v>
      </c>
      <c r="B348" s="102" t="s">
        <v>3105</v>
      </c>
      <c r="C348" s="102">
        <v>236929</v>
      </c>
      <c r="D348" s="102" t="s">
        <v>571</v>
      </c>
      <c r="E348" s="102"/>
    </row>
    <row r="349" spans="1:5" x14ac:dyDescent="0.15">
      <c r="A349" s="102" t="s">
        <v>680</v>
      </c>
      <c r="B349" s="102" t="s">
        <v>3098</v>
      </c>
      <c r="C349" s="102">
        <v>237051</v>
      </c>
      <c r="D349" s="102" t="s">
        <v>680</v>
      </c>
      <c r="E349" s="102"/>
    </row>
    <row r="350" spans="1:5" x14ac:dyDescent="0.15">
      <c r="A350" s="102" t="s">
        <v>585</v>
      </c>
      <c r="B350" s="102" t="s">
        <v>3105</v>
      </c>
      <c r="C350" s="102">
        <v>236930</v>
      </c>
      <c r="D350" s="102" t="s">
        <v>585</v>
      </c>
      <c r="E350" s="102"/>
    </row>
    <row r="351" spans="1:5" x14ac:dyDescent="0.15">
      <c r="A351" s="102" t="s">
        <v>543</v>
      </c>
      <c r="B351" s="102" t="s">
        <v>3085</v>
      </c>
      <c r="C351" s="102">
        <v>236953</v>
      </c>
      <c r="D351" s="102" t="s">
        <v>543</v>
      </c>
      <c r="E351" s="102"/>
    </row>
    <row r="352" spans="1:5" x14ac:dyDescent="0.15">
      <c r="A352" s="102" t="s">
        <v>623</v>
      </c>
      <c r="B352" s="102" t="s">
        <v>3106</v>
      </c>
      <c r="C352" s="102">
        <v>236999</v>
      </c>
      <c r="D352" s="102" t="s">
        <v>623</v>
      </c>
      <c r="E352" s="102"/>
    </row>
    <row r="353" spans="1:5" x14ac:dyDescent="0.15">
      <c r="A353" s="102" t="s">
        <v>577</v>
      </c>
      <c r="B353" s="102" t="s">
        <v>1825</v>
      </c>
      <c r="C353" s="102">
        <v>121061</v>
      </c>
      <c r="D353" s="102" t="s">
        <v>577</v>
      </c>
      <c r="E353" s="102"/>
    </row>
    <row r="354" spans="1:5" x14ac:dyDescent="0.15">
      <c r="A354" s="102" t="s">
        <v>545</v>
      </c>
      <c r="B354" s="102" t="s">
        <v>1825</v>
      </c>
      <c r="C354" s="102">
        <v>85425</v>
      </c>
      <c r="D354" s="102" t="s">
        <v>545</v>
      </c>
      <c r="E354" s="102"/>
    </row>
    <row r="355" spans="1:5" x14ac:dyDescent="0.15">
      <c r="A355" s="102" t="s">
        <v>560</v>
      </c>
      <c r="B355" s="102" t="s">
        <v>3075</v>
      </c>
      <c r="C355" s="102">
        <v>237016</v>
      </c>
      <c r="D355" s="102" t="s">
        <v>560</v>
      </c>
      <c r="E355" s="102"/>
    </row>
    <row r="356" spans="1:5" x14ac:dyDescent="0.15">
      <c r="A356" s="102" t="s">
        <v>625</v>
      </c>
      <c r="B356" s="102" t="s">
        <v>3107</v>
      </c>
      <c r="C356" s="102">
        <v>235981</v>
      </c>
      <c r="D356" s="102" t="s">
        <v>625</v>
      </c>
      <c r="E356" s="102"/>
    </row>
    <row r="357" spans="1:5" x14ac:dyDescent="0.15">
      <c r="A357" s="102" t="s">
        <v>668</v>
      </c>
      <c r="B357" s="102" t="s">
        <v>3102</v>
      </c>
      <c r="C357" s="102">
        <v>236777</v>
      </c>
      <c r="D357" s="102" t="s">
        <v>668</v>
      </c>
      <c r="E357" s="102"/>
    </row>
    <row r="358" spans="1:5" x14ac:dyDescent="0.15">
      <c r="A358" s="102" t="s">
        <v>518</v>
      </c>
      <c r="B358" s="102" t="s">
        <v>3108</v>
      </c>
      <c r="C358" s="102">
        <v>236861</v>
      </c>
      <c r="D358" s="102" t="s">
        <v>518</v>
      </c>
      <c r="E358" s="102"/>
    </row>
    <row r="359" spans="1:5" x14ac:dyDescent="0.15">
      <c r="A359" s="102" t="s">
        <v>682</v>
      </c>
      <c r="B359" s="102" t="s">
        <v>3098</v>
      </c>
      <c r="C359" s="102">
        <v>237052</v>
      </c>
      <c r="D359" s="102" t="s">
        <v>682</v>
      </c>
      <c r="E359" s="102"/>
    </row>
    <row r="360" spans="1:5" x14ac:dyDescent="0.15">
      <c r="A360" s="102" t="s">
        <v>468</v>
      </c>
      <c r="B360" s="102" t="s">
        <v>3104</v>
      </c>
      <c r="C360" s="102">
        <v>236886</v>
      </c>
      <c r="D360" s="102" t="s">
        <v>468</v>
      </c>
      <c r="E360" s="102"/>
    </row>
    <row r="361" spans="1:5" x14ac:dyDescent="0.15">
      <c r="A361" s="102" t="s">
        <v>535</v>
      </c>
      <c r="B361" s="102" t="s">
        <v>3108</v>
      </c>
      <c r="C361" s="102">
        <v>236862</v>
      </c>
      <c r="D361" s="102" t="s">
        <v>535</v>
      </c>
      <c r="E361" s="102"/>
    </row>
    <row r="362" spans="1:5" x14ac:dyDescent="0.15">
      <c r="A362" s="102" t="s">
        <v>558</v>
      </c>
      <c r="B362" s="102" t="s">
        <v>3109</v>
      </c>
      <c r="C362" s="102">
        <v>236954</v>
      </c>
      <c r="D362" s="102" t="s">
        <v>558</v>
      </c>
      <c r="E362" s="102"/>
    </row>
    <row r="363" spans="1:5" x14ac:dyDescent="0.15">
      <c r="A363" s="102" t="s">
        <v>632</v>
      </c>
      <c r="B363" s="102" t="s">
        <v>3106</v>
      </c>
      <c r="C363" s="102">
        <v>237000</v>
      </c>
      <c r="D363" s="102" t="s">
        <v>632</v>
      </c>
      <c r="E363" s="102"/>
    </row>
    <row r="364" spans="1:5" x14ac:dyDescent="0.15">
      <c r="A364" s="102" t="s">
        <v>640</v>
      </c>
      <c r="B364" s="102" t="s">
        <v>3106</v>
      </c>
      <c r="C364" s="102">
        <v>237001</v>
      </c>
      <c r="D364" s="102" t="s">
        <v>640</v>
      </c>
      <c r="E364" s="102"/>
    </row>
    <row r="365" spans="1:5" x14ac:dyDescent="0.15">
      <c r="A365" s="102" t="s">
        <v>648</v>
      </c>
      <c r="B365" s="102" t="s">
        <v>1825</v>
      </c>
      <c r="C365" s="102">
        <v>87643</v>
      </c>
      <c r="D365" s="102" t="s">
        <v>648</v>
      </c>
      <c r="E365" s="102"/>
    </row>
    <row r="366" spans="1:5" x14ac:dyDescent="0.15">
      <c r="A366" s="102" t="s">
        <v>618</v>
      </c>
      <c r="B366" s="102" t="s">
        <v>1825</v>
      </c>
      <c r="C366" s="102">
        <v>83683</v>
      </c>
      <c r="D366" s="102" t="s">
        <v>618</v>
      </c>
      <c r="E366" s="102"/>
    </row>
    <row r="367" spans="1:5" x14ac:dyDescent="0.15">
      <c r="A367" s="102" t="s">
        <v>572</v>
      </c>
      <c r="B367" s="102" t="s">
        <v>3109</v>
      </c>
      <c r="C367" s="102">
        <v>236955</v>
      </c>
      <c r="D367" s="102" t="s">
        <v>572</v>
      </c>
      <c r="E367" s="102"/>
    </row>
    <row r="368" spans="1:5" x14ac:dyDescent="0.15">
      <c r="A368" s="102" t="s">
        <v>683</v>
      </c>
      <c r="B368" s="102" t="s">
        <v>3110</v>
      </c>
      <c r="C368" s="102">
        <v>237053</v>
      </c>
      <c r="D368" s="102" t="s">
        <v>683</v>
      </c>
      <c r="E368" s="102"/>
    </row>
    <row r="369" spans="1:5" x14ac:dyDescent="0.15">
      <c r="A369" s="102" t="s">
        <v>565</v>
      </c>
      <c r="B369" s="102" t="s">
        <v>3092</v>
      </c>
      <c r="C369" s="102">
        <v>236912</v>
      </c>
      <c r="D369" s="102" t="s">
        <v>565</v>
      </c>
      <c r="E369" s="102"/>
    </row>
    <row r="370" spans="1:5" x14ac:dyDescent="0.15">
      <c r="A370" s="102" t="s">
        <v>466</v>
      </c>
      <c r="B370" s="102" t="s">
        <v>1825</v>
      </c>
      <c r="C370" s="102">
        <v>98961</v>
      </c>
      <c r="D370" s="102" t="s">
        <v>466</v>
      </c>
      <c r="E370" s="102"/>
    </row>
    <row r="371" spans="1:5" x14ac:dyDescent="0.15">
      <c r="A371" s="102" t="s">
        <v>628</v>
      </c>
      <c r="B371" s="102" t="s">
        <v>3096</v>
      </c>
      <c r="C371" s="102">
        <v>236826</v>
      </c>
      <c r="D371" s="102" t="s">
        <v>628</v>
      </c>
      <c r="E371" s="102"/>
    </row>
    <row r="372" spans="1:5" x14ac:dyDescent="0.15">
      <c r="A372" s="102" t="s">
        <v>586</v>
      </c>
      <c r="B372" s="102" t="s">
        <v>3109</v>
      </c>
      <c r="C372" s="102">
        <v>236956</v>
      </c>
      <c r="D372" s="102" t="s">
        <v>586</v>
      </c>
      <c r="E372" s="102"/>
    </row>
    <row r="373" spans="1:5" x14ac:dyDescent="0.15">
      <c r="A373" s="102" t="s">
        <v>684</v>
      </c>
      <c r="B373" s="102" t="s">
        <v>3110</v>
      </c>
      <c r="C373" s="102">
        <v>237054</v>
      </c>
      <c r="D373" s="102" t="s">
        <v>684</v>
      </c>
      <c r="E373" s="102"/>
    </row>
    <row r="374" spans="1:5" x14ac:dyDescent="0.15">
      <c r="A374" s="102" t="s">
        <v>661</v>
      </c>
      <c r="B374" s="102" t="s">
        <v>3101</v>
      </c>
      <c r="C374" s="102">
        <v>236005</v>
      </c>
      <c r="D374" s="102" t="s">
        <v>661</v>
      </c>
      <c r="E374" s="102"/>
    </row>
    <row r="375" spans="1:5" x14ac:dyDescent="0.15">
      <c r="A375" s="102" t="s">
        <v>634</v>
      </c>
      <c r="B375" s="102" t="s">
        <v>3111</v>
      </c>
      <c r="C375" s="102">
        <v>235979</v>
      </c>
      <c r="D375" s="102" t="s">
        <v>634</v>
      </c>
      <c r="E375" s="102"/>
    </row>
    <row r="376" spans="1:5" x14ac:dyDescent="0.15">
      <c r="A376" s="102" t="s">
        <v>486</v>
      </c>
      <c r="B376" s="102" t="s">
        <v>1825</v>
      </c>
      <c r="C376" s="102">
        <v>112201</v>
      </c>
      <c r="D376" s="102" t="s">
        <v>486</v>
      </c>
      <c r="E376" s="102"/>
    </row>
    <row r="377" spans="1:5" x14ac:dyDescent="0.15">
      <c r="A377" s="102" t="s">
        <v>591</v>
      </c>
      <c r="B377" s="102" t="s">
        <v>3112</v>
      </c>
      <c r="C377" s="102">
        <v>228625</v>
      </c>
      <c r="D377" s="102" t="s">
        <v>591</v>
      </c>
      <c r="E377" s="102"/>
    </row>
    <row r="378" spans="1:5" x14ac:dyDescent="0.15">
      <c r="A378" s="102" t="s">
        <v>664</v>
      </c>
      <c r="B378" s="102" t="s">
        <v>3113</v>
      </c>
      <c r="C378" s="102">
        <v>236006</v>
      </c>
      <c r="D378" s="102" t="s">
        <v>664</v>
      </c>
      <c r="E378" s="102"/>
    </row>
    <row r="379" spans="1:5" x14ac:dyDescent="0.15">
      <c r="A379" s="102" t="s">
        <v>662</v>
      </c>
      <c r="B379" s="102" t="s">
        <v>1928</v>
      </c>
      <c r="C379" s="102">
        <v>102988</v>
      </c>
      <c r="D379" s="102" t="s">
        <v>662</v>
      </c>
      <c r="E379" s="102"/>
    </row>
    <row r="380" spans="1:5" x14ac:dyDescent="0.15">
      <c r="A380" s="102" t="s">
        <v>670</v>
      </c>
      <c r="B380" s="102" t="s">
        <v>3114</v>
      </c>
      <c r="C380" s="102">
        <v>236007</v>
      </c>
      <c r="D380" s="102" t="s">
        <v>670</v>
      </c>
      <c r="E380" s="102"/>
    </row>
    <row r="381" spans="1:5" x14ac:dyDescent="0.15">
      <c r="A381" s="102" t="s">
        <v>642</v>
      </c>
      <c r="B381" s="102" t="s">
        <v>3107</v>
      </c>
      <c r="C381" s="102">
        <v>235982</v>
      </c>
      <c r="D381" s="102" t="s">
        <v>642</v>
      </c>
      <c r="E381" s="102"/>
    </row>
    <row r="382" spans="1:5" x14ac:dyDescent="0.15">
      <c r="A382" s="102" t="s">
        <v>574</v>
      </c>
      <c r="B382" s="102" t="s">
        <v>3075</v>
      </c>
      <c r="C382" s="102">
        <v>237017</v>
      </c>
      <c r="D382" s="102" t="s">
        <v>574</v>
      </c>
      <c r="E382" s="102"/>
    </row>
    <row r="383" spans="1:5" x14ac:dyDescent="0.15">
      <c r="A383" s="102" t="s">
        <v>673</v>
      </c>
      <c r="B383" s="102" t="s">
        <v>3114</v>
      </c>
      <c r="C383" s="102">
        <v>236008</v>
      </c>
      <c r="D383" s="102" t="s">
        <v>673</v>
      </c>
      <c r="E383" s="102"/>
    </row>
    <row r="384" spans="1:5" x14ac:dyDescent="0.15">
      <c r="A384" s="102" t="s">
        <v>484</v>
      </c>
      <c r="B384" s="102" t="s">
        <v>3042</v>
      </c>
      <c r="C384" s="102">
        <v>236847</v>
      </c>
      <c r="D384" s="102" t="s">
        <v>484</v>
      </c>
      <c r="E384" s="102"/>
    </row>
    <row r="385" spans="1:5" x14ac:dyDescent="0.15">
      <c r="A385" s="102" t="s">
        <v>598</v>
      </c>
      <c r="B385" s="102" t="s">
        <v>3105</v>
      </c>
      <c r="C385" s="102">
        <v>236931</v>
      </c>
      <c r="D385" s="102" t="s">
        <v>598</v>
      </c>
      <c r="E385" s="102"/>
    </row>
    <row r="386" spans="1:5" x14ac:dyDescent="0.15">
      <c r="A386" s="102" t="s">
        <v>665</v>
      </c>
      <c r="B386" s="102" t="s">
        <v>3115</v>
      </c>
      <c r="C386" s="102">
        <v>157537</v>
      </c>
      <c r="D386" s="102" t="s">
        <v>665</v>
      </c>
      <c r="E386" s="102"/>
    </row>
    <row r="387" spans="1:5" x14ac:dyDescent="0.15">
      <c r="A387" s="102" t="s">
        <v>588</v>
      </c>
      <c r="B387" s="102" t="s">
        <v>3075</v>
      </c>
      <c r="C387" s="102">
        <v>237018</v>
      </c>
      <c r="D387" s="102" t="s">
        <v>588</v>
      </c>
      <c r="E387" s="102"/>
    </row>
    <row r="388" spans="1:5" x14ac:dyDescent="0.15">
      <c r="A388" s="102" t="s">
        <v>685</v>
      </c>
      <c r="B388" s="102" t="s">
        <v>3110</v>
      </c>
      <c r="C388" s="102">
        <v>237055</v>
      </c>
      <c r="D388" s="102" t="s">
        <v>685</v>
      </c>
      <c r="E388" s="102"/>
    </row>
    <row r="389" spans="1:5" x14ac:dyDescent="0.15">
      <c r="A389" s="102" t="s">
        <v>686</v>
      </c>
      <c r="B389" s="102" t="s">
        <v>3110</v>
      </c>
      <c r="C389" s="102">
        <v>237056</v>
      </c>
      <c r="D389" s="102" t="s">
        <v>686</v>
      </c>
      <c r="E389" s="102"/>
    </row>
    <row r="390" spans="1:5" x14ac:dyDescent="0.15">
      <c r="A390" s="102" t="s">
        <v>502</v>
      </c>
      <c r="B390" s="102" t="s">
        <v>3001</v>
      </c>
      <c r="C390" s="102">
        <v>236848</v>
      </c>
      <c r="D390" s="102" t="s">
        <v>502</v>
      </c>
      <c r="E390" s="102"/>
    </row>
    <row r="391" spans="1:5" x14ac:dyDescent="0.15">
      <c r="A391" s="102" t="s">
        <v>504</v>
      </c>
      <c r="B391" s="102" t="s">
        <v>3116</v>
      </c>
      <c r="C391" s="102">
        <v>231292</v>
      </c>
      <c r="D391" s="102" t="s">
        <v>504</v>
      </c>
      <c r="E391" s="102"/>
    </row>
    <row r="392" spans="1:5" x14ac:dyDescent="0.15">
      <c r="A392" s="102" t="s">
        <v>608</v>
      </c>
      <c r="B392" s="102" t="s">
        <v>3090</v>
      </c>
      <c r="C392" s="102">
        <v>236976</v>
      </c>
      <c r="D392" s="102" t="s">
        <v>608</v>
      </c>
      <c r="E392" s="102"/>
    </row>
    <row r="393" spans="1:5" x14ac:dyDescent="0.15">
      <c r="A393" s="102" t="s">
        <v>619</v>
      </c>
      <c r="B393" s="102" t="s">
        <v>3117</v>
      </c>
      <c r="C393" s="102">
        <v>236977</v>
      </c>
      <c r="D393" s="102" t="s">
        <v>619</v>
      </c>
      <c r="E393" s="102"/>
    </row>
    <row r="394" spans="1:5" x14ac:dyDescent="0.15">
      <c r="A394" s="102" t="s">
        <v>603</v>
      </c>
      <c r="B394" s="102" t="s">
        <v>1825</v>
      </c>
      <c r="C394" s="102">
        <v>110702</v>
      </c>
      <c r="D394" s="102" t="s">
        <v>603</v>
      </c>
      <c r="E394" s="102"/>
    </row>
    <row r="395" spans="1:5" x14ac:dyDescent="0.15">
      <c r="A395" s="102" t="s">
        <v>671</v>
      </c>
      <c r="B395" s="102" t="s">
        <v>3115</v>
      </c>
      <c r="C395" s="102">
        <v>236778</v>
      </c>
      <c r="D395" s="102" t="s">
        <v>671</v>
      </c>
      <c r="E395" s="102"/>
    </row>
    <row r="396" spans="1:5" x14ac:dyDescent="0.15">
      <c r="A396" s="102" t="s">
        <v>610</v>
      </c>
      <c r="B396" s="102" t="s">
        <v>3118</v>
      </c>
      <c r="C396" s="102">
        <v>236932</v>
      </c>
      <c r="D396" s="102" t="s">
        <v>610</v>
      </c>
      <c r="E396" s="102"/>
    </row>
    <row r="397" spans="1:5" x14ac:dyDescent="0.15">
      <c r="A397" s="102" t="s">
        <v>621</v>
      </c>
      <c r="B397" s="102" t="s">
        <v>3118</v>
      </c>
      <c r="C397" s="102">
        <v>236933</v>
      </c>
      <c r="D397" s="102" t="s">
        <v>621</v>
      </c>
      <c r="E397" s="102"/>
    </row>
    <row r="398" spans="1:5" x14ac:dyDescent="0.15">
      <c r="A398" s="102" t="s">
        <v>687</v>
      </c>
      <c r="B398" s="102" t="s">
        <v>3119</v>
      </c>
      <c r="C398" s="102">
        <v>237057</v>
      </c>
      <c r="D398" s="102" t="s">
        <v>687</v>
      </c>
      <c r="E398" s="102"/>
    </row>
    <row r="399" spans="1:5" x14ac:dyDescent="0.15">
      <c r="A399" s="102" t="s">
        <v>688</v>
      </c>
      <c r="B399" s="102" t="s">
        <v>3119</v>
      </c>
      <c r="C399" s="102">
        <v>237058</v>
      </c>
      <c r="D399" s="102" t="s">
        <v>688</v>
      </c>
      <c r="E399" s="102"/>
    </row>
    <row r="400" spans="1:5" x14ac:dyDescent="0.15">
      <c r="A400" s="102" t="s">
        <v>636</v>
      </c>
      <c r="B400" s="102" t="s">
        <v>3094</v>
      </c>
      <c r="C400" s="102">
        <v>236806</v>
      </c>
      <c r="D400" s="102" t="s">
        <v>636</v>
      </c>
      <c r="E400" s="102"/>
    </row>
    <row r="401" spans="1:5" x14ac:dyDescent="0.15">
      <c r="A401" s="102" t="s">
        <v>629</v>
      </c>
      <c r="B401" s="102" t="s">
        <v>3117</v>
      </c>
      <c r="C401" s="102">
        <v>236978</v>
      </c>
      <c r="D401" s="102" t="s">
        <v>629</v>
      </c>
      <c r="E401" s="102"/>
    </row>
    <row r="402" spans="1:5" x14ac:dyDescent="0.15">
      <c r="A402" s="102" t="s">
        <v>650</v>
      </c>
      <c r="B402" s="102" t="s">
        <v>3107</v>
      </c>
      <c r="C402" s="102">
        <v>235983</v>
      </c>
      <c r="D402" s="102" t="s">
        <v>650</v>
      </c>
      <c r="E402" s="102"/>
    </row>
    <row r="403" spans="1:5" x14ac:dyDescent="0.15">
      <c r="A403" s="102" t="s">
        <v>550</v>
      </c>
      <c r="B403" s="102" t="s">
        <v>3108</v>
      </c>
      <c r="C403" s="102">
        <v>236863</v>
      </c>
      <c r="D403" s="102" t="s">
        <v>550</v>
      </c>
      <c r="E403" s="102"/>
    </row>
    <row r="404" spans="1:5" x14ac:dyDescent="0.15">
      <c r="A404" s="102" t="s">
        <v>674</v>
      </c>
      <c r="B404" s="102" t="s">
        <v>3115</v>
      </c>
      <c r="C404" s="102">
        <v>236779</v>
      </c>
      <c r="D404" s="102" t="s">
        <v>674</v>
      </c>
      <c r="E404" s="102"/>
    </row>
    <row r="405" spans="1:5" x14ac:dyDescent="0.15">
      <c r="A405" s="102" t="s">
        <v>667</v>
      </c>
      <c r="B405" s="102" t="s">
        <v>3120</v>
      </c>
      <c r="C405" s="102">
        <v>230112</v>
      </c>
      <c r="D405" s="102" t="s">
        <v>667</v>
      </c>
      <c r="E405" s="102"/>
    </row>
    <row r="406" spans="1:5" x14ac:dyDescent="0.15">
      <c r="A406" s="102" t="s">
        <v>689</v>
      </c>
      <c r="B406" s="102" t="s">
        <v>3119</v>
      </c>
      <c r="C406" s="102">
        <v>237059</v>
      </c>
      <c r="D406" s="102" t="s">
        <v>689</v>
      </c>
      <c r="E406" s="102"/>
    </row>
    <row r="407" spans="1:5" x14ac:dyDescent="0.15">
      <c r="A407" s="102" t="s">
        <v>666</v>
      </c>
      <c r="B407" s="102" t="s">
        <v>1825</v>
      </c>
      <c r="C407" s="102">
        <v>101118</v>
      </c>
      <c r="D407" s="102" t="s">
        <v>666</v>
      </c>
      <c r="E407" s="102"/>
    </row>
    <row r="408" spans="1:5" x14ac:dyDescent="0.15">
      <c r="A408" s="102" t="s">
        <v>644</v>
      </c>
      <c r="B408" s="102" t="s">
        <v>3121</v>
      </c>
      <c r="C408" s="102">
        <v>236807</v>
      </c>
      <c r="D408" s="102" t="s">
        <v>644</v>
      </c>
      <c r="E408" s="102"/>
    </row>
    <row r="409" spans="1:5" x14ac:dyDescent="0.15">
      <c r="A409" s="102" t="s">
        <v>631</v>
      </c>
      <c r="B409" s="102" t="s">
        <v>3118</v>
      </c>
      <c r="C409" s="102">
        <v>236934</v>
      </c>
      <c r="D409" s="102" t="s">
        <v>631</v>
      </c>
      <c r="E409" s="102"/>
    </row>
    <row r="410" spans="1:5" x14ac:dyDescent="0.15">
      <c r="A410" s="102" t="s">
        <v>579</v>
      </c>
      <c r="B410" s="102" t="s">
        <v>3122</v>
      </c>
      <c r="C410" s="102">
        <v>236913</v>
      </c>
      <c r="D410" s="102" t="s">
        <v>579</v>
      </c>
      <c r="E410" s="102"/>
    </row>
    <row r="411" spans="1:5" x14ac:dyDescent="0.15">
      <c r="A411" s="102" t="s">
        <v>599</v>
      </c>
      <c r="B411" s="102" t="s">
        <v>3109</v>
      </c>
      <c r="C411" s="102">
        <v>236957</v>
      </c>
      <c r="D411" s="102" t="s">
        <v>599</v>
      </c>
      <c r="E411" s="102"/>
    </row>
    <row r="412" spans="1:5" x14ac:dyDescent="0.15">
      <c r="A412" s="102" t="s">
        <v>690</v>
      </c>
      <c r="B412" s="102" t="s">
        <v>3119</v>
      </c>
      <c r="C412" s="102">
        <v>237061</v>
      </c>
      <c r="D412" s="102" t="s">
        <v>690</v>
      </c>
      <c r="E412" s="102"/>
    </row>
    <row r="413" spans="1:5" x14ac:dyDescent="0.15">
      <c r="A413" s="102" t="s">
        <v>637</v>
      </c>
      <c r="B413" s="102" t="s">
        <v>3096</v>
      </c>
      <c r="C413" s="102">
        <v>236827</v>
      </c>
      <c r="D413" s="102" t="s">
        <v>637</v>
      </c>
      <c r="E413" s="102"/>
    </row>
    <row r="414" spans="1:5" x14ac:dyDescent="0.15">
      <c r="A414" s="102" t="s">
        <v>677</v>
      </c>
      <c r="B414" s="102" t="s">
        <v>3123</v>
      </c>
      <c r="C414" s="102">
        <v>236780</v>
      </c>
      <c r="D414" s="102" t="s">
        <v>677</v>
      </c>
      <c r="E414" s="102"/>
    </row>
    <row r="415" spans="1:5" x14ac:dyDescent="0.15">
      <c r="A415" s="102" t="s">
        <v>679</v>
      </c>
      <c r="B415" s="102" t="s">
        <v>3123</v>
      </c>
      <c r="C415" s="102">
        <v>236781</v>
      </c>
      <c r="D415" s="102" t="s">
        <v>679</v>
      </c>
      <c r="E415" s="102"/>
    </row>
    <row r="416" spans="1:5" x14ac:dyDescent="0.15">
      <c r="A416" s="102" t="s">
        <v>639</v>
      </c>
      <c r="B416" s="102" t="s">
        <v>3118</v>
      </c>
      <c r="C416" s="102">
        <v>236935</v>
      </c>
      <c r="D416" s="102" t="s">
        <v>639</v>
      </c>
      <c r="E416" s="102"/>
    </row>
    <row r="417" spans="1:5" x14ac:dyDescent="0.15">
      <c r="A417" s="102" t="s">
        <v>592</v>
      </c>
      <c r="B417" s="102" t="s">
        <v>3124</v>
      </c>
      <c r="C417" s="102">
        <v>236879</v>
      </c>
      <c r="D417" s="102" t="s">
        <v>592</v>
      </c>
      <c r="E417" s="102"/>
    </row>
    <row r="418" spans="1:5" x14ac:dyDescent="0.15">
      <c r="A418" s="102" t="s">
        <v>647</v>
      </c>
      <c r="B418" s="102" t="s">
        <v>3125</v>
      </c>
      <c r="C418" s="102">
        <v>236936</v>
      </c>
      <c r="D418" s="102" t="s">
        <v>647</v>
      </c>
      <c r="E418" s="102"/>
    </row>
    <row r="419" spans="1:5" x14ac:dyDescent="0.15">
      <c r="A419" s="102" t="s">
        <v>676</v>
      </c>
      <c r="B419" s="102" t="s">
        <v>3126</v>
      </c>
      <c r="C419" s="102">
        <v>236009</v>
      </c>
      <c r="D419" s="102" t="s">
        <v>676</v>
      </c>
      <c r="E419" s="102"/>
    </row>
    <row r="420" spans="1:5" x14ac:dyDescent="0.15">
      <c r="A420" s="102" t="s">
        <v>654</v>
      </c>
      <c r="B420" s="102" t="s">
        <v>3125</v>
      </c>
      <c r="C420" s="102">
        <v>236937</v>
      </c>
      <c r="D420" s="102" t="s">
        <v>654</v>
      </c>
      <c r="E420" s="102"/>
    </row>
    <row r="421" spans="1:5" x14ac:dyDescent="0.15">
      <c r="A421" s="102" t="s">
        <v>645</v>
      </c>
      <c r="B421" s="102" t="s">
        <v>3127</v>
      </c>
      <c r="C421" s="102">
        <v>230101</v>
      </c>
      <c r="D421" s="102" t="s">
        <v>645</v>
      </c>
      <c r="E421" s="102"/>
    </row>
    <row r="422" spans="1:5" x14ac:dyDescent="0.15">
      <c r="A422" s="102" t="s">
        <v>604</v>
      </c>
      <c r="B422" s="102" t="s">
        <v>1825</v>
      </c>
      <c r="C422" s="102">
        <v>111082</v>
      </c>
      <c r="D422" s="102" t="s">
        <v>604</v>
      </c>
      <c r="E422" s="102"/>
    </row>
    <row r="423" spans="1:5" x14ac:dyDescent="0.15">
      <c r="A423" s="102" t="s">
        <v>681</v>
      </c>
      <c r="B423" s="102" t="s">
        <v>3123</v>
      </c>
      <c r="C423" s="102">
        <v>236782</v>
      </c>
      <c r="D423" s="102" t="s">
        <v>681</v>
      </c>
      <c r="E423" s="102"/>
    </row>
    <row r="424" spans="1:5" x14ac:dyDescent="0.15">
      <c r="A424" s="102" t="s">
        <v>519</v>
      </c>
      <c r="B424" s="102" t="s">
        <v>3001</v>
      </c>
      <c r="C424" s="102">
        <v>236849</v>
      </c>
      <c r="D424" s="102" t="s">
        <v>519</v>
      </c>
      <c r="E424" s="102"/>
    </row>
    <row r="425" spans="1:5" x14ac:dyDescent="0.15">
      <c r="A425" s="102" t="s">
        <v>611</v>
      </c>
      <c r="B425" s="102" t="s">
        <v>3128</v>
      </c>
      <c r="C425" s="102">
        <v>98691</v>
      </c>
      <c r="D425" s="102" t="s">
        <v>611</v>
      </c>
      <c r="E425" s="102"/>
    </row>
    <row r="426" spans="1:5" x14ac:dyDescent="0.15">
      <c r="A426" s="102" t="s">
        <v>652</v>
      </c>
      <c r="B426" s="102" t="s">
        <v>3009</v>
      </c>
      <c r="C426" s="102">
        <v>155210</v>
      </c>
      <c r="D426" s="102" t="s">
        <v>652</v>
      </c>
      <c r="E426" s="102"/>
    </row>
    <row r="427" spans="1:5" x14ac:dyDescent="0.15">
      <c r="A427" s="102" t="s">
        <v>615</v>
      </c>
      <c r="B427" s="102" t="s">
        <v>3088</v>
      </c>
      <c r="C427" s="102">
        <v>236898</v>
      </c>
      <c r="D427" s="102" t="s">
        <v>615</v>
      </c>
      <c r="E427" s="102"/>
    </row>
    <row r="428" spans="1:5" x14ac:dyDescent="0.15">
      <c r="A428" s="102" t="s">
        <v>521</v>
      </c>
      <c r="B428" s="102" t="s">
        <v>3003</v>
      </c>
      <c r="C428" s="102">
        <v>236839</v>
      </c>
      <c r="D428" s="102" t="s">
        <v>521</v>
      </c>
      <c r="E428" s="102"/>
    </row>
    <row r="429" spans="1:5" x14ac:dyDescent="0.15">
      <c r="A429" s="102" t="s">
        <v>622</v>
      </c>
      <c r="B429" s="102" t="s">
        <v>3129</v>
      </c>
      <c r="C429" s="102">
        <v>236958</v>
      </c>
      <c r="D429" s="102" t="s">
        <v>622</v>
      </c>
      <c r="E429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28"/>
  <dimension ref="A1:E22"/>
  <sheetViews>
    <sheetView workbookViewId="0"/>
  </sheetViews>
  <sheetFormatPr baseColWidth="10" defaultColWidth="11" defaultRowHeight="13" x14ac:dyDescent="0.15"/>
  <cols>
    <col min="1" max="1" width="15.5" bestFit="1" customWidth="1"/>
    <col min="2" max="2" width="25.5" bestFit="1" customWidth="1"/>
    <col min="3" max="3" width="6.83203125" bestFit="1" customWidth="1"/>
    <col min="4" max="4" width="15.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248</v>
      </c>
      <c r="B2" s="102" t="s">
        <v>1823</v>
      </c>
      <c r="C2" s="102">
        <v>74214</v>
      </c>
      <c r="D2" s="102" t="s">
        <v>248</v>
      </c>
      <c r="E2" s="102"/>
    </row>
    <row r="3" spans="1:5" x14ac:dyDescent="0.15">
      <c r="A3" s="102" t="s">
        <v>252</v>
      </c>
      <c r="B3" s="102" t="s">
        <v>1823</v>
      </c>
      <c r="C3" s="102">
        <v>74374</v>
      </c>
      <c r="D3" s="102" t="s">
        <v>252</v>
      </c>
      <c r="E3" s="102"/>
    </row>
    <row r="4" spans="1:5" x14ac:dyDescent="0.15">
      <c r="A4" s="102" t="s">
        <v>250</v>
      </c>
      <c r="B4" s="102" t="s">
        <v>1823</v>
      </c>
      <c r="C4" s="102">
        <v>74362</v>
      </c>
      <c r="D4" s="102" t="s">
        <v>250</v>
      </c>
      <c r="E4" s="102"/>
    </row>
    <row r="5" spans="1:5" x14ac:dyDescent="0.15">
      <c r="A5" s="102" t="s">
        <v>264</v>
      </c>
      <c r="B5" s="102" t="s">
        <v>1823</v>
      </c>
      <c r="C5" s="102">
        <v>74454</v>
      </c>
      <c r="D5" s="102" t="s">
        <v>264</v>
      </c>
      <c r="E5" s="102"/>
    </row>
    <row r="6" spans="1:5" x14ac:dyDescent="0.15">
      <c r="A6" s="102" t="s">
        <v>262</v>
      </c>
      <c r="B6" s="102" t="s">
        <v>1823</v>
      </c>
      <c r="C6" s="102">
        <v>74450</v>
      </c>
      <c r="D6" s="102" t="s">
        <v>262</v>
      </c>
      <c r="E6" s="102"/>
    </row>
    <row r="7" spans="1:5" x14ac:dyDescent="0.15">
      <c r="A7" s="102" t="s">
        <v>265</v>
      </c>
      <c r="B7" s="102" t="s">
        <v>1823</v>
      </c>
      <c r="C7" s="102">
        <v>74489</v>
      </c>
      <c r="D7" s="102" t="s">
        <v>265</v>
      </c>
      <c r="E7" s="102"/>
    </row>
    <row r="8" spans="1:5" x14ac:dyDescent="0.15">
      <c r="A8" s="102" t="s">
        <v>256</v>
      </c>
      <c r="B8" s="102" t="s">
        <v>1823</v>
      </c>
      <c r="C8" s="102">
        <v>74408</v>
      </c>
      <c r="D8" s="102" t="s">
        <v>256</v>
      </c>
      <c r="E8" s="102"/>
    </row>
    <row r="9" spans="1:5" x14ac:dyDescent="0.15">
      <c r="A9" s="102" t="s">
        <v>260</v>
      </c>
      <c r="B9" s="102" t="s">
        <v>1823</v>
      </c>
      <c r="C9" s="102">
        <v>74424</v>
      </c>
      <c r="D9" s="102" t="s">
        <v>260</v>
      </c>
      <c r="E9" s="102"/>
    </row>
    <row r="10" spans="1:5" x14ac:dyDescent="0.15">
      <c r="A10" s="102" t="s">
        <v>259</v>
      </c>
      <c r="B10" s="102" t="s">
        <v>1823</v>
      </c>
      <c r="C10" s="102">
        <v>74421</v>
      </c>
      <c r="D10" s="102" t="s">
        <v>259</v>
      </c>
      <c r="E10" s="102"/>
    </row>
    <row r="11" spans="1:5" x14ac:dyDescent="0.15">
      <c r="A11" s="102" t="s">
        <v>261</v>
      </c>
      <c r="B11" s="102" t="s">
        <v>1823</v>
      </c>
      <c r="C11" s="102">
        <v>74433</v>
      </c>
      <c r="D11" s="102" t="s">
        <v>261</v>
      </c>
      <c r="E11" s="102"/>
    </row>
    <row r="12" spans="1:5" x14ac:dyDescent="0.15">
      <c r="A12" s="102" t="s">
        <v>249</v>
      </c>
      <c r="B12" s="102" t="s">
        <v>3130</v>
      </c>
      <c r="C12" s="102">
        <v>74351</v>
      </c>
      <c r="D12" s="102" t="s">
        <v>249</v>
      </c>
      <c r="E12" s="102"/>
    </row>
    <row r="13" spans="1:5" x14ac:dyDescent="0.15">
      <c r="A13" s="102" t="s">
        <v>247</v>
      </c>
      <c r="B13" s="102" t="s">
        <v>3131</v>
      </c>
      <c r="C13" s="102">
        <v>58711</v>
      </c>
      <c r="D13" s="102" t="s">
        <v>247</v>
      </c>
      <c r="E13" s="102"/>
    </row>
    <row r="14" spans="1:5" x14ac:dyDescent="0.15">
      <c r="A14" s="102" t="s">
        <v>257</v>
      </c>
      <c r="B14" s="102" t="s">
        <v>1823</v>
      </c>
      <c r="C14" s="102">
        <v>74413</v>
      </c>
      <c r="D14" s="102" t="s">
        <v>257</v>
      </c>
      <c r="E14" s="102"/>
    </row>
    <row r="15" spans="1:5" x14ac:dyDescent="0.15">
      <c r="A15" s="102" t="s">
        <v>266</v>
      </c>
      <c r="B15" s="102" t="s">
        <v>1823</v>
      </c>
      <c r="C15" s="102">
        <v>74492</v>
      </c>
      <c r="D15" s="102" t="s">
        <v>266</v>
      </c>
      <c r="E15" s="102"/>
    </row>
    <row r="16" spans="1:5" x14ac:dyDescent="0.15">
      <c r="A16" s="102" t="s">
        <v>267</v>
      </c>
      <c r="B16" s="102" t="s">
        <v>1823</v>
      </c>
      <c r="C16" s="102">
        <v>185844</v>
      </c>
      <c r="D16" s="102" t="s">
        <v>267</v>
      </c>
      <c r="E16" s="102"/>
    </row>
    <row r="17" spans="1:5" x14ac:dyDescent="0.15">
      <c r="A17" s="102" t="s">
        <v>258</v>
      </c>
      <c r="B17" s="102" t="s">
        <v>1823</v>
      </c>
      <c r="C17" s="102">
        <v>74420</v>
      </c>
      <c r="D17" s="102" t="s">
        <v>258</v>
      </c>
      <c r="E17" s="102"/>
    </row>
    <row r="18" spans="1:5" x14ac:dyDescent="0.15">
      <c r="A18" s="102" t="s">
        <v>251</v>
      </c>
      <c r="B18" s="102" t="s">
        <v>1823</v>
      </c>
      <c r="C18" s="102">
        <v>74365</v>
      </c>
      <c r="D18" s="102" t="s">
        <v>251</v>
      </c>
      <c r="E18" s="102"/>
    </row>
    <row r="19" spans="1:5" x14ac:dyDescent="0.15">
      <c r="A19" s="102" t="s">
        <v>263</v>
      </c>
      <c r="B19" s="102" t="s">
        <v>1823</v>
      </c>
      <c r="C19" s="102">
        <v>74453</v>
      </c>
      <c r="D19" s="102" t="s">
        <v>263</v>
      </c>
      <c r="E19" s="102"/>
    </row>
    <row r="20" spans="1:5" x14ac:dyDescent="0.15">
      <c r="A20" s="102" t="s">
        <v>255</v>
      </c>
      <c r="B20" s="102" t="s">
        <v>1823</v>
      </c>
      <c r="C20" s="102">
        <v>74401</v>
      </c>
      <c r="D20" s="102" t="s">
        <v>255</v>
      </c>
      <c r="E20" s="102"/>
    </row>
    <row r="21" spans="1:5" x14ac:dyDescent="0.15">
      <c r="A21" s="102" t="s">
        <v>254</v>
      </c>
      <c r="B21" s="102" t="s">
        <v>1823</v>
      </c>
      <c r="C21" s="102">
        <v>74400</v>
      </c>
      <c r="D21" s="102" t="s">
        <v>254</v>
      </c>
      <c r="E21" s="102"/>
    </row>
    <row r="22" spans="1:5" x14ac:dyDescent="0.15">
      <c r="A22" s="102" t="s">
        <v>253</v>
      </c>
      <c r="B22" s="102" t="s">
        <v>1823</v>
      </c>
      <c r="C22" s="102">
        <v>74389</v>
      </c>
      <c r="D22" s="102" t="s">
        <v>253</v>
      </c>
      <c r="E22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29"/>
  <dimension ref="A1:E10"/>
  <sheetViews>
    <sheetView workbookViewId="0">
      <selection activeCell="W1" sqref="W1:W1048576"/>
    </sheetView>
  </sheetViews>
  <sheetFormatPr baseColWidth="10" defaultColWidth="11" defaultRowHeight="13" x14ac:dyDescent="0.15"/>
  <cols>
    <col min="1" max="1" width="35" bestFit="1" customWidth="1"/>
    <col min="2" max="2" width="25.5" bestFit="1" customWidth="1"/>
    <col min="3" max="3" width="6.83203125" bestFit="1" customWidth="1"/>
    <col min="4" max="4" width="35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3132</v>
      </c>
      <c r="B2" s="102" t="s">
        <v>3133</v>
      </c>
      <c r="C2" s="102">
        <v>182777</v>
      </c>
      <c r="D2" s="102" t="s">
        <v>3132</v>
      </c>
      <c r="E2" s="102"/>
    </row>
    <row r="3" spans="1:5" x14ac:dyDescent="0.15">
      <c r="A3" s="102" t="s">
        <v>3134</v>
      </c>
      <c r="B3" s="102" t="s">
        <v>3135</v>
      </c>
      <c r="C3" s="102">
        <v>136094</v>
      </c>
      <c r="D3" s="102" t="s">
        <v>3134</v>
      </c>
      <c r="E3" s="102"/>
    </row>
    <row r="4" spans="1:5" x14ac:dyDescent="0.15">
      <c r="A4" s="102" t="s">
        <v>3136</v>
      </c>
      <c r="B4" s="102" t="s">
        <v>3137</v>
      </c>
      <c r="C4" s="102">
        <v>229033</v>
      </c>
      <c r="D4" s="102" t="s">
        <v>3136</v>
      </c>
      <c r="E4" s="102"/>
    </row>
    <row r="5" spans="1:5" x14ac:dyDescent="0.15">
      <c r="A5" s="102" t="s">
        <v>3138</v>
      </c>
      <c r="B5" s="102" t="s">
        <v>3139</v>
      </c>
      <c r="C5" s="102">
        <v>136112</v>
      </c>
      <c r="D5" s="102" t="s">
        <v>3138</v>
      </c>
      <c r="E5" s="102"/>
    </row>
    <row r="6" spans="1:5" x14ac:dyDescent="0.15">
      <c r="A6" s="102" t="s">
        <v>3140</v>
      </c>
      <c r="B6" s="102" t="s">
        <v>3141</v>
      </c>
      <c r="C6" s="102">
        <v>229031</v>
      </c>
      <c r="D6" s="102" t="s">
        <v>3140</v>
      </c>
      <c r="E6" s="102"/>
    </row>
    <row r="7" spans="1:5" x14ac:dyDescent="0.15">
      <c r="A7" s="102" t="s">
        <v>3142</v>
      </c>
      <c r="B7" s="102" t="s">
        <v>3143</v>
      </c>
      <c r="C7" s="102">
        <v>229032</v>
      </c>
      <c r="D7" s="102" t="s">
        <v>3142</v>
      </c>
      <c r="E7" s="102"/>
    </row>
    <row r="8" spans="1:5" x14ac:dyDescent="0.15">
      <c r="A8" s="102" t="s">
        <v>3144</v>
      </c>
      <c r="B8" s="102" t="s">
        <v>3145</v>
      </c>
      <c r="C8" s="102">
        <v>236205</v>
      </c>
      <c r="D8" s="102" t="s">
        <v>3144</v>
      </c>
      <c r="E8" s="102"/>
    </row>
    <row r="9" spans="1:5" x14ac:dyDescent="0.15">
      <c r="A9" s="102" t="s">
        <v>3146</v>
      </c>
      <c r="B9" s="102" t="s">
        <v>3147</v>
      </c>
      <c r="C9" s="102">
        <v>136142</v>
      </c>
      <c r="D9" s="102" t="s">
        <v>3146</v>
      </c>
      <c r="E9" s="102"/>
    </row>
    <row r="10" spans="1:5" x14ac:dyDescent="0.15">
      <c r="A10" s="102" t="s">
        <v>3148</v>
      </c>
      <c r="B10" s="102" t="s">
        <v>3149</v>
      </c>
      <c r="C10" s="102">
        <v>158046</v>
      </c>
      <c r="D10" s="102" t="s">
        <v>3148</v>
      </c>
      <c r="E10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30"/>
  <dimension ref="A1:E131"/>
  <sheetViews>
    <sheetView topLeftCell="A80" workbookViewId="0">
      <selection activeCell="O1" sqref="O1:O1048576"/>
    </sheetView>
  </sheetViews>
  <sheetFormatPr baseColWidth="10" defaultColWidth="11" defaultRowHeight="13" x14ac:dyDescent="0.15"/>
  <cols>
    <col min="1" max="1" width="55.83203125" bestFit="1" customWidth="1"/>
    <col min="2" max="2" width="25.5" bestFit="1" customWidth="1"/>
    <col min="3" max="3" width="6.83203125" bestFit="1" customWidth="1"/>
    <col min="4" max="4" width="33.33203125" bestFit="1" customWidth="1"/>
    <col min="5" max="5" width="67.5" bestFit="1" customWidth="1"/>
    <col min="6" max="6" width="71.5" bestFit="1" customWidth="1"/>
    <col min="7" max="7" width="55.83203125" bestFit="1" customWidth="1"/>
    <col min="8" max="8" width="17.5" bestFit="1" customWidth="1"/>
    <col min="9" max="9" width="22.1640625" bestFit="1" customWidth="1"/>
    <col min="10" max="10" width="33.33203125" bestFit="1" customWidth="1"/>
    <col min="11" max="11" width="14" customWidth="1"/>
    <col min="12" max="12" width="255.5" bestFit="1" customWidth="1"/>
    <col min="13" max="13" width="19.5" customWidth="1"/>
    <col min="14" max="14" width="20.1640625" customWidth="1"/>
    <col min="15" max="16" width="25.6640625" customWidth="1"/>
    <col min="17" max="17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3150</v>
      </c>
      <c r="E1" s="2" t="s">
        <v>1099</v>
      </c>
    </row>
    <row r="2" spans="1:5" x14ac:dyDescent="0.15">
      <c r="A2" s="102" t="s">
        <v>3151</v>
      </c>
      <c r="B2" s="102" t="s">
        <v>3152</v>
      </c>
      <c r="C2" s="102">
        <v>240405</v>
      </c>
      <c r="D2" s="102" t="s">
        <v>717</v>
      </c>
      <c r="E2" s="102"/>
    </row>
    <row r="3" spans="1:5" x14ac:dyDescent="0.15">
      <c r="A3" s="102" t="s">
        <v>3153</v>
      </c>
      <c r="B3" s="102" t="s">
        <v>3154</v>
      </c>
      <c r="C3" s="102">
        <v>209239</v>
      </c>
      <c r="D3" s="102" t="s">
        <v>712</v>
      </c>
      <c r="E3" s="102"/>
    </row>
    <row r="4" spans="1:5" x14ac:dyDescent="0.15">
      <c r="A4" s="102" t="s">
        <v>3155</v>
      </c>
      <c r="B4" s="102" t="s">
        <v>3156</v>
      </c>
      <c r="C4" s="102">
        <v>58731</v>
      </c>
      <c r="D4" s="102" t="s">
        <v>705</v>
      </c>
      <c r="E4" s="102"/>
    </row>
    <row r="5" spans="1:5" x14ac:dyDescent="0.15">
      <c r="A5" s="102" t="s">
        <v>3157</v>
      </c>
      <c r="B5" s="102" t="s">
        <v>3154</v>
      </c>
      <c r="C5" s="102">
        <v>209240</v>
      </c>
      <c r="D5" s="102" t="s">
        <v>726</v>
      </c>
      <c r="E5" s="102"/>
    </row>
    <row r="6" spans="1:5" x14ac:dyDescent="0.15">
      <c r="A6" s="102" t="s">
        <v>3158</v>
      </c>
      <c r="B6" s="102" t="s">
        <v>3154</v>
      </c>
      <c r="C6" s="102">
        <v>160697</v>
      </c>
      <c r="D6" s="102" t="s">
        <v>707</v>
      </c>
      <c r="E6" s="102"/>
    </row>
    <row r="7" spans="1:5" x14ac:dyDescent="0.15">
      <c r="A7" s="102" t="s">
        <v>3159</v>
      </c>
      <c r="B7" s="102" t="s">
        <v>3160</v>
      </c>
      <c r="C7" s="102">
        <v>74594</v>
      </c>
      <c r="D7" s="102" t="s">
        <v>709</v>
      </c>
      <c r="E7" s="102"/>
    </row>
    <row r="8" spans="1:5" x14ac:dyDescent="0.15">
      <c r="A8" s="102" t="s">
        <v>3161</v>
      </c>
      <c r="B8" s="102" t="s">
        <v>3154</v>
      </c>
      <c r="C8" s="102">
        <v>74700</v>
      </c>
      <c r="D8" s="102" t="s">
        <v>740</v>
      </c>
      <c r="E8" s="102"/>
    </row>
    <row r="9" spans="1:5" x14ac:dyDescent="0.15">
      <c r="A9" s="102" t="s">
        <v>3162</v>
      </c>
      <c r="B9" s="102" t="s">
        <v>3163</v>
      </c>
      <c r="C9" s="102">
        <v>242053</v>
      </c>
      <c r="D9" s="102" t="s">
        <v>754</v>
      </c>
      <c r="E9" s="102"/>
    </row>
    <row r="10" spans="1:5" x14ac:dyDescent="0.15">
      <c r="A10" s="102" t="s">
        <v>3164</v>
      </c>
      <c r="B10" s="102" t="s">
        <v>3165</v>
      </c>
      <c r="C10" s="102">
        <v>74671</v>
      </c>
      <c r="D10" s="102" t="s">
        <v>715</v>
      </c>
      <c r="E10" s="102"/>
    </row>
    <row r="11" spans="1:5" x14ac:dyDescent="0.15">
      <c r="A11" s="102" t="s">
        <v>3166</v>
      </c>
      <c r="B11" s="102" t="s">
        <v>3156</v>
      </c>
      <c r="C11" s="102">
        <v>74840</v>
      </c>
      <c r="D11" s="102" t="s">
        <v>706</v>
      </c>
      <c r="E11" s="102"/>
    </row>
    <row r="12" spans="1:5" x14ac:dyDescent="0.15">
      <c r="A12" s="102" t="s">
        <v>3167</v>
      </c>
      <c r="B12" s="102" t="s">
        <v>3168</v>
      </c>
      <c r="C12" s="102">
        <v>240388</v>
      </c>
      <c r="D12" s="102" t="s">
        <v>719</v>
      </c>
      <c r="E12" s="102"/>
    </row>
    <row r="13" spans="1:5" x14ac:dyDescent="0.15">
      <c r="A13" s="102" t="s">
        <v>3169</v>
      </c>
      <c r="B13" s="102" t="s">
        <v>3168</v>
      </c>
      <c r="C13" s="102">
        <v>240389</v>
      </c>
      <c r="D13" s="102" t="s">
        <v>733</v>
      </c>
      <c r="E13" s="102"/>
    </row>
    <row r="14" spans="1:5" x14ac:dyDescent="0.15">
      <c r="A14" s="102" t="s">
        <v>3170</v>
      </c>
      <c r="B14" s="102" t="s">
        <v>3168</v>
      </c>
      <c r="C14" s="102">
        <v>240390</v>
      </c>
      <c r="D14" s="102" t="s">
        <v>747</v>
      </c>
      <c r="E14" s="102"/>
    </row>
    <row r="15" spans="1:5" x14ac:dyDescent="0.15">
      <c r="A15" s="102" t="s">
        <v>3171</v>
      </c>
      <c r="B15" s="102" t="s">
        <v>3172</v>
      </c>
      <c r="C15" s="102">
        <v>240391</v>
      </c>
      <c r="D15" s="102" t="s">
        <v>759</v>
      </c>
      <c r="E15" s="102"/>
    </row>
    <row r="16" spans="1:5" x14ac:dyDescent="0.15">
      <c r="A16" s="102" t="s">
        <v>3173</v>
      </c>
      <c r="B16" s="102" t="s">
        <v>3156</v>
      </c>
      <c r="C16" s="102">
        <v>74947</v>
      </c>
      <c r="D16" s="102" t="s">
        <v>711</v>
      </c>
      <c r="E16" s="102"/>
    </row>
    <row r="17" spans="1:5" x14ac:dyDescent="0.15">
      <c r="A17" s="102" t="s">
        <v>3174</v>
      </c>
      <c r="B17" s="102" t="s">
        <v>3175</v>
      </c>
      <c r="C17" s="102">
        <v>240374</v>
      </c>
      <c r="D17" s="102" t="s">
        <v>725</v>
      </c>
      <c r="E17" s="102"/>
    </row>
    <row r="18" spans="1:5" x14ac:dyDescent="0.15">
      <c r="A18" s="102" t="s">
        <v>3176</v>
      </c>
      <c r="B18" s="102" t="s">
        <v>3154</v>
      </c>
      <c r="C18" s="102">
        <v>74808</v>
      </c>
      <c r="D18" s="102" t="s">
        <v>721</v>
      </c>
      <c r="E18" s="102"/>
    </row>
    <row r="19" spans="1:5" x14ac:dyDescent="0.15">
      <c r="A19" s="102" t="s">
        <v>3177</v>
      </c>
      <c r="B19" s="102" t="s">
        <v>3178</v>
      </c>
      <c r="C19" s="102">
        <v>240371</v>
      </c>
      <c r="D19" s="102" t="s">
        <v>716</v>
      </c>
      <c r="E19" s="102"/>
    </row>
    <row r="20" spans="1:5" x14ac:dyDescent="0.15">
      <c r="A20" s="102" t="s">
        <v>3179</v>
      </c>
      <c r="B20" s="102" t="s">
        <v>3156</v>
      </c>
      <c r="C20" s="102">
        <v>102766</v>
      </c>
      <c r="D20" s="102" t="s">
        <v>730</v>
      </c>
      <c r="E20" s="102"/>
    </row>
    <row r="21" spans="1:5" x14ac:dyDescent="0.15">
      <c r="A21" s="102" t="s">
        <v>3180</v>
      </c>
      <c r="B21" s="102" t="s">
        <v>3181</v>
      </c>
      <c r="C21" s="102">
        <v>75000</v>
      </c>
      <c r="D21" s="102" t="s">
        <v>735</v>
      </c>
      <c r="E21" s="102"/>
    </row>
    <row r="22" spans="1:5" x14ac:dyDescent="0.15">
      <c r="A22" s="102" t="s">
        <v>3182</v>
      </c>
      <c r="B22" s="102" t="s">
        <v>3183</v>
      </c>
      <c r="C22" s="102">
        <v>178279</v>
      </c>
      <c r="D22" s="102" t="s">
        <v>749</v>
      </c>
      <c r="E22" s="102"/>
    </row>
    <row r="23" spans="1:5" x14ac:dyDescent="0.15">
      <c r="A23" s="102" t="s">
        <v>3184</v>
      </c>
      <c r="B23" s="102" t="s">
        <v>3154</v>
      </c>
      <c r="C23" s="102">
        <v>209243</v>
      </c>
      <c r="D23" s="102" t="s">
        <v>775</v>
      </c>
      <c r="E23" s="102"/>
    </row>
    <row r="24" spans="1:5" x14ac:dyDescent="0.15">
      <c r="A24" s="102" t="s">
        <v>3185</v>
      </c>
      <c r="B24" s="102" t="s">
        <v>3186</v>
      </c>
      <c r="C24" s="102">
        <v>240381</v>
      </c>
      <c r="D24" s="102" t="s">
        <v>739</v>
      </c>
      <c r="E24" s="102"/>
    </row>
    <row r="25" spans="1:5" x14ac:dyDescent="0.15">
      <c r="A25" s="102" t="s">
        <v>3187</v>
      </c>
      <c r="B25" s="102" t="s">
        <v>3154</v>
      </c>
      <c r="C25" s="102">
        <v>209244</v>
      </c>
      <c r="D25" s="102" t="s">
        <v>783</v>
      </c>
      <c r="E25" s="102"/>
    </row>
    <row r="26" spans="1:5" x14ac:dyDescent="0.15">
      <c r="A26" s="102" t="s">
        <v>3188</v>
      </c>
      <c r="B26" s="102" t="s">
        <v>3154</v>
      </c>
      <c r="C26" s="102">
        <v>209258</v>
      </c>
      <c r="D26" s="102" t="s">
        <v>790</v>
      </c>
      <c r="E26" s="102"/>
    </row>
    <row r="27" spans="1:5" x14ac:dyDescent="0.15">
      <c r="A27" s="102" t="s">
        <v>3189</v>
      </c>
      <c r="B27" s="102" t="s">
        <v>3190</v>
      </c>
      <c r="C27" s="102">
        <v>240384</v>
      </c>
      <c r="D27" s="102" t="s">
        <v>753</v>
      </c>
      <c r="E27" s="102"/>
    </row>
    <row r="28" spans="1:5" x14ac:dyDescent="0.15">
      <c r="A28" s="102" t="s">
        <v>3191</v>
      </c>
      <c r="B28" s="102" t="s">
        <v>3192</v>
      </c>
      <c r="C28" s="102">
        <v>240363</v>
      </c>
      <c r="D28" s="102" t="s">
        <v>708</v>
      </c>
      <c r="E28" s="102"/>
    </row>
    <row r="29" spans="1:5" x14ac:dyDescent="0.15">
      <c r="A29" s="102" t="s">
        <v>3193</v>
      </c>
      <c r="B29" s="102" t="s">
        <v>3156</v>
      </c>
      <c r="C29" s="102">
        <v>58732</v>
      </c>
      <c r="D29" s="102" t="s">
        <v>770</v>
      </c>
      <c r="E29" s="102"/>
    </row>
    <row r="30" spans="1:5" x14ac:dyDescent="0.15">
      <c r="A30" s="102" t="s">
        <v>3194</v>
      </c>
      <c r="B30" s="102" t="s">
        <v>3154</v>
      </c>
      <c r="C30" s="102">
        <v>209253</v>
      </c>
      <c r="D30" s="102" t="s">
        <v>796</v>
      </c>
      <c r="E30" s="102"/>
    </row>
    <row r="31" spans="1:5" x14ac:dyDescent="0.15">
      <c r="A31" s="102" t="s">
        <v>3195</v>
      </c>
      <c r="B31" s="102" t="s">
        <v>3196</v>
      </c>
      <c r="C31" s="102">
        <v>240395</v>
      </c>
      <c r="D31" s="102" t="s">
        <v>731</v>
      </c>
      <c r="E31" s="102"/>
    </row>
    <row r="32" spans="1:5" x14ac:dyDescent="0.15">
      <c r="A32" s="102" t="s">
        <v>3197</v>
      </c>
      <c r="B32" s="102" t="s">
        <v>3198</v>
      </c>
      <c r="C32" s="102">
        <v>240393</v>
      </c>
      <c r="D32" s="102" t="s">
        <v>745</v>
      </c>
      <c r="E32" s="102"/>
    </row>
    <row r="33" spans="1:5" x14ac:dyDescent="0.15">
      <c r="A33" s="102" t="s">
        <v>3199</v>
      </c>
      <c r="B33" s="102" t="s">
        <v>3183</v>
      </c>
      <c r="C33" s="102">
        <v>74610</v>
      </c>
      <c r="D33" s="102" t="s">
        <v>723</v>
      </c>
      <c r="E33" s="102"/>
    </row>
    <row r="34" spans="1:5" x14ac:dyDescent="0.15">
      <c r="A34" s="102" t="s">
        <v>3200</v>
      </c>
      <c r="B34" s="102" t="s">
        <v>3201</v>
      </c>
      <c r="C34" s="102">
        <v>240364</v>
      </c>
      <c r="D34" s="102" t="s">
        <v>722</v>
      </c>
      <c r="E34" s="102"/>
    </row>
    <row r="35" spans="1:5" x14ac:dyDescent="0.15">
      <c r="A35" s="102" t="s">
        <v>3202</v>
      </c>
      <c r="B35" s="102" t="s">
        <v>3203</v>
      </c>
      <c r="C35" s="102">
        <v>75065</v>
      </c>
      <c r="D35" s="102" t="s">
        <v>714</v>
      </c>
      <c r="E35" s="102"/>
    </row>
    <row r="36" spans="1:5" x14ac:dyDescent="0.15">
      <c r="A36" s="102" t="s">
        <v>3204</v>
      </c>
      <c r="B36" s="102" t="s">
        <v>3205</v>
      </c>
      <c r="C36" s="102">
        <v>74812</v>
      </c>
      <c r="D36" s="102" t="s">
        <v>761</v>
      </c>
      <c r="E36" s="102"/>
    </row>
    <row r="37" spans="1:5" x14ac:dyDescent="0.15">
      <c r="A37" s="102" t="s">
        <v>3206</v>
      </c>
      <c r="B37" s="102" t="s">
        <v>3207</v>
      </c>
      <c r="C37" s="102">
        <v>74712</v>
      </c>
      <c r="D37" s="102" t="s">
        <v>802</v>
      </c>
      <c r="E37" s="102"/>
    </row>
    <row r="38" spans="1:5" x14ac:dyDescent="0.15">
      <c r="A38" s="102" t="s">
        <v>3208</v>
      </c>
      <c r="B38" s="102" t="s">
        <v>3209</v>
      </c>
      <c r="C38" s="102">
        <v>74193</v>
      </c>
      <c r="D38" s="102" t="s">
        <v>736</v>
      </c>
      <c r="E38" s="102"/>
    </row>
    <row r="39" spans="1:5" x14ac:dyDescent="0.15">
      <c r="A39" s="102" t="s">
        <v>3210</v>
      </c>
      <c r="B39" s="102" t="s">
        <v>3211</v>
      </c>
      <c r="C39" s="102">
        <v>240365</v>
      </c>
      <c r="D39" s="102" t="s">
        <v>750</v>
      </c>
      <c r="E39" s="102"/>
    </row>
    <row r="40" spans="1:5" x14ac:dyDescent="0.15">
      <c r="A40" s="102" t="s">
        <v>3212</v>
      </c>
      <c r="B40" s="102" t="s">
        <v>3213</v>
      </c>
      <c r="C40" s="102">
        <v>74849</v>
      </c>
      <c r="D40" s="102" t="s">
        <v>61</v>
      </c>
      <c r="E40" s="102"/>
    </row>
    <row r="41" spans="1:5" x14ac:dyDescent="0.15">
      <c r="A41" s="102" t="s">
        <v>3214</v>
      </c>
      <c r="B41" s="102" t="s">
        <v>3156</v>
      </c>
      <c r="C41" s="102">
        <v>58734</v>
      </c>
      <c r="D41" s="102" t="s">
        <v>720</v>
      </c>
      <c r="E41" s="102"/>
    </row>
    <row r="42" spans="1:5" x14ac:dyDescent="0.15">
      <c r="A42" s="102" t="s">
        <v>3215</v>
      </c>
      <c r="B42" s="102" t="s">
        <v>3156</v>
      </c>
      <c r="C42" s="102">
        <v>74862</v>
      </c>
      <c r="D42" s="102" t="s">
        <v>734</v>
      </c>
      <c r="E42" s="102"/>
    </row>
    <row r="43" spans="1:5" x14ac:dyDescent="0.15">
      <c r="A43" s="102" t="s">
        <v>3216</v>
      </c>
      <c r="B43" s="102" t="s">
        <v>3217</v>
      </c>
      <c r="C43" s="102">
        <v>240398</v>
      </c>
      <c r="D43" s="102" t="s">
        <v>769</v>
      </c>
      <c r="E43" s="102"/>
    </row>
    <row r="44" spans="1:5" x14ac:dyDescent="0.15">
      <c r="A44" s="102" t="s">
        <v>3218</v>
      </c>
      <c r="B44" s="102" t="s">
        <v>3156</v>
      </c>
      <c r="C44" s="102">
        <v>74817</v>
      </c>
      <c r="D44" s="102" t="s">
        <v>771</v>
      </c>
      <c r="E44" s="102"/>
    </row>
    <row r="45" spans="1:5" x14ac:dyDescent="0.15">
      <c r="A45" s="102" t="s">
        <v>3219</v>
      </c>
      <c r="B45" s="102" t="s">
        <v>3220</v>
      </c>
      <c r="C45" s="102">
        <v>240387</v>
      </c>
      <c r="D45" s="102" t="s">
        <v>765</v>
      </c>
      <c r="E45" s="102"/>
    </row>
    <row r="46" spans="1:5" x14ac:dyDescent="0.15">
      <c r="A46" s="102" t="s">
        <v>3221</v>
      </c>
      <c r="B46" s="102" t="s">
        <v>3222</v>
      </c>
      <c r="C46" s="102">
        <v>240392</v>
      </c>
      <c r="D46" s="102" t="s">
        <v>778</v>
      </c>
      <c r="E46" s="102"/>
    </row>
    <row r="47" spans="1:5" x14ac:dyDescent="0.15">
      <c r="A47" s="102" t="s">
        <v>3223</v>
      </c>
      <c r="B47" s="102" t="s">
        <v>3224</v>
      </c>
      <c r="C47" s="102">
        <v>240372</v>
      </c>
      <c r="D47" s="102" t="s">
        <v>774</v>
      </c>
      <c r="E47" s="102"/>
    </row>
    <row r="48" spans="1:5" x14ac:dyDescent="0.15">
      <c r="A48" s="102" t="s">
        <v>3225</v>
      </c>
      <c r="B48" s="102" t="s">
        <v>3154</v>
      </c>
      <c r="C48" s="102">
        <v>74723</v>
      </c>
      <c r="D48" s="102" t="s">
        <v>807</v>
      </c>
      <c r="E48" s="102"/>
    </row>
    <row r="49" spans="1:5" x14ac:dyDescent="0.15">
      <c r="A49" s="102" t="s">
        <v>3226</v>
      </c>
      <c r="B49" s="102" t="s">
        <v>3227</v>
      </c>
      <c r="C49" s="102">
        <v>74676</v>
      </c>
      <c r="D49" s="102" t="s">
        <v>762</v>
      </c>
      <c r="E49" s="102"/>
    </row>
    <row r="50" spans="1:5" x14ac:dyDescent="0.15">
      <c r="A50" s="102" t="s">
        <v>3228</v>
      </c>
      <c r="B50" s="102" t="s">
        <v>3229</v>
      </c>
      <c r="C50" s="102">
        <v>240386</v>
      </c>
      <c r="D50" s="102" t="s">
        <v>782</v>
      </c>
      <c r="E50" s="102"/>
    </row>
    <row r="51" spans="1:5" x14ac:dyDescent="0.15">
      <c r="A51" s="102" t="s">
        <v>3230</v>
      </c>
      <c r="B51" s="102" t="s">
        <v>3190</v>
      </c>
      <c r="C51" s="102">
        <v>240385</v>
      </c>
      <c r="D51" s="102" t="s">
        <v>789</v>
      </c>
      <c r="E51" s="102"/>
    </row>
    <row r="52" spans="1:5" x14ac:dyDescent="0.15">
      <c r="A52" s="102" t="s">
        <v>3231</v>
      </c>
      <c r="B52" s="102" t="s">
        <v>3156</v>
      </c>
      <c r="C52" s="102">
        <v>75050</v>
      </c>
      <c r="D52" s="102" t="s">
        <v>713</v>
      </c>
      <c r="E52" s="102"/>
    </row>
    <row r="53" spans="1:5" x14ac:dyDescent="0.15">
      <c r="A53" s="102" t="s">
        <v>3232</v>
      </c>
      <c r="B53" s="102" t="s">
        <v>3233</v>
      </c>
      <c r="C53" s="102">
        <v>240401</v>
      </c>
      <c r="D53" s="102" t="s">
        <v>785</v>
      </c>
      <c r="E53" s="102"/>
    </row>
    <row r="54" spans="1:5" x14ac:dyDescent="0.15">
      <c r="A54" s="102" t="s">
        <v>3234</v>
      </c>
      <c r="B54" s="102" t="s">
        <v>3235</v>
      </c>
      <c r="C54" s="102">
        <v>240402</v>
      </c>
      <c r="D54" s="102" t="s">
        <v>791</v>
      </c>
      <c r="E54" s="102"/>
    </row>
    <row r="55" spans="1:5" x14ac:dyDescent="0.15">
      <c r="A55" s="102" t="s">
        <v>3236</v>
      </c>
      <c r="B55" s="102" t="s">
        <v>3183</v>
      </c>
      <c r="C55" s="102">
        <v>74611</v>
      </c>
      <c r="D55" s="102" t="s">
        <v>737</v>
      </c>
      <c r="E55" s="102"/>
    </row>
    <row r="56" spans="1:5" x14ac:dyDescent="0.15">
      <c r="A56" s="102" t="s">
        <v>3237</v>
      </c>
      <c r="B56" s="102" t="s">
        <v>3238</v>
      </c>
      <c r="C56" s="102">
        <v>240382</v>
      </c>
      <c r="D56" s="102" t="s">
        <v>795</v>
      </c>
      <c r="E56" s="102"/>
    </row>
    <row r="57" spans="1:5" x14ac:dyDescent="0.15">
      <c r="A57" s="102" t="s">
        <v>3239</v>
      </c>
      <c r="B57" s="102" t="s">
        <v>3227</v>
      </c>
      <c r="C57" s="102">
        <v>74681</v>
      </c>
      <c r="D57" s="102" t="s">
        <v>772</v>
      </c>
      <c r="E57" s="102"/>
    </row>
    <row r="58" spans="1:5" x14ac:dyDescent="0.15">
      <c r="A58" s="102" t="s">
        <v>3240</v>
      </c>
      <c r="B58" s="102" t="s">
        <v>3241</v>
      </c>
      <c r="C58" s="102">
        <v>240373</v>
      </c>
      <c r="D58" s="102" t="s">
        <v>801</v>
      </c>
      <c r="E58" s="102"/>
    </row>
    <row r="59" spans="1:5" x14ac:dyDescent="0.15">
      <c r="A59" s="102" t="s">
        <v>3242</v>
      </c>
      <c r="B59" s="102" t="s">
        <v>3156</v>
      </c>
      <c r="C59" s="102">
        <v>75051</v>
      </c>
      <c r="D59" s="102" t="s">
        <v>727</v>
      </c>
      <c r="E59" s="102"/>
    </row>
    <row r="60" spans="1:5" x14ac:dyDescent="0.15">
      <c r="A60" s="102" t="s">
        <v>3243</v>
      </c>
      <c r="B60" s="102" t="s">
        <v>3244</v>
      </c>
      <c r="C60" s="102">
        <v>74915</v>
      </c>
      <c r="D60" s="102" t="s">
        <v>779</v>
      </c>
      <c r="E60" s="102"/>
    </row>
    <row r="61" spans="1:5" x14ac:dyDescent="0.15">
      <c r="A61" s="102" t="s">
        <v>3245</v>
      </c>
      <c r="B61" s="102" t="s">
        <v>3156</v>
      </c>
      <c r="C61" s="102">
        <v>74920</v>
      </c>
      <c r="D61" s="102" t="s">
        <v>710</v>
      </c>
      <c r="E61" s="102"/>
    </row>
    <row r="62" spans="1:5" x14ac:dyDescent="0.15">
      <c r="A62" s="102" t="s">
        <v>3246</v>
      </c>
      <c r="B62" s="102" t="s">
        <v>3227</v>
      </c>
      <c r="C62" s="102">
        <v>75091</v>
      </c>
      <c r="D62" s="102" t="s">
        <v>728</v>
      </c>
      <c r="E62" s="102"/>
    </row>
    <row r="63" spans="1:5" x14ac:dyDescent="0.15">
      <c r="A63" s="102" t="s">
        <v>3247</v>
      </c>
      <c r="B63" s="102" t="s">
        <v>3154</v>
      </c>
      <c r="C63" s="102">
        <v>75092</v>
      </c>
      <c r="D63" s="102" t="s">
        <v>742</v>
      </c>
      <c r="E63" s="102"/>
    </row>
    <row r="64" spans="1:5" x14ac:dyDescent="0.15">
      <c r="A64" s="102" t="s">
        <v>3248</v>
      </c>
      <c r="B64" s="102" t="s">
        <v>3156</v>
      </c>
      <c r="C64" s="102">
        <v>74818</v>
      </c>
      <c r="D64" s="102" t="s">
        <v>786</v>
      </c>
      <c r="E64" s="102"/>
    </row>
    <row r="65" spans="1:5" x14ac:dyDescent="0.15">
      <c r="A65" s="102" t="s">
        <v>3249</v>
      </c>
      <c r="B65" s="102" t="s">
        <v>3250</v>
      </c>
      <c r="C65" s="102">
        <v>240377</v>
      </c>
      <c r="D65" s="102" t="s">
        <v>806</v>
      </c>
      <c r="E65" s="102"/>
    </row>
    <row r="66" spans="1:5" x14ac:dyDescent="0.15">
      <c r="A66" s="102" t="s">
        <v>3251</v>
      </c>
      <c r="B66" s="102" t="s">
        <v>3252</v>
      </c>
      <c r="C66" s="102">
        <v>240367</v>
      </c>
      <c r="D66" s="102" t="s">
        <v>718</v>
      </c>
      <c r="E66" s="102"/>
    </row>
    <row r="67" spans="1:5" x14ac:dyDescent="0.15">
      <c r="A67" s="102" t="s">
        <v>3253</v>
      </c>
      <c r="B67" s="102" t="s">
        <v>3254</v>
      </c>
      <c r="C67" s="102">
        <v>240352</v>
      </c>
      <c r="D67" s="102" t="s">
        <v>751</v>
      </c>
      <c r="E67" s="102"/>
    </row>
    <row r="68" spans="1:5" x14ac:dyDescent="0.15">
      <c r="A68" s="102" t="s">
        <v>3255</v>
      </c>
      <c r="B68" s="102" t="s">
        <v>3256</v>
      </c>
      <c r="C68" s="102">
        <v>240379</v>
      </c>
      <c r="D68" s="102" t="s">
        <v>810</v>
      </c>
      <c r="E68" s="102"/>
    </row>
    <row r="69" spans="1:5" x14ac:dyDescent="0.15">
      <c r="A69" s="102" t="s">
        <v>3257</v>
      </c>
      <c r="B69" s="102" t="s">
        <v>3258</v>
      </c>
      <c r="C69" s="102">
        <v>240378</v>
      </c>
      <c r="D69" s="102" t="s">
        <v>813</v>
      </c>
      <c r="E69" s="102"/>
    </row>
    <row r="70" spans="1:5" x14ac:dyDescent="0.15">
      <c r="A70" s="102" t="s">
        <v>3259</v>
      </c>
      <c r="B70" s="102" t="s">
        <v>3156</v>
      </c>
      <c r="C70" s="102">
        <v>74952</v>
      </c>
      <c r="D70" s="102" t="s">
        <v>816</v>
      </c>
      <c r="E70" s="102"/>
    </row>
    <row r="71" spans="1:5" x14ac:dyDescent="0.15">
      <c r="A71" s="102" t="s">
        <v>3260</v>
      </c>
      <c r="B71" s="102" t="s">
        <v>3186</v>
      </c>
      <c r="C71" s="102">
        <v>240380</v>
      </c>
      <c r="D71" s="102" t="s">
        <v>819</v>
      </c>
      <c r="E71" s="102"/>
    </row>
    <row r="72" spans="1:5" x14ac:dyDescent="0.15">
      <c r="A72" s="102" t="s">
        <v>3261</v>
      </c>
      <c r="B72" s="102" t="s">
        <v>3156</v>
      </c>
      <c r="C72" s="102">
        <v>102769</v>
      </c>
      <c r="D72" s="102" t="s">
        <v>744</v>
      </c>
      <c r="E72" s="102"/>
    </row>
    <row r="73" spans="1:5" x14ac:dyDescent="0.15">
      <c r="A73" s="102" t="s">
        <v>3262</v>
      </c>
      <c r="B73" s="102" t="s">
        <v>3183</v>
      </c>
      <c r="C73" s="102">
        <v>74622</v>
      </c>
      <c r="D73" s="102" t="s">
        <v>763</v>
      </c>
      <c r="E73" s="102"/>
    </row>
    <row r="74" spans="1:5" x14ac:dyDescent="0.15">
      <c r="A74" s="102" t="s">
        <v>3263</v>
      </c>
      <c r="B74" s="102" t="s">
        <v>3156</v>
      </c>
      <c r="C74" s="102">
        <v>74933</v>
      </c>
      <c r="D74" s="102" t="s">
        <v>724</v>
      </c>
      <c r="E74" s="102"/>
    </row>
    <row r="75" spans="1:5" x14ac:dyDescent="0.15">
      <c r="A75" s="102" t="s">
        <v>3264</v>
      </c>
      <c r="B75" s="102" t="s">
        <v>3265</v>
      </c>
      <c r="C75" s="102">
        <v>74983</v>
      </c>
      <c r="D75" s="102" t="s">
        <v>780</v>
      </c>
      <c r="E75" s="102"/>
    </row>
    <row r="76" spans="1:5" x14ac:dyDescent="0.15">
      <c r="A76" s="102" t="s">
        <v>3266</v>
      </c>
      <c r="B76" s="102" t="s">
        <v>3156</v>
      </c>
      <c r="C76" s="102">
        <v>102768</v>
      </c>
      <c r="D76" s="102" t="s">
        <v>758</v>
      </c>
      <c r="E76" s="102"/>
    </row>
    <row r="77" spans="1:5" x14ac:dyDescent="0.15">
      <c r="A77" s="102" t="s">
        <v>3267</v>
      </c>
      <c r="B77" s="102" t="s">
        <v>3268</v>
      </c>
      <c r="C77" s="102">
        <v>240376</v>
      </c>
      <c r="D77" s="102" t="s">
        <v>822</v>
      </c>
      <c r="E77" s="102"/>
    </row>
    <row r="78" spans="1:5" x14ac:dyDescent="0.15">
      <c r="A78" s="102" t="s">
        <v>3269</v>
      </c>
      <c r="B78" s="102" t="s">
        <v>3156</v>
      </c>
      <c r="C78" s="102">
        <v>82844</v>
      </c>
      <c r="D78" s="102" t="s">
        <v>792</v>
      </c>
      <c r="E78" s="102"/>
    </row>
    <row r="79" spans="1:5" x14ac:dyDescent="0.15">
      <c r="A79" s="102" t="s">
        <v>3270</v>
      </c>
      <c r="B79" s="102" t="s">
        <v>3156</v>
      </c>
      <c r="C79" s="102">
        <v>74940</v>
      </c>
      <c r="D79" s="102" t="s">
        <v>738</v>
      </c>
      <c r="E79" s="102"/>
    </row>
    <row r="80" spans="1:5" x14ac:dyDescent="0.15">
      <c r="A80" s="102" t="s">
        <v>3271</v>
      </c>
      <c r="B80" s="102" t="s">
        <v>3272</v>
      </c>
      <c r="C80" s="102">
        <v>246801</v>
      </c>
      <c r="D80" s="102" t="s">
        <v>824</v>
      </c>
      <c r="E80" s="102"/>
    </row>
    <row r="81" spans="1:5" x14ac:dyDescent="0.15">
      <c r="A81" s="102" t="s">
        <v>3273</v>
      </c>
      <c r="B81" s="102" t="s">
        <v>3156</v>
      </c>
      <c r="C81" s="102">
        <v>74882</v>
      </c>
      <c r="D81" s="102" t="s">
        <v>748</v>
      </c>
      <c r="E81" s="102"/>
    </row>
    <row r="82" spans="1:5" x14ac:dyDescent="0.15">
      <c r="A82" s="102" t="s">
        <v>3274</v>
      </c>
      <c r="B82" s="102" t="s">
        <v>3275</v>
      </c>
      <c r="C82" s="102">
        <v>240369</v>
      </c>
      <c r="D82" s="102" t="s">
        <v>732</v>
      </c>
      <c r="E82" s="102"/>
    </row>
    <row r="83" spans="1:5" x14ac:dyDescent="0.15">
      <c r="A83" s="102" t="s">
        <v>3276</v>
      </c>
      <c r="B83" s="102" t="s">
        <v>3265</v>
      </c>
      <c r="C83" s="102">
        <v>74986</v>
      </c>
      <c r="D83" s="102" t="s">
        <v>787</v>
      </c>
      <c r="E83" s="102"/>
    </row>
    <row r="84" spans="1:5" x14ac:dyDescent="0.15">
      <c r="A84" s="102" t="s">
        <v>3277</v>
      </c>
      <c r="B84" s="102" t="s">
        <v>3227</v>
      </c>
      <c r="C84" s="102">
        <v>75119</v>
      </c>
      <c r="D84" s="102" t="s">
        <v>729</v>
      </c>
      <c r="E84" s="102"/>
    </row>
    <row r="85" spans="1:5" x14ac:dyDescent="0.15">
      <c r="A85" s="102" t="s">
        <v>3278</v>
      </c>
      <c r="B85" s="102" t="s">
        <v>3156</v>
      </c>
      <c r="C85" s="102">
        <v>75093</v>
      </c>
      <c r="D85" s="102" t="s">
        <v>756</v>
      </c>
      <c r="E85" s="102"/>
    </row>
    <row r="86" spans="1:5" x14ac:dyDescent="0.15">
      <c r="A86" s="102" t="s">
        <v>3279</v>
      </c>
      <c r="B86" s="102" t="s">
        <v>3198</v>
      </c>
      <c r="C86" s="102">
        <v>240394</v>
      </c>
      <c r="D86" s="102" t="s">
        <v>797</v>
      </c>
      <c r="E86" s="102"/>
    </row>
    <row r="87" spans="1:5" x14ac:dyDescent="0.15">
      <c r="A87" s="102" t="s">
        <v>3280</v>
      </c>
      <c r="B87" s="102" t="s">
        <v>3154</v>
      </c>
      <c r="C87" s="102">
        <v>75106</v>
      </c>
      <c r="D87" s="102" t="s">
        <v>766</v>
      </c>
      <c r="E87" s="102"/>
    </row>
    <row r="88" spans="1:5" x14ac:dyDescent="0.15">
      <c r="A88" s="102" t="s">
        <v>3281</v>
      </c>
      <c r="B88" s="102" t="s">
        <v>3152</v>
      </c>
      <c r="C88" s="102">
        <v>240406</v>
      </c>
      <c r="D88" s="102" t="s">
        <v>803</v>
      </c>
      <c r="E88" s="102"/>
    </row>
    <row r="89" spans="1:5" x14ac:dyDescent="0.15">
      <c r="A89" s="102" t="s">
        <v>3282</v>
      </c>
      <c r="B89" s="102" t="s">
        <v>3283</v>
      </c>
      <c r="C89" s="102">
        <v>74865</v>
      </c>
      <c r="D89" s="102" t="s">
        <v>743</v>
      </c>
      <c r="E89" s="102"/>
    </row>
    <row r="90" spans="1:5" x14ac:dyDescent="0.15">
      <c r="A90" s="102" t="s">
        <v>3284</v>
      </c>
      <c r="B90" s="102" t="s">
        <v>1972</v>
      </c>
      <c r="C90" s="102">
        <v>58733</v>
      </c>
      <c r="D90" s="102" t="s">
        <v>760</v>
      </c>
      <c r="E90" s="102"/>
    </row>
    <row r="91" spans="1:5" x14ac:dyDescent="0.15">
      <c r="A91" s="102" t="s">
        <v>3285</v>
      </c>
      <c r="B91" s="102" t="s">
        <v>3154</v>
      </c>
      <c r="C91" s="102">
        <v>209254</v>
      </c>
      <c r="D91" s="102" t="s">
        <v>811</v>
      </c>
      <c r="E91" s="102"/>
    </row>
    <row r="92" spans="1:5" x14ac:dyDescent="0.15">
      <c r="A92" s="102" t="s">
        <v>3286</v>
      </c>
      <c r="B92" s="102" t="s">
        <v>3287</v>
      </c>
      <c r="C92" s="102">
        <v>240404</v>
      </c>
      <c r="D92" s="102" t="s">
        <v>808</v>
      </c>
      <c r="E92" s="102"/>
    </row>
    <row r="93" spans="1:5" x14ac:dyDescent="0.15">
      <c r="A93" s="102" t="s">
        <v>3288</v>
      </c>
      <c r="B93" s="102" t="s">
        <v>3289</v>
      </c>
      <c r="C93" s="102">
        <v>74993</v>
      </c>
      <c r="D93" s="102" t="s">
        <v>793</v>
      </c>
      <c r="E93" s="102"/>
    </row>
    <row r="94" spans="1:5" x14ac:dyDescent="0.15">
      <c r="A94" s="102" t="s">
        <v>3290</v>
      </c>
      <c r="B94" s="102" t="s">
        <v>3291</v>
      </c>
      <c r="C94" s="102">
        <v>240362</v>
      </c>
      <c r="D94" s="102" t="s">
        <v>799</v>
      </c>
      <c r="E94" s="102"/>
    </row>
    <row r="95" spans="1:5" x14ac:dyDescent="0.15">
      <c r="A95" s="102" t="s">
        <v>3292</v>
      </c>
      <c r="B95" s="102" t="s">
        <v>3293</v>
      </c>
      <c r="C95" s="102">
        <v>240354</v>
      </c>
      <c r="D95" s="102" t="s">
        <v>773</v>
      </c>
      <c r="E95" s="102"/>
    </row>
    <row r="96" spans="1:5" x14ac:dyDescent="0.15">
      <c r="A96" s="102" t="s">
        <v>3294</v>
      </c>
      <c r="B96" s="102" t="s">
        <v>3183</v>
      </c>
      <c r="C96" s="102">
        <v>74633</v>
      </c>
      <c r="D96" s="102" t="s">
        <v>781</v>
      </c>
      <c r="E96" s="102"/>
    </row>
    <row r="97" spans="1:5" x14ac:dyDescent="0.15">
      <c r="A97" s="102" t="s">
        <v>3295</v>
      </c>
      <c r="B97" s="102" t="s">
        <v>3252</v>
      </c>
      <c r="C97" s="102">
        <v>240370</v>
      </c>
      <c r="D97" s="102" t="s">
        <v>746</v>
      </c>
      <c r="E97" s="102"/>
    </row>
    <row r="98" spans="1:5" x14ac:dyDescent="0.15">
      <c r="A98" s="102" t="s">
        <v>3296</v>
      </c>
      <c r="B98" s="102" t="s">
        <v>3297</v>
      </c>
      <c r="C98" s="102">
        <v>240383</v>
      </c>
      <c r="D98" s="102" t="s">
        <v>826</v>
      </c>
      <c r="E98" s="102"/>
    </row>
    <row r="99" spans="1:5" x14ac:dyDescent="0.15">
      <c r="A99" s="102" t="s">
        <v>3298</v>
      </c>
      <c r="B99" s="102" t="s">
        <v>3233</v>
      </c>
      <c r="C99" s="102">
        <v>240400</v>
      </c>
      <c r="D99" s="102" t="s">
        <v>812</v>
      </c>
      <c r="E99" s="102"/>
    </row>
    <row r="100" spans="1:5" x14ac:dyDescent="0.15">
      <c r="A100" s="102" t="s">
        <v>3299</v>
      </c>
      <c r="B100" s="102" t="s">
        <v>3227</v>
      </c>
      <c r="C100" s="102">
        <v>75131</v>
      </c>
      <c r="D100" s="102" t="s">
        <v>757</v>
      </c>
      <c r="E100" s="102"/>
    </row>
    <row r="101" spans="1:5" x14ac:dyDescent="0.15">
      <c r="A101" s="102" t="s">
        <v>3300</v>
      </c>
      <c r="B101" s="102" t="s">
        <v>3156</v>
      </c>
      <c r="C101" s="102">
        <v>74941</v>
      </c>
      <c r="D101" s="102" t="s">
        <v>752</v>
      </c>
      <c r="E101" s="102"/>
    </row>
    <row r="102" spans="1:5" x14ac:dyDescent="0.15">
      <c r="A102" s="102" t="s">
        <v>3301</v>
      </c>
      <c r="B102" s="102" t="s">
        <v>3291</v>
      </c>
      <c r="C102" s="102">
        <v>74682</v>
      </c>
      <c r="D102" s="102" t="s">
        <v>767</v>
      </c>
      <c r="E102" s="102"/>
    </row>
    <row r="103" spans="1:5" x14ac:dyDescent="0.15">
      <c r="A103" s="102" t="s">
        <v>3302</v>
      </c>
      <c r="B103" s="102" t="s">
        <v>3156</v>
      </c>
      <c r="C103" s="102">
        <v>74825</v>
      </c>
      <c r="D103" s="102" t="s">
        <v>798</v>
      </c>
      <c r="E103" s="102"/>
    </row>
    <row r="104" spans="1:5" x14ac:dyDescent="0.15">
      <c r="A104" s="102" t="s">
        <v>3303</v>
      </c>
      <c r="B104" s="102" t="s">
        <v>3287</v>
      </c>
      <c r="C104" s="102">
        <v>240403</v>
      </c>
      <c r="D104" s="102" t="s">
        <v>815</v>
      </c>
      <c r="E104" s="102"/>
    </row>
    <row r="105" spans="1:5" x14ac:dyDescent="0.15">
      <c r="A105" s="102" t="s">
        <v>3304</v>
      </c>
      <c r="B105" s="102" t="s">
        <v>3305</v>
      </c>
      <c r="C105" s="102">
        <v>74957</v>
      </c>
      <c r="D105" s="102" t="s">
        <v>788</v>
      </c>
      <c r="E105" s="102"/>
    </row>
    <row r="106" spans="1:5" x14ac:dyDescent="0.15">
      <c r="A106" s="102" t="s">
        <v>3306</v>
      </c>
      <c r="B106" s="102" t="s">
        <v>3156</v>
      </c>
      <c r="C106" s="102">
        <v>102767</v>
      </c>
      <c r="D106" s="102" t="s">
        <v>768</v>
      </c>
      <c r="E106" s="102"/>
    </row>
    <row r="107" spans="1:5" x14ac:dyDescent="0.15">
      <c r="A107" s="102" t="s">
        <v>3307</v>
      </c>
      <c r="B107" s="102" t="s">
        <v>3308</v>
      </c>
      <c r="C107" s="102">
        <v>240396</v>
      </c>
      <c r="D107" s="102" t="s">
        <v>818</v>
      </c>
      <c r="E107" s="102"/>
    </row>
    <row r="108" spans="1:5" x14ac:dyDescent="0.15">
      <c r="A108" s="102" t="s">
        <v>3309</v>
      </c>
      <c r="B108" s="102" t="s">
        <v>3156</v>
      </c>
      <c r="C108" s="102">
        <v>74942</v>
      </c>
      <c r="D108" s="102" t="s">
        <v>764</v>
      </c>
      <c r="E108" s="102"/>
    </row>
    <row r="109" spans="1:5" x14ac:dyDescent="0.15">
      <c r="A109" s="102" t="s">
        <v>3310</v>
      </c>
      <c r="B109" s="102" t="s">
        <v>3311</v>
      </c>
      <c r="C109" s="102">
        <v>75028</v>
      </c>
      <c r="D109" s="102" t="s">
        <v>814</v>
      </c>
      <c r="E109" s="102"/>
    </row>
    <row r="110" spans="1:5" x14ac:dyDescent="0.15">
      <c r="A110" s="102" t="s">
        <v>3312</v>
      </c>
      <c r="B110" s="102" t="s">
        <v>3154</v>
      </c>
      <c r="C110" s="102">
        <v>74771</v>
      </c>
      <c r="D110" s="102" t="s">
        <v>817</v>
      </c>
      <c r="E110" s="102"/>
    </row>
    <row r="111" spans="1:5" x14ac:dyDescent="0.15">
      <c r="A111" s="102" t="s">
        <v>3313</v>
      </c>
      <c r="B111" s="102" t="s">
        <v>3183</v>
      </c>
      <c r="C111" s="102">
        <v>74788</v>
      </c>
      <c r="D111" s="102" t="s">
        <v>820</v>
      </c>
      <c r="E111" s="102"/>
    </row>
    <row r="112" spans="1:5" x14ac:dyDescent="0.15">
      <c r="A112" s="102" t="s">
        <v>3314</v>
      </c>
      <c r="B112" s="102" t="s">
        <v>3154</v>
      </c>
      <c r="C112" s="102">
        <v>74800</v>
      </c>
      <c r="D112" s="102" t="s">
        <v>823</v>
      </c>
      <c r="E112" s="102"/>
    </row>
    <row r="113" spans="1:5" x14ac:dyDescent="0.15">
      <c r="A113" s="102" t="s">
        <v>3315</v>
      </c>
      <c r="B113" s="102" t="s">
        <v>3154</v>
      </c>
      <c r="C113" s="102">
        <v>209245</v>
      </c>
      <c r="D113" s="102" t="s">
        <v>825</v>
      </c>
      <c r="E113" s="102"/>
    </row>
    <row r="114" spans="1:5" x14ac:dyDescent="0.15">
      <c r="A114" s="102" t="s">
        <v>3316</v>
      </c>
      <c r="B114" s="102" t="s">
        <v>3317</v>
      </c>
      <c r="C114" s="102">
        <v>240375</v>
      </c>
      <c r="D114" s="102" t="s">
        <v>828</v>
      </c>
      <c r="E114" s="102"/>
    </row>
    <row r="115" spans="1:5" x14ac:dyDescent="0.15">
      <c r="A115" s="102" t="s">
        <v>3318</v>
      </c>
      <c r="B115" s="102" t="s">
        <v>3183</v>
      </c>
      <c r="C115" s="102">
        <v>74640</v>
      </c>
      <c r="D115" s="102" t="s">
        <v>794</v>
      </c>
      <c r="E115" s="102"/>
    </row>
    <row r="116" spans="1:5" x14ac:dyDescent="0.15">
      <c r="A116" s="102" t="s">
        <v>3319</v>
      </c>
      <c r="B116" s="102" t="s">
        <v>3254</v>
      </c>
      <c r="C116" s="102">
        <v>240351</v>
      </c>
      <c r="D116" s="102" t="s">
        <v>800</v>
      </c>
      <c r="E116" s="102"/>
    </row>
    <row r="117" spans="1:5" x14ac:dyDescent="0.15">
      <c r="A117" s="102" t="s">
        <v>3320</v>
      </c>
      <c r="B117" s="102" t="s">
        <v>3321</v>
      </c>
      <c r="C117" s="102">
        <v>157595</v>
      </c>
      <c r="D117" s="102" t="s">
        <v>827</v>
      </c>
      <c r="E117" s="102"/>
    </row>
    <row r="118" spans="1:5" x14ac:dyDescent="0.15">
      <c r="A118" s="102" t="s">
        <v>3322</v>
      </c>
      <c r="B118" s="102" t="s">
        <v>3154</v>
      </c>
      <c r="C118" s="102">
        <v>209246</v>
      </c>
      <c r="D118" s="102" t="s">
        <v>829</v>
      </c>
      <c r="E118" s="102"/>
    </row>
    <row r="119" spans="1:5" x14ac:dyDescent="0.15">
      <c r="A119" s="102" t="s">
        <v>3323</v>
      </c>
      <c r="B119" s="102" t="s">
        <v>3156</v>
      </c>
      <c r="C119" s="102">
        <v>87638</v>
      </c>
      <c r="D119" s="102" t="s">
        <v>741</v>
      </c>
      <c r="E119" s="102"/>
    </row>
    <row r="120" spans="1:5" x14ac:dyDescent="0.15">
      <c r="A120" s="102" t="s">
        <v>3324</v>
      </c>
      <c r="B120" s="102" t="s">
        <v>3154</v>
      </c>
      <c r="C120" s="102">
        <v>75039</v>
      </c>
      <c r="D120" s="102" t="s">
        <v>830</v>
      </c>
      <c r="E120" s="102"/>
    </row>
    <row r="121" spans="1:5" x14ac:dyDescent="0.15">
      <c r="A121" s="102" t="s">
        <v>3325</v>
      </c>
      <c r="B121" s="102" t="s">
        <v>3183</v>
      </c>
      <c r="C121" s="102">
        <v>74659</v>
      </c>
      <c r="D121" s="102" t="s">
        <v>805</v>
      </c>
      <c r="E121" s="102"/>
    </row>
    <row r="122" spans="1:5" x14ac:dyDescent="0.15">
      <c r="A122" s="102" t="s">
        <v>3326</v>
      </c>
      <c r="B122" s="102" t="s">
        <v>3154</v>
      </c>
      <c r="C122" s="102">
        <v>75111</v>
      </c>
      <c r="D122" s="102" t="s">
        <v>776</v>
      </c>
      <c r="E122" s="102"/>
    </row>
    <row r="123" spans="1:5" x14ac:dyDescent="0.15">
      <c r="A123" s="102" t="s">
        <v>3327</v>
      </c>
      <c r="B123" s="102" t="s">
        <v>3183</v>
      </c>
      <c r="C123" s="102">
        <v>74668</v>
      </c>
      <c r="D123" s="102" t="s">
        <v>809</v>
      </c>
      <c r="E123" s="102"/>
    </row>
    <row r="124" spans="1:5" x14ac:dyDescent="0.15">
      <c r="A124" s="102" t="s">
        <v>3328</v>
      </c>
      <c r="B124" s="102" t="s">
        <v>3227</v>
      </c>
      <c r="C124" s="102">
        <v>75132</v>
      </c>
      <c r="D124" s="102" t="s">
        <v>777</v>
      </c>
      <c r="E124" s="102"/>
    </row>
    <row r="125" spans="1:5" x14ac:dyDescent="0.15">
      <c r="A125" s="102" t="s">
        <v>3329</v>
      </c>
      <c r="B125" s="102" t="s">
        <v>3154</v>
      </c>
      <c r="C125" s="102">
        <v>209247</v>
      </c>
      <c r="D125" s="102" t="s">
        <v>831</v>
      </c>
      <c r="E125" s="102"/>
    </row>
    <row r="126" spans="1:5" x14ac:dyDescent="0.15">
      <c r="A126" s="102" t="s">
        <v>3330</v>
      </c>
      <c r="B126" s="102" t="s">
        <v>3227</v>
      </c>
      <c r="C126" s="102">
        <v>75133</v>
      </c>
      <c r="D126" s="102" t="s">
        <v>784</v>
      </c>
      <c r="E126" s="102"/>
    </row>
    <row r="127" spans="1:5" x14ac:dyDescent="0.15">
      <c r="A127" s="102" t="s">
        <v>3331</v>
      </c>
      <c r="B127" s="102" t="s">
        <v>3183</v>
      </c>
      <c r="C127" s="102">
        <v>209252</v>
      </c>
      <c r="D127" s="102" t="s">
        <v>832</v>
      </c>
      <c r="E127" s="102"/>
    </row>
    <row r="128" spans="1:5" x14ac:dyDescent="0.15">
      <c r="A128" s="102" t="s">
        <v>3332</v>
      </c>
      <c r="B128" s="102" t="s">
        <v>3154</v>
      </c>
      <c r="C128" s="102">
        <v>209255</v>
      </c>
      <c r="D128" s="102" t="s">
        <v>833</v>
      </c>
      <c r="E128" s="102"/>
    </row>
    <row r="129" spans="1:5" x14ac:dyDescent="0.15">
      <c r="A129" s="102" t="s">
        <v>3333</v>
      </c>
      <c r="B129" s="102" t="s">
        <v>3334</v>
      </c>
      <c r="C129" s="102">
        <v>74883</v>
      </c>
      <c r="D129" s="102" t="s">
        <v>755</v>
      </c>
      <c r="E129" s="102"/>
    </row>
    <row r="130" spans="1:5" x14ac:dyDescent="0.15">
      <c r="A130" s="102" t="s">
        <v>3335</v>
      </c>
      <c r="B130" s="102" t="s">
        <v>3336</v>
      </c>
      <c r="C130" s="102">
        <v>240399</v>
      </c>
      <c r="D130" s="102" t="s">
        <v>821</v>
      </c>
      <c r="E130" s="102"/>
    </row>
    <row r="131" spans="1:5" x14ac:dyDescent="0.15">
      <c r="A131" s="102" t="s">
        <v>3337</v>
      </c>
      <c r="B131" s="102" t="s">
        <v>3338</v>
      </c>
      <c r="C131" s="102">
        <v>242054</v>
      </c>
      <c r="D131" s="102" t="s">
        <v>804</v>
      </c>
      <c r="E131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31"/>
  <dimension ref="A1:F133"/>
  <sheetViews>
    <sheetView workbookViewId="0">
      <selection activeCell="E31" sqref="E31"/>
    </sheetView>
  </sheetViews>
  <sheetFormatPr baseColWidth="10" defaultColWidth="11" defaultRowHeight="13" x14ac:dyDescent="0.15"/>
  <cols>
    <col min="1" max="1" width="10.1640625" customWidth="1"/>
    <col min="2" max="2" width="32" bestFit="1" customWidth="1"/>
    <col min="3" max="3" width="21.5" customWidth="1"/>
    <col min="4" max="4" width="13.5" customWidth="1"/>
    <col min="5" max="5" width="55.83203125" bestFit="1" customWidth="1"/>
    <col min="6" max="6" width="33.33203125" bestFit="1" customWidth="1"/>
    <col min="7" max="7" width="32" bestFit="1" customWidth="1"/>
    <col min="8" max="8" width="17.5" bestFit="1" customWidth="1"/>
    <col min="9" max="9" width="19.5" bestFit="1" customWidth="1"/>
    <col min="10" max="10" width="9.5" customWidth="1"/>
    <col min="11" max="11" width="21.33203125" customWidth="1"/>
    <col min="12" max="12" width="11.1640625" customWidth="1"/>
  </cols>
  <sheetData>
    <row r="1" spans="1:6" x14ac:dyDescent="0.15">
      <c r="A1" s="2" t="s">
        <v>3339</v>
      </c>
      <c r="B1" s="2" t="s">
        <v>3340</v>
      </c>
      <c r="C1" s="2" t="s">
        <v>3341</v>
      </c>
      <c r="D1" s="2" t="s">
        <v>3342</v>
      </c>
      <c r="E1" s="2" t="s">
        <v>3343</v>
      </c>
      <c r="F1" s="2" t="s">
        <v>3344</v>
      </c>
    </row>
    <row r="2" spans="1:6" x14ac:dyDescent="0.15">
      <c r="A2" s="102">
        <v>240366</v>
      </c>
      <c r="B2" s="102" t="s">
        <v>703</v>
      </c>
      <c r="C2" s="102">
        <v>15</v>
      </c>
      <c r="D2" s="102">
        <v>240405</v>
      </c>
      <c r="E2" s="102" t="s">
        <v>3151</v>
      </c>
      <c r="F2" s="102" t="s">
        <v>717</v>
      </c>
    </row>
    <row r="3" spans="1:6" x14ac:dyDescent="0.15">
      <c r="A3" s="102">
        <v>74568</v>
      </c>
      <c r="B3" s="102" t="s">
        <v>699</v>
      </c>
      <c r="C3" s="102">
        <v>23</v>
      </c>
      <c r="D3" s="102">
        <v>209239</v>
      </c>
      <c r="E3" s="102" t="s">
        <v>3153</v>
      </c>
      <c r="F3" s="102" t="s">
        <v>712</v>
      </c>
    </row>
    <row r="4" spans="1:6" x14ac:dyDescent="0.15">
      <c r="A4" s="102">
        <v>58723</v>
      </c>
      <c r="B4" s="102" t="s">
        <v>692</v>
      </c>
      <c r="C4" s="102">
        <v>6</v>
      </c>
      <c r="D4" s="102">
        <v>58731</v>
      </c>
      <c r="E4" s="102" t="s">
        <v>3345</v>
      </c>
      <c r="F4" s="102" t="s">
        <v>705</v>
      </c>
    </row>
    <row r="5" spans="1:6" x14ac:dyDescent="0.15">
      <c r="A5" s="102">
        <v>74568</v>
      </c>
      <c r="B5" s="102" t="s">
        <v>699</v>
      </c>
      <c r="C5" s="102">
        <v>23</v>
      </c>
      <c r="D5" s="102">
        <v>209240</v>
      </c>
      <c r="E5" s="102" t="s">
        <v>3157</v>
      </c>
      <c r="F5" s="102" t="s">
        <v>726</v>
      </c>
    </row>
    <row r="6" spans="1:6" x14ac:dyDescent="0.15">
      <c r="A6" s="102">
        <v>74206</v>
      </c>
      <c r="B6" s="102" t="s">
        <v>694</v>
      </c>
      <c r="C6" s="102">
        <v>10</v>
      </c>
      <c r="D6" s="102">
        <v>160697</v>
      </c>
      <c r="E6" s="102" t="s">
        <v>3158</v>
      </c>
      <c r="F6" s="102" t="s">
        <v>707</v>
      </c>
    </row>
    <row r="7" spans="1:6" x14ac:dyDescent="0.15">
      <c r="A7" s="102">
        <v>74521</v>
      </c>
      <c r="B7" s="102" t="s">
        <v>696</v>
      </c>
      <c r="C7" s="102">
        <v>12</v>
      </c>
      <c r="D7" s="102">
        <v>74594</v>
      </c>
      <c r="E7" s="102" t="s">
        <v>3159</v>
      </c>
      <c r="F7" s="102" t="s">
        <v>709</v>
      </c>
    </row>
    <row r="8" spans="1:6" x14ac:dyDescent="0.15">
      <c r="A8" s="102">
        <v>74568</v>
      </c>
      <c r="B8" s="102" t="s">
        <v>699</v>
      </c>
      <c r="C8" s="102">
        <v>23</v>
      </c>
      <c r="D8" s="102">
        <v>74700</v>
      </c>
      <c r="E8" s="102" t="s">
        <v>3161</v>
      </c>
      <c r="F8" s="102" t="s">
        <v>740</v>
      </c>
    </row>
    <row r="9" spans="1:6" x14ac:dyDescent="0.15">
      <c r="A9" s="102">
        <v>74568</v>
      </c>
      <c r="B9" s="102" t="s">
        <v>699</v>
      </c>
      <c r="C9" s="102">
        <v>23</v>
      </c>
      <c r="D9" s="102">
        <v>242053</v>
      </c>
      <c r="E9" s="102" t="s">
        <v>3162</v>
      </c>
      <c r="F9" s="102" t="s">
        <v>754</v>
      </c>
    </row>
    <row r="10" spans="1:6" x14ac:dyDescent="0.15">
      <c r="A10" s="102">
        <v>74577</v>
      </c>
      <c r="B10" s="102" t="s">
        <v>701</v>
      </c>
      <c r="C10" s="102">
        <v>7</v>
      </c>
      <c r="D10" s="102">
        <v>74671</v>
      </c>
      <c r="E10" s="102" t="s">
        <v>3164</v>
      </c>
      <c r="F10" s="102" t="s">
        <v>715</v>
      </c>
    </row>
    <row r="11" spans="1:6" x14ac:dyDescent="0.15">
      <c r="A11" s="102">
        <v>58730</v>
      </c>
      <c r="B11" s="102" t="s">
        <v>693</v>
      </c>
      <c r="C11" s="102">
        <v>5</v>
      </c>
      <c r="D11" s="102">
        <v>74840</v>
      </c>
      <c r="E11" s="102" t="s">
        <v>3166</v>
      </c>
      <c r="F11" s="102" t="s">
        <v>706</v>
      </c>
    </row>
    <row r="12" spans="1:6" x14ac:dyDescent="0.15">
      <c r="A12" s="102">
        <v>58723</v>
      </c>
      <c r="B12" s="102" t="s">
        <v>692</v>
      </c>
      <c r="C12" s="102">
        <v>6</v>
      </c>
      <c r="D12" s="102">
        <v>240388</v>
      </c>
      <c r="E12" s="102" t="s">
        <v>3167</v>
      </c>
      <c r="F12" s="102" t="s">
        <v>719</v>
      </c>
    </row>
    <row r="13" spans="1:6" x14ac:dyDescent="0.15">
      <c r="A13" s="102">
        <v>58723</v>
      </c>
      <c r="B13" s="102" t="s">
        <v>692</v>
      </c>
      <c r="C13" s="102">
        <v>6</v>
      </c>
      <c r="D13" s="102">
        <v>240389</v>
      </c>
      <c r="E13" s="102" t="s">
        <v>3169</v>
      </c>
      <c r="F13" s="102" t="s">
        <v>733</v>
      </c>
    </row>
    <row r="14" spans="1:6" x14ac:dyDescent="0.15">
      <c r="A14" s="102">
        <v>58723</v>
      </c>
      <c r="B14" s="102" t="s">
        <v>692</v>
      </c>
      <c r="C14" s="102">
        <v>6</v>
      </c>
      <c r="D14" s="102">
        <v>240390</v>
      </c>
      <c r="E14" s="102" t="s">
        <v>3170</v>
      </c>
      <c r="F14" s="102" t="s">
        <v>747</v>
      </c>
    </row>
    <row r="15" spans="1:6" x14ac:dyDescent="0.15">
      <c r="A15" s="102">
        <v>58723</v>
      </c>
      <c r="B15" s="102" t="s">
        <v>692</v>
      </c>
      <c r="C15" s="102">
        <v>6</v>
      </c>
      <c r="D15" s="102">
        <v>240391</v>
      </c>
      <c r="E15" s="102" t="s">
        <v>3171</v>
      </c>
      <c r="F15" s="102" t="s">
        <v>759</v>
      </c>
    </row>
    <row r="16" spans="1:6" x14ac:dyDescent="0.15">
      <c r="A16" s="102">
        <v>74565</v>
      </c>
      <c r="B16" s="102" t="s">
        <v>698</v>
      </c>
      <c r="C16" s="102">
        <v>19</v>
      </c>
      <c r="D16" s="102">
        <v>74947</v>
      </c>
      <c r="E16" s="102" t="s">
        <v>3173</v>
      </c>
      <c r="F16" s="102" t="s">
        <v>711</v>
      </c>
    </row>
    <row r="17" spans="1:6" x14ac:dyDescent="0.15">
      <c r="A17" s="102">
        <v>74565</v>
      </c>
      <c r="B17" s="102" t="s">
        <v>698</v>
      </c>
      <c r="C17" s="102">
        <v>19</v>
      </c>
      <c r="D17" s="102">
        <v>240374</v>
      </c>
      <c r="E17" s="102" t="s">
        <v>3174</v>
      </c>
      <c r="F17" s="102" t="s">
        <v>725</v>
      </c>
    </row>
    <row r="18" spans="1:6" x14ac:dyDescent="0.15">
      <c r="A18" s="102">
        <v>74206</v>
      </c>
      <c r="B18" s="102" t="s">
        <v>694</v>
      </c>
      <c r="C18" s="102">
        <v>10</v>
      </c>
      <c r="D18" s="102">
        <v>74808</v>
      </c>
      <c r="E18" s="102" t="s">
        <v>3176</v>
      </c>
      <c r="F18" s="102" t="s">
        <v>721</v>
      </c>
    </row>
    <row r="19" spans="1:6" x14ac:dyDescent="0.15">
      <c r="A19" s="102">
        <v>155019</v>
      </c>
      <c r="B19" s="102" t="s">
        <v>702</v>
      </c>
      <c r="C19" s="102">
        <v>5</v>
      </c>
      <c r="D19" s="102">
        <v>240371</v>
      </c>
      <c r="E19" s="102" t="s">
        <v>3177</v>
      </c>
      <c r="F19" s="102" t="s">
        <v>716</v>
      </c>
    </row>
    <row r="20" spans="1:6" x14ac:dyDescent="0.15">
      <c r="A20" s="102">
        <v>155019</v>
      </c>
      <c r="B20" s="102" t="s">
        <v>702</v>
      </c>
      <c r="C20" s="102">
        <v>5</v>
      </c>
      <c r="D20" s="102">
        <v>102766</v>
      </c>
      <c r="E20" s="102" t="s">
        <v>3179</v>
      </c>
      <c r="F20" s="102" t="s">
        <v>730</v>
      </c>
    </row>
    <row r="21" spans="1:6" x14ac:dyDescent="0.15">
      <c r="A21" s="102">
        <v>74206</v>
      </c>
      <c r="B21" s="102" t="s">
        <v>694</v>
      </c>
      <c r="C21" s="102">
        <v>10</v>
      </c>
      <c r="D21" s="102">
        <v>75000</v>
      </c>
      <c r="E21" s="102" t="s">
        <v>3180</v>
      </c>
      <c r="F21" s="102" t="s">
        <v>735</v>
      </c>
    </row>
    <row r="22" spans="1:6" x14ac:dyDescent="0.15">
      <c r="A22" s="102">
        <v>74568</v>
      </c>
      <c r="B22" s="102" t="s">
        <v>699</v>
      </c>
      <c r="C22" s="102">
        <v>23</v>
      </c>
      <c r="D22" s="102">
        <v>75000</v>
      </c>
      <c r="E22" s="102" t="s">
        <v>3180</v>
      </c>
      <c r="F22" s="102" t="s">
        <v>735</v>
      </c>
    </row>
    <row r="23" spans="1:6" x14ac:dyDescent="0.15">
      <c r="A23" s="102">
        <v>74206</v>
      </c>
      <c r="B23" s="102" t="s">
        <v>694</v>
      </c>
      <c r="C23" s="102">
        <v>10</v>
      </c>
      <c r="D23" s="102">
        <v>178279</v>
      </c>
      <c r="E23" s="102" t="s">
        <v>3182</v>
      </c>
      <c r="F23" s="102" t="s">
        <v>749</v>
      </c>
    </row>
    <row r="24" spans="1:6" x14ac:dyDescent="0.15">
      <c r="A24" s="102">
        <v>74568</v>
      </c>
      <c r="B24" s="102" t="s">
        <v>699</v>
      </c>
      <c r="C24" s="102">
        <v>23</v>
      </c>
      <c r="D24" s="102">
        <v>209243</v>
      </c>
      <c r="E24" s="102" t="s">
        <v>3184</v>
      </c>
      <c r="F24" s="102" t="s">
        <v>775</v>
      </c>
    </row>
    <row r="25" spans="1:6" x14ac:dyDescent="0.15">
      <c r="A25" s="102">
        <v>74565</v>
      </c>
      <c r="B25" s="102" t="s">
        <v>698</v>
      </c>
      <c r="C25" s="102">
        <v>19</v>
      </c>
      <c r="D25" s="102">
        <v>240381</v>
      </c>
      <c r="E25" s="102" t="s">
        <v>3185</v>
      </c>
      <c r="F25" s="102" t="s">
        <v>739</v>
      </c>
    </row>
    <row r="26" spans="1:6" x14ac:dyDescent="0.15">
      <c r="A26" s="102">
        <v>74568</v>
      </c>
      <c r="B26" s="102" t="s">
        <v>699</v>
      </c>
      <c r="C26" s="102">
        <v>23</v>
      </c>
      <c r="D26" s="102">
        <v>209244</v>
      </c>
      <c r="E26" s="102" t="s">
        <v>3187</v>
      </c>
      <c r="F26" s="102" t="s">
        <v>783</v>
      </c>
    </row>
    <row r="27" spans="1:6" x14ac:dyDescent="0.15">
      <c r="A27" s="102">
        <v>74568</v>
      </c>
      <c r="B27" s="102" t="s">
        <v>699</v>
      </c>
      <c r="C27" s="102">
        <v>23</v>
      </c>
      <c r="D27" s="102">
        <v>209258</v>
      </c>
      <c r="E27" s="102" t="s">
        <v>3188</v>
      </c>
      <c r="F27" s="102" t="s">
        <v>790</v>
      </c>
    </row>
    <row r="28" spans="1:6" x14ac:dyDescent="0.15">
      <c r="A28" s="102">
        <v>74565</v>
      </c>
      <c r="B28" s="102" t="s">
        <v>698</v>
      </c>
      <c r="C28" s="102">
        <v>19</v>
      </c>
      <c r="D28" s="102">
        <v>240384</v>
      </c>
      <c r="E28" s="102" t="s">
        <v>3189</v>
      </c>
      <c r="F28" s="102" t="s">
        <v>753</v>
      </c>
    </row>
    <row r="29" spans="1:6" x14ac:dyDescent="0.15">
      <c r="A29" s="102">
        <v>74497</v>
      </c>
      <c r="B29" s="102" t="s">
        <v>695</v>
      </c>
      <c r="C29" s="102">
        <v>11</v>
      </c>
      <c r="D29" s="102">
        <v>240363</v>
      </c>
      <c r="E29" s="102" t="s">
        <v>3191</v>
      </c>
      <c r="F29" s="102" t="s">
        <v>708</v>
      </c>
    </row>
    <row r="30" spans="1:6" x14ac:dyDescent="0.15">
      <c r="A30" s="102">
        <v>58723</v>
      </c>
      <c r="B30" s="102" t="s">
        <v>692</v>
      </c>
      <c r="C30" s="102">
        <v>6</v>
      </c>
      <c r="D30" s="102">
        <v>58732</v>
      </c>
      <c r="E30" s="102" t="s">
        <v>3193</v>
      </c>
      <c r="F30" s="102" t="s">
        <v>770</v>
      </c>
    </row>
    <row r="31" spans="1:6" x14ac:dyDescent="0.15">
      <c r="A31" s="102">
        <v>74568</v>
      </c>
      <c r="B31" s="102" t="s">
        <v>699</v>
      </c>
      <c r="C31" s="102">
        <v>23</v>
      </c>
      <c r="D31" s="102">
        <v>209253</v>
      </c>
      <c r="E31" s="102" t="s">
        <v>3194</v>
      </c>
      <c r="F31" s="102" t="s">
        <v>796</v>
      </c>
    </row>
    <row r="32" spans="1:6" x14ac:dyDescent="0.15">
      <c r="A32" s="102">
        <v>240366</v>
      </c>
      <c r="B32" s="102" t="s">
        <v>703</v>
      </c>
      <c r="C32" s="102">
        <v>15</v>
      </c>
      <c r="D32" s="102">
        <v>240395</v>
      </c>
      <c r="E32" s="102" t="s">
        <v>3195</v>
      </c>
      <c r="F32" s="102" t="s">
        <v>731</v>
      </c>
    </row>
    <row r="33" spans="1:6" x14ac:dyDescent="0.15">
      <c r="A33" s="102">
        <v>240366</v>
      </c>
      <c r="B33" s="102" t="s">
        <v>703</v>
      </c>
      <c r="C33" s="102">
        <v>15</v>
      </c>
      <c r="D33" s="102">
        <v>240393</v>
      </c>
      <c r="E33" s="102" t="s">
        <v>3197</v>
      </c>
      <c r="F33" s="102" t="s">
        <v>745</v>
      </c>
    </row>
    <row r="34" spans="1:6" x14ac:dyDescent="0.15">
      <c r="A34" s="102">
        <v>74521</v>
      </c>
      <c r="B34" s="102" t="s">
        <v>696</v>
      </c>
      <c r="C34" s="102">
        <v>12</v>
      </c>
      <c r="D34" s="102">
        <v>74610</v>
      </c>
      <c r="E34" s="102" t="s">
        <v>3199</v>
      </c>
      <c r="F34" s="102" t="s">
        <v>723</v>
      </c>
    </row>
    <row r="35" spans="1:6" x14ac:dyDescent="0.15">
      <c r="A35" s="102">
        <v>74497</v>
      </c>
      <c r="B35" s="102" t="s">
        <v>695</v>
      </c>
      <c r="C35" s="102">
        <v>11</v>
      </c>
      <c r="D35" s="102">
        <v>240364</v>
      </c>
      <c r="E35" s="102" t="s">
        <v>3200</v>
      </c>
      <c r="F35" s="102" t="s">
        <v>722</v>
      </c>
    </row>
    <row r="36" spans="1:6" x14ac:dyDescent="0.15">
      <c r="A36" s="102">
        <v>74574</v>
      </c>
      <c r="B36" s="102" t="s">
        <v>36</v>
      </c>
      <c r="C36" s="102">
        <v>6</v>
      </c>
      <c r="D36" s="102">
        <v>75065</v>
      </c>
      <c r="E36" s="102" t="s">
        <v>3202</v>
      </c>
      <c r="F36" s="102" t="s">
        <v>714</v>
      </c>
    </row>
    <row r="37" spans="1:6" x14ac:dyDescent="0.15">
      <c r="A37" s="102">
        <v>74206</v>
      </c>
      <c r="B37" s="102" t="s">
        <v>694</v>
      </c>
      <c r="C37" s="102">
        <v>10</v>
      </c>
      <c r="D37" s="102">
        <v>74812</v>
      </c>
      <c r="E37" s="102" t="s">
        <v>3204</v>
      </c>
      <c r="F37" s="102" t="s">
        <v>761</v>
      </c>
    </row>
    <row r="38" spans="1:6" x14ac:dyDescent="0.15">
      <c r="A38" s="102">
        <v>74568</v>
      </c>
      <c r="B38" s="102" t="s">
        <v>699</v>
      </c>
      <c r="C38" s="102">
        <v>23</v>
      </c>
      <c r="D38" s="102">
        <v>74712</v>
      </c>
      <c r="E38" s="102" t="s">
        <v>3206</v>
      </c>
      <c r="F38" s="102" t="s">
        <v>802</v>
      </c>
    </row>
    <row r="39" spans="1:6" x14ac:dyDescent="0.15">
      <c r="A39" s="102">
        <v>74497</v>
      </c>
      <c r="B39" s="102" t="s">
        <v>695</v>
      </c>
      <c r="C39" s="102">
        <v>11</v>
      </c>
      <c r="D39" s="102">
        <v>74193</v>
      </c>
      <c r="E39" s="102" t="s">
        <v>3208</v>
      </c>
      <c r="F39" s="102" t="s">
        <v>736</v>
      </c>
    </row>
    <row r="40" spans="1:6" x14ac:dyDescent="0.15">
      <c r="A40" s="102">
        <v>74497</v>
      </c>
      <c r="B40" s="102" t="s">
        <v>695</v>
      </c>
      <c r="C40" s="102">
        <v>11</v>
      </c>
      <c r="D40" s="102">
        <v>240365</v>
      </c>
      <c r="E40" s="102" t="s">
        <v>3210</v>
      </c>
      <c r="F40" s="102" t="s">
        <v>750</v>
      </c>
    </row>
    <row r="41" spans="1:6" x14ac:dyDescent="0.15">
      <c r="A41" s="102">
        <v>240366</v>
      </c>
      <c r="B41" s="102" t="s">
        <v>703</v>
      </c>
      <c r="C41" s="102">
        <v>15</v>
      </c>
      <c r="D41" s="102">
        <v>74849</v>
      </c>
      <c r="E41" s="102" t="s">
        <v>3212</v>
      </c>
      <c r="F41" s="102" t="s">
        <v>61</v>
      </c>
    </row>
    <row r="42" spans="1:6" x14ac:dyDescent="0.15">
      <c r="A42" s="102">
        <v>58730</v>
      </c>
      <c r="B42" s="102" t="s">
        <v>693</v>
      </c>
      <c r="C42" s="102">
        <v>5</v>
      </c>
      <c r="D42" s="102">
        <v>58734</v>
      </c>
      <c r="E42" s="102" t="s">
        <v>3214</v>
      </c>
      <c r="F42" s="102" t="s">
        <v>720</v>
      </c>
    </row>
    <row r="43" spans="1:6" x14ac:dyDescent="0.15">
      <c r="A43" s="102">
        <v>58730</v>
      </c>
      <c r="B43" s="102" t="s">
        <v>693</v>
      </c>
      <c r="C43" s="102">
        <v>5</v>
      </c>
      <c r="D43" s="102">
        <v>74862</v>
      </c>
      <c r="E43" s="102" t="s">
        <v>3215</v>
      </c>
      <c r="F43" s="102" t="s">
        <v>734</v>
      </c>
    </row>
    <row r="44" spans="1:6" x14ac:dyDescent="0.15">
      <c r="A44" s="102">
        <v>240366</v>
      </c>
      <c r="B44" s="102" t="s">
        <v>703</v>
      </c>
      <c r="C44" s="102">
        <v>15</v>
      </c>
      <c r="D44" s="102">
        <v>240398</v>
      </c>
      <c r="E44" s="102" t="s">
        <v>3216</v>
      </c>
      <c r="F44" s="102" t="s">
        <v>769</v>
      </c>
    </row>
    <row r="45" spans="1:6" x14ac:dyDescent="0.15">
      <c r="A45" s="102">
        <v>74206</v>
      </c>
      <c r="B45" s="102" t="s">
        <v>694</v>
      </c>
      <c r="C45" s="102">
        <v>10</v>
      </c>
      <c r="D45" s="102">
        <v>74817</v>
      </c>
      <c r="E45" s="102" t="s">
        <v>3218</v>
      </c>
      <c r="F45" s="102" t="s">
        <v>771</v>
      </c>
    </row>
    <row r="46" spans="1:6" x14ac:dyDescent="0.15">
      <c r="A46" s="102">
        <v>74565</v>
      </c>
      <c r="B46" s="102" t="s">
        <v>698</v>
      </c>
      <c r="C46" s="102">
        <v>19</v>
      </c>
      <c r="D46" s="102">
        <v>240387</v>
      </c>
      <c r="E46" s="102" t="s">
        <v>3219</v>
      </c>
      <c r="F46" s="102" t="s">
        <v>765</v>
      </c>
    </row>
    <row r="47" spans="1:6" x14ac:dyDescent="0.15">
      <c r="A47" s="102">
        <v>240366</v>
      </c>
      <c r="B47" s="102" t="s">
        <v>703</v>
      </c>
      <c r="C47" s="102">
        <v>15</v>
      </c>
      <c r="D47" s="102">
        <v>240392</v>
      </c>
      <c r="E47" s="102" t="s">
        <v>3221</v>
      </c>
      <c r="F47" s="102" t="s">
        <v>778</v>
      </c>
    </row>
    <row r="48" spans="1:6" x14ac:dyDescent="0.15">
      <c r="A48" s="102">
        <v>74565</v>
      </c>
      <c r="B48" s="102" t="s">
        <v>698</v>
      </c>
      <c r="C48" s="102">
        <v>19</v>
      </c>
      <c r="D48" s="102">
        <v>240372</v>
      </c>
      <c r="E48" s="102" t="s">
        <v>3223</v>
      </c>
      <c r="F48" s="102" t="s">
        <v>774</v>
      </c>
    </row>
    <row r="49" spans="1:6" x14ac:dyDescent="0.15">
      <c r="A49" s="102">
        <v>74568</v>
      </c>
      <c r="B49" s="102" t="s">
        <v>699</v>
      </c>
      <c r="C49" s="102">
        <v>23</v>
      </c>
      <c r="D49" s="102">
        <v>74723</v>
      </c>
      <c r="E49" s="102" t="s">
        <v>3225</v>
      </c>
      <c r="F49" s="102" t="s">
        <v>807</v>
      </c>
    </row>
    <row r="50" spans="1:6" x14ac:dyDescent="0.15">
      <c r="A50" s="102">
        <v>74497</v>
      </c>
      <c r="B50" s="102" t="s">
        <v>695</v>
      </c>
      <c r="C50" s="102">
        <v>11</v>
      </c>
      <c r="D50" s="102">
        <v>74676</v>
      </c>
      <c r="E50" s="102" t="s">
        <v>3226</v>
      </c>
      <c r="F50" s="102" t="s">
        <v>762</v>
      </c>
    </row>
    <row r="51" spans="1:6" x14ac:dyDescent="0.15">
      <c r="A51" s="102">
        <v>74565</v>
      </c>
      <c r="B51" s="102" t="s">
        <v>698</v>
      </c>
      <c r="C51" s="102">
        <v>19</v>
      </c>
      <c r="D51" s="102">
        <v>240386</v>
      </c>
      <c r="E51" s="102" t="s">
        <v>3228</v>
      </c>
      <c r="F51" s="102" t="s">
        <v>782</v>
      </c>
    </row>
    <row r="52" spans="1:6" x14ac:dyDescent="0.15">
      <c r="A52" s="102">
        <v>74565</v>
      </c>
      <c r="B52" s="102" t="s">
        <v>698</v>
      </c>
      <c r="C52" s="102">
        <v>19</v>
      </c>
      <c r="D52" s="102">
        <v>240385</v>
      </c>
      <c r="E52" s="102" t="s">
        <v>3230</v>
      </c>
      <c r="F52" s="102" t="s">
        <v>789</v>
      </c>
    </row>
    <row r="53" spans="1:6" x14ac:dyDescent="0.15">
      <c r="A53" s="102">
        <v>74573</v>
      </c>
      <c r="B53" s="102" t="s">
        <v>700</v>
      </c>
      <c r="C53" s="102">
        <v>4</v>
      </c>
      <c r="D53" s="102">
        <v>75050</v>
      </c>
      <c r="E53" s="102" t="s">
        <v>3231</v>
      </c>
      <c r="F53" s="102" t="s">
        <v>713</v>
      </c>
    </row>
    <row r="54" spans="1:6" x14ac:dyDescent="0.15">
      <c r="A54" s="102">
        <v>240366</v>
      </c>
      <c r="B54" s="102" t="s">
        <v>703</v>
      </c>
      <c r="C54" s="102">
        <v>15</v>
      </c>
      <c r="D54" s="102">
        <v>240401</v>
      </c>
      <c r="E54" s="102" t="s">
        <v>3232</v>
      </c>
      <c r="F54" s="102" t="s">
        <v>785</v>
      </c>
    </row>
    <row r="55" spans="1:6" x14ac:dyDescent="0.15">
      <c r="A55" s="102">
        <v>240366</v>
      </c>
      <c r="B55" s="102" t="s">
        <v>703</v>
      </c>
      <c r="C55" s="102">
        <v>15</v>
      </c>
      <c r="D55" s="102">
        <v>240402</v>
      </c>
      <c r="E55" s="102" t="s">
        <v>3234</v>
      </c>
      <c r="F55" s="102" t="s">
        <v>791</v>
      </c>
    </row>
    <row r="56" spans="1:6" x14ac:dyDescent="0.15">
      <c r="A56" s="102">
        <v>74521</v>
      </c>
      <c r="B56" s="102" t="s">
        <v>696</v>
      </c>
      <c r="C56" s="102">
        <v>12</v>
      </c>
      <c r="D56" s="102">
        <v>74611</v>
      </c>
      <c r="E56" s="102" t="s">
        <v>3236</v>
      </c>
      <c r="F56" s="102" t="s">
        <v>737</v>
      </c>
    </row>
    <row r="57" spans="1:6" x14ac:dyDescent="0.15">
      <c r="A57" s="102">
        <v>74565</v>
      </c>
      <c r="B57" s="102" t="s">
        <v>698</v>
      </c>
      <c r="C57" s="102">
        <v>19</v>
      </c>
      <c r="D57" s="102">
        <v>240382</v>
      </c>
      <c r="E57" s="102" t="s">
        <v>3237</v>
      </c>
      <c r="F57" s="102" t="s">
        <v>795</v>
      </c>
    </row>
    <row r="58" spans="1:6" x14ac:dyDescent="0.15">
      <c r="A58" s="102">
        <v>74497</v>
      </c>
      <c r="B58" s="102" t="s">
        <v>695</v>
      </c>
      <c r="C58" s="102">
        <v>11</v>
      </c>
      <c r="D58" s="102">
        <v>74681</v>
      </c>
      <c r="E58" s="102" t="s">
        <v>3239</v>
      </c>
      <c r="F58" s="102" t="s">
        <v>772</v>
      </c>
    </row>
    <row r="59" spans="1:6" x14ac:dyDescent="0.15">
      <c r="A59" s="102">
        <v>74565</v>
      </c>
      <c r="B59" s="102" t="s">
        <v>698</v>
      </c>
      <c r="C59" s="102">
        <v>19</v>
      </c>
      <c r="D59" s="102">
        <v>240373</v>
      </c>
      <c r="E59" s="102" t="s">
        <v>3240</v>
      </c>
      <c r="F59" s="102" t="s">
        <v>801</v>
      </c>
    </row>
    <row r="60" spans="1:6" x14ac:dyDescent="0.15">
      <c r="A60" s="102">
        <v>74573</v>
      </c>
      <c r="B60" s="102" t="s">
        <v>700</v>
      </c>
      <c r="C60" s="102">
        <v>4</v>
      </c>
      <c r="D60" s="102">
        <v>75051</v>
      </c>
      <c r="E60" s="102" t="s">
        <v>3242</v>
      </c>
      <c r="F60" s="102" t="s">
        <v>727</v>
      </c>
    </row>
    <row r="61" spans="1:6" x14ac:dyDescent="0.15">
      <c r="A61" s="102">
        <v>74206</v>
      </c>
      <c r="B61" s="102" t="s">
        <v>694</v>
      </c>
      <c r="C61" s="102">
        <v>10</v>
      </c>
      <c r="D61" s="102">
        <v>74915</v>
      </c>
      <c r="E61" s="102" t="s">
        <v>3243</v>
      </c>
      <c r="F61" s="102" t="s">
        <v>779</v>
      </c>
    </row>
    <row r="62" spans="1:6" x14ac:dyDescent="0.15">
      <c r="A62" s="102">
        <v>74562</v>
      </c>
      <c r="B62" s="102" t="s">
        <v>697</v>
      </c>
      <c r="C62" s="102">
        <v>5</v>
      </c>
      <c r="D62" s="102">
        <v>74920</v>
      </c>
      <c r="E62" s="102" t="s">
        <v>3245</v>
      </c>
      <c r="F62" s="102" t="s">
        <v>710</v>
      </c>
    </row>
    <row r="63" spans="1:6" x14ac:dyDescent="0.15">
      <c r="A63" s="102">
        <v>74574</v>
      </c>
      <c r="B63" s="102" t="s">
        <v>36</v>
      </c>
      <c r="C63" s="102">
        <v>6</v>
      </c>
      <c r="D63" s="102">
        <v>75091</v>
      </c>
      <c r="E63" s="102" t="s">
        <v>3246</v>
      </c>
      <c r="F63" s="102" t="s">
        <v>728</v>
      </c>
    </row>
    <row r="64" spans="1:6" x14ac:dyDescent="0.15">
      <c r="A64" s="102">
        <v>74574</v>
      </c>
      <c r="B64" s="102" t="s">
        <v>36</v>
      </c>
      <c r="C64" s="102">
        <v>6</v>
      </c>
      <c r="D64" s="102">
        <v>75092</v>
      </c>
      <c r="E64" s="102" t="s">
        <v>3247</v>
      </c>
      <c r="F64" s="102" t="s">
        <v>742</v>
      </c>
    </row>
    <row r="65" spans="1:6" x14ac:dyDescent="0.15">
      <c r="A65" s="102">
        <v>74206</v>
      </c>
      <c r="B65" s="102" t="s">
        <v>694</v>
      </c>
      <c r="C65" s="102">
        <v>10</v>
      </c>
      <c r="D65" s="102">
        <v>74818</v>
      </c>
      <c r="E65" s="102" t="s">
        <v>3248</v>
      </c>
      <c r="F65" s="102" t="s">
        <v>786</v>
      </c>
    </row>
    <row r="66" spans="1:6" x14ac:dyDescent="0.15">
      <c r="A66" s="102">
        <v>74565</v>
      </c>
      <c r="B66" s="102" t="s">
        <v>698</v>
      </c>
      <c r="C66" s="102">
        <v>19</v>
      </c>
      <c r="D66" s="102">
        <v>240377</v>
      </c>
      <c r="E66" s="102" t="s">
        <v>3249</v>
      </c>
      <c r="F66" s="102" t="s">
        <v>806</v>
      </c>
    </row>
    <row r="67" spans="1:6" x14ac:dyDescent="0.15">
      <c r="A67" s="102">
        <v>240368</v>
      </c>
      <c r="B67" s="102" t="s">
        <v>704</v>
      </c>
      <c r="C67" s="102">
        <v>3</v>
      </c>
      <c r="D67" s="102">
        <v>240367</v>
      </c>
      <c r="E67" s="102" t="s">
        <v>3251</v>
      </c>
      <c r="F67" s="102" t="s">
        <v>718</v>
      </c>
    </row>
    <row r="68" spans="1:6" x14ac:dyDescent="0.15">
      <c r="A68" s="102">
        <v>74521</v>
      </c>
      <c r="B68" s="102" t="s">
        <v>696</v>
      </c>
      <c r="C68" s="102">
        <v>12</v>
      </c>
      <c r="D68" s="102">
        <v>240352</v>
      </c>
      <c r="E68" s="102" t="s">
        <v>3253</v>
      </c>
      <c r="F68" s="102" t="s">
        <v>751</v>
      </c>
    </row>
    <row r="69" spans="1:6" x14ac:dyDescent="0.15">
      <c r="A69" s="102">
        <v>74565</v>
      </c>
      <c r="B69" s="102" t="s">
        <v>698</v>
      </c>
      <c r="C69" s="102">
        <v>19</v>
      </c>
      <c r="D69" s="102">
        <v>240379</v>
      </c>
      <c r="E69" s="102" t="s">
        <v>3255</v>
      </c>
      <c r="F69" s="102" t="s">
        <v>810</v>
      </c>
    </row>
    <row r="70" spans="1:6" x14ac:dyDescent="0.15">
      <c r="A70" s="102">
        <v>74565</v>
      </c>
      <c r="B70" s="102" t="s">
        <v>698</v>
      </c>
      <c r="C70" s="102">
        <v>19</v>
      </c>
      <c r="D70" s="102">
        <v>240378</v>
      </c>
      <c r="E70" s="102" t="s">
        <v>3257</v>
      </c>
      <c r="F70" s="102" t="s">
        <v>813</v>
      </c>
    </row>
    <row r="71" spans="1:6" x14ac:dyDescent="0.15">
      <c r="A71" s="102">
        <v>74565</v>
      </c>
      <c r="B71" s="102" t="s">
        <v>698</v>
      </c>
      <c r="C71" s="102">
        <v>19</v>
      </c>
      <c r="D71" s="102">
        <v>74952</v>
      </c>
      <c r="E71" s="102" t="s">
        <v>3259</v>
      </c>
      <c r="F71" s="102" t="s">
        <v>816</v>
      </c>
    </row>
    <row r="72" spans="1:6" x14ac:dyDescent="0.15">
      <c r="A72" s="102">
        <v>74565</v>
      </c>
      <c r="B72" s="102" t="s">
        <v>698</v>
      </c>
      <c r="C72" s="102">
        <v>19</v>
      </c>
      <c r="D72" s="102">
        <v>240380</v>
      </c>
      <c r="E72" s="102" t="s">
        <v>3260</v>
      </c>
      <c r="F72" s="102" t="s">
        <v>819</v>
      </c>
    </row>
    <row r="73" spans="1:6" x14ac:dyDescent="0.15">
      <c r="A73" s="102">
        <v>155019</v>
      </c>
      <c r="B73" s="102" t="s">
        <v>702</v>
      </c>
      <c r="C73" s="102">
        <v>5</v>
      </c>
      <c r="D73" s="102">
        <v>102769</v>
      </c>
      <c r="E73" s="102" t="s">
        <v>3261</v>
      </c>
      <c r="F73" s="102" t="s">
        <v>744</v>
      </c>
    </row>
    <row r="74" spans="1:6" x14ac:dyDescent="0.15">
      <c r="A74" s="102">
        <v>74521</v>
      </c>
      <c r="B74" s="102" t="s">
        <v>696</v>
      </c>
      <c r="C74" s="102">
        <v>12</v>
      </c>
      <c r="D74" s="102">
        <v>74622</v>
      </c>
      <c r="E74" s="102" t="s">
        <v>3262</v>
      </c>
      <c r="F74" s="102" t="s">
        <v>763</v>
      </c>
    </row>
    <row r="75" spans="1:6" x14ac:dyDescent="0.15">
      <c r="A75" s="102">
        <v>74562</v>
      </c>
      <c r="B75" s="102" t="s">
        <v>697</v>
      </c>
      <c r="C75" s="102">
        <v>5</v>
      </c>
      <c r="D75" s="102">
        <v>74933</v>
      </c>
      <c r="E75" s="102" t="s">
        <v>3263</v>
      </c>
      <c r="F75" s="102" t="s">
        <v>724</v>
      </c>
    </row>
    <row r="76" spans="1:6" x14ac:dyDescent="0.15">
      <c r="A76" s="102">
        <v>74497</v>
      </c>
      <c r="B76" s="102" t="s">
        <v>695</v>
      </c>
      <c r="C76" s="102">
        <v>11</v>
      </c>
      <c r="D76" s="102">
        <v>74983</v>
      </c>
      <c r="E76" s="102" t="s">
        <v>3264</v>
      </c>
      <c r="F76" s="102" t="s">
        <v>780</v>
      </c>
    </row>
    <row r="77" spans="1:6" x14ac:dyDescent="0.15">
      <c r="A77" s="102">
        <v>155019</v>
      </c>
      <c r="B77" s="102" t="s">
        <v>702</v>
      </c>
      <c r="C77" s="102">
        <v>5</v>
      </c>
      <c r="D77" s="102">
        <v>102768</v>
      </c>
      <c r="E77" s="102" t="s">
        <v>3266</v>
      </c>
      <c r="F77" s="102" t="s">
        <v>758</v>
      </c>
    </row>
    <row r="78" spans="1:6" x14ac:dyDescent="0.15">
      <c r="A78" s="102">
        <v>74565</v>
      </c>
      <c r="B78" s="102" t="s">
        <v>698</v>
      </c>
      <c r="C78" s="102">
        <v>19</v>
      </c>
      <c r="D78" s="102">
        <v>240376</v>
      </c>
      <c r="E78" s="102" t="s">
        <v>3267</v>
      </c>
      <c r="F78" s="102" t="s">
        <v>822</v>
      </c>
    </row>
    <row r="79" spans="1:6" x14ac:dyDescent="0.15">
      <c r="A79" s="102">
        <v>74206</v>
      </c>
      <c r="B79" s="102" t="s">
        <v>694</v>
      </c>
      <c r="C79" s="102">
        <v>10</v>
      </c>
      <c r="D79" s="102">
        <v>82844</v>
      </c>
      <c r="E79" s="102" t="s">
        <v>3269</v>
      </c>
      <c r="F79" s="102" t="s">
        <v>792</v>
      </c>
    </row>
    <row r="80" spans="1:6" x14ac:dyDescent="0.15">
      <c r="A80" s="102">
        <v>74562</v>
      </c>
      <c r="B80" s="102" t="s">
        <v>697</v>
      </c>
      <c r="C80" s="102">
        <v>5</v>
      </c>
      <c r="D80" s="102">
        <v>74940</v>
      </c>
      <c r="E80" s="102" t="s">
        <v>3270</v>
      </c>
      <c r="F80" s="102" t="s">
        <v>738</v>
      </c>
    </row>
    <row r="81" spans="1:6" x14ac:dyDescent="0.15">
      <c r="A81" s="102">
        <v>74565</v>
      </c>
      <c r="B81" s="102" t="s">
        <v>698</v>
      </c>
      <c r="C81" s="102">
        <v>19</v>
      </c>
      <c r="D81" s="102">
        <v>246801</v>
      </c>
      <c r="E81" s="102" t="s">
        <v>3271</v>
      </c>
      <c r="F81" s="102" t="s">
        <v>824</v>
      </c>
    </row>
    <row r="82" spans="1:6" x14ac:dyDescent="0.15">
      <c r="A82" s="102">
        <v>58730</v>
      </c>
      <c r="B82" s="102" t="s">
        <v>693</v>
      </c>
      <c r="C82" s="102">
        <v>5</v>
      </c>
      <c r="D82" s="102">
        <v>74882</v>
      </c>
      <c r="E82" s="102" t="s">
        <v>3273</v>
      </c>
      <c r="F82" s="102" t="s">
        <v>748</v>
      </c>
    </row>
    <row r="83" spans="1:6" x14ac:dyDescent="0.15">
      <c r="A83" s="102">
        <v>240368</v>
      </c>
      <c r="B83" s="102" t="s">
        <v>704</v>
      </c>
      <c r="C83" s="102">
        <v>3</v>
      </c>
      <c r="D83" s="102">
        <v>240369</v>
      </c>
      <c r="E83" s="102" t="s">
        <v>3274</v>
      </c>
      <c r="F83" s="102" t="s">
        <v>732</v>
      </c>
    </row>
    <row r="84" spans="1:6" x14ac:dyDescent="0.15">
      <c r="A84" s="102">
        <v>74497</v>
      </c>
      <c r="B84" s="102" t="s">
        <v>695</v>
      </c>
      <c r="C84" s="102">
        <v>11</v>
      </c>
      <c r="D84" s="102">
        <v>74986</v>
      </c>
      <c r="E84" s="102" t="s">
        <v>3276</v>
      </c>
      <c r="F84" s="102" t="s">
        <v>787</v>
      </c>
    </row>
    <row r="85" spans="1:6" x14ac:dyDescent="0.15">
      <c r="A85" s="102">
        <v>74577</v>
      </c>
      <c r="B85" s="102" t="s">
        <v>701</v>
      </c>
      <c r="C85" s="102">
        <v>7</v>
      </c>
      <c r="D85" s="102">
        <v>75119</v>
      </c>
      <c r="E85" s="102" t="s">
        <v>3277</v>
      </c>
      <c r="F85" s="102" t="s">
        <v>729</v>
      </c>
    </row>
    <row r="86" spans="1:6" x14ac:dyDescent="0.15">
      <c r="A86" s="102">
        <v>74574</v>
      </c>
      <c r="B86" s="102" t="s">
        <v>36</v>
      </c>
      <c r="C86" s="102">
        <v>6</v>
      </c>
      <c r="D86" s="102">
        <v>75093</v>
      </c>
      <c r="E86" s="102" t="s">
        <v>3278</v>
      </c>
      <c r="F86" s="102" t="s">
        <v>756</v>
      </c>
    </row>
    <row r="87" spans="1:6" x14ac:dyDescent="0.15">
      <c r="A87" s="102">
        <v>240366</v>
      </c>
      <c r="B87" s="102" t="s">
        <v>703</v>
      </c>
      <c r="C87" s="102">
        <v>15</v>
      </c>
      <c r="D87" s="102">
        <v>240394</v>
      </c>
      <c r="E87" s="102" t="s">
        <v>3279</v>
      </c>
      <c r="F87" s="102" t="s">
        <v>797</v>
      </c>
    </row>
    <row r="88" spans="1:6" x14ac:dyDescent="0.15">
      <c r="A88" s="102">
        <v>74574</v>
      </c>
      <c r="B88" s="102" t="s">
        <v>36</v>
      </c>
      <c r="C88" s="102">
        <v>6</v>
      </c>
      <c r="D88" s="102">
        <v>75106</v>
      </c>
      <c r="E88" s="102" t="s">
        <v>3280</v>
      </c>
      <c r="F88" s="102" t="s">
        <v>766</v>
      </c>
    </row>
    <row r="89" spans="1:6" x14ac:dyDescent="0.15">
      <c r="A89" s="102">
        <v>240366</v>
      </c>
      <c r="B89" s="102" t="s">
        <v>703</v>
      </c>
      <c r="C89" s="102">
        <v>15</v>
      </c>
      <c r="D89" s="102">
        <v>240406</v>
      </c>
      <c r="E89" s="102" t="s">
        <v>3281</v>
      </c>
      <c r="F89" s="102" t="s">
        <v>803</v>
      </c>
    </row>
    <row r="90" spans="1:6" x14ac:dyDescent="0.15">
      <c r="A90" s="102">
        <v>74577</v>
      </c>
      <c r="B90" s="102" t="s">
        <v>701</v>
      </c>
      <c r="C90" s="102">
        <v>7</v>
      </c>
      <c r="D90" s="102">
        <v>74865</v>
      </c>
      <c r="E90" s="102" t="s">
        <v>3282</v>
      </c>
      <c r="F90" s="102" t="s">
        <v>743</v>
      </c>
    </row>
    <row r="91" spans="1:6" x14ac:dyDescent="0.15">
      <c r="A91" s="102">
        <v>58730</v>
      </c>
      <c r="B91" s="102" t="s">
        <v>693</v>
      </c>
      <c r="C91" s="102">
        <v>5</v>
      </c>
      <c r="D91" s="102">
        <v>58733</v>
      </c>
      <c r="E91" s="102" t="s">
        <v>3284</v>
      </c>
      <c r="F91" s="102" t="s">
        <v>760</v>
      </c>
    </row>
    <row r="92" spans="1:6" x14ac:dyDescent="0.15">
      <c r="A92" s="102">
        <v>74568</v>
      </c>
      <c r="B92" s="102" t="s">
        <v>699</v>
      </c>
      <c r="C92" s="102">
        <v>23</v>
      </c>
      <c r="D92" s="102">
        <v>209254</v>
      </c>
      <c r="E92" s="102" t="s">
        <v>3285</v>
      </c>
      <c r="F92" s="102" t="s">
        <v>811</v>
      </c>
    </row>
    <row r="93" spans="1:6" x14ac:dyDescent="0.15">
      <c r="A93" s="102">
        <v>240366</v>
      </c>
      <c r="B93" s="102" t="s">
        <v>703</v>
      </c>
      <c r="C93" s="102">
        <v>15</v>
      </c>
      <c r="D93" s="102">
        <v>240404</v>
      </c>
      <c r="E93" s="102" t="s">
        <v>3286</v>
      </c>
      <c r="F93" s="102" t="s">
        <v>808</v>
      </c>
    </row>
    <row r="94" spans="1:6" x14ac:dyDescent="0.15">
      <c r="A94" s="102">
        <v>74497</v>
      </c>
      <c r="B94" s="102" t="s">
        <v>695</v>
      </c>
      <c r="C94" s="102">
        <v>11</v>
      </c>
      <c r="D94" s="102">
        <v>74993</v>
      </c>
      <c r="E94" s="102" t="s">
        <v>3288</v>
      </c>
      <c r="F94" s="102" t="s">
        <v>793</v>
      </c>
    </row>
    <row r="95" spans="1:6" x14ac:dyDescent="0.15">
      <c r="A95" s="102">
        <v>74497</v>
      </c>
      <c r="B95" s="102" t="s">
        <v>695</v>
      </c>
      <c r="C95" s="102">
        <v>11</v>
      </c>
      <c r="D95" s="102">
        <v>240362</v>
      </c>
      <c r="E95" s="102" t="s">
        <v>3290</v>
      </c>
      <c r="F95" s="102" t="s">
        <v>799</v>
      </c>
    </row>
    <row r="96" spans="1:6" x14ac:dyDescent="0.15">
      <c r="A96" s="102">
        <v>74521</v>
      </c>
      <c r="B96" s="102" t="s">
        <v>696</v>
      </c>
      <c r="C96" s="102">
        <v>12</v>
      </c>
      <c r="D96" s="102">
        <v>240354</v>
      </c>
      <c r="E96" s="102" t="s">
        <v>3292</v>
      </c>
      <c r="F96" s="102" t="s">
        <v>773</v>
      </c>
    </row>
    <row r="97" spans="1:6" x14ac:dyDescent="0.15">
      <c r="A97" s="102">
        <v>74521</v>
      </c>
      <c r="B97" s="102" t="s">
        <v>696</v>
      </c>
      <c r="C97" s="102">
        <v>12</v>
      </c>
      <c r="D97" s="102">
        <v>74633</v>
      </c>
      <c r="E97" s="102" t="s">
        <v>3294</v>
      </c>
      <c r="F97" s="102" t="s">
        <v>781</v>
      </c>
    </row>
    <row r="98" spans="1:6" x14ac:dyDescent="0.15">
      <c r="A98" s="102">
        <v>240368</v>
      </c>
      <c r="B98" s="102" t="s">
        <v>704</v>
      </c>
      <c r="C98" s="102">
        <v>3</v>
      </c>
      <c r="D98" s="102">
        <v>240370</v>
      </c>
      <c r="E98" s="102" t="s">
        <v>3346</v>
      </c>
      <c r="F98" s="102" t="s">
        <v>746</v>
      </c>
    </row>
    <row r="99" spans="1:6" x14ac:dyDescent="0.15">
      <c r="A99" s="102">
        <v>74565</v>
      </c>
      <c r="B99" s="102" t="s">
        <v>698</v>
      </c>
      <c r="C99" s="102">
        <v>19</v>
      </c>
      <c r="D99" s="102">
        <v>240383</v>
      </c>
      <c r="E99" s="102" t="s">
        <v>3296</v>
      </c>
      <c r="F99" s="102" t="s">
        <v>826</v>
      </c>
    </row>
    <row r="100" spans="1:6" x14ac:dyDescent="0.15">
      <c r="A100" s="102">
        <v>240366</v>
      </c>
      <c r="B100" s="102" t="s">
        <v>703</v>
      </c>
      <c r="C100" s="102">
        <v>15</v>
      </c>
      <c r="D100" s="102">
        <v>240400</v>
      </c>
      <c r="E100" s="102" t="s">
        <v>3298</v>
      </c>
      <c r="F100" s="102" t="s">
        <v>812</v>
      </c>
    </row>
    <row r="101" spans="1:6" x14ac:dyDescent="0.15">
      <c r="A101" s="102">
        <v>74577</v>
      </c>
      <c r="B101" s="102" t="s">
        <v>701</v>
      </c>
      <c r="C101" s="102">
        <v>7</v>
      </c>
      <c r="D101" s="102">
        <v>75131</v>
      </c>
      <c r="E101" s="102" t="s">
        <v>3299</v>
      </c>
      <c r="F101" s="102" t="s">
        <v>757</v>
      </c>
    </row>
    <row r="102" spans="1:6" x14ac:dyDescent="0.15">
      <c r="A102" s="102">
        <v>74562</v>
      </c>
      <c r="B102" s="102" t="s">
        <v>697</v>
      </c>
      <c r="C102" s="102">
        <v>5</v>
      </c>
      <c r="D102" s="102">
        <v>74941</v>
      </c>
      <c r="E102" s="102" t="s">
        <v>3300</v>
      </c>
      <c r="F102" s="102" t="s">
        <v>752</v>
      </c>
    </row>
    <row r="103" spans="1:6" x14ac:dyDescent="0.15">
      <c r="A103" s="102">
        <v>74577</v>
      </c>
      <c r="B103" s="102" t="s">
        <v>701</v>
      </c>
      <c r="C103" s="102">
        <v>7</v>
      </c>
      <c r="D103" s="102">
        <v>74682</v>
      </c>
      <c r="E103" s="102" t="s">
        <v>3301</v>
      </c>
      <c r="F103" s="102" t="s">
        <v>767</v>
      </c>
    </row>
    <row r="104" spans="1:6" x14ac:dyDescent="0.15">
      <c r="A104" s="102">
        <v>74206</v>
      </c>
      <c r="B104" s="102" t="s">
        <v>694</v>
      </c>
      <c r="C104" s="102">
        <v>10</v>
      </c>
      <c r="D104" s="102">
        <v>74825</v>
      </c>
      <c r="E104" s="102" t="s">
        <v>3302</v>
      </c>
      <c r="F104" s="102" t="s">
        <v>798</v>
      </c>
    </row>
    <row r="105" spans="1:6" x14ac:dyDescent="0.15">
      <c r="A105" s="102">
        <v>240366</v>
      </c>
      <c r="B105" s="102" t="s">
        <v>703</v>
      </c>
      <c r="C105" s="102">
        <v>15</v>
      </c>
      <c r="D105" s="102">
        <v>240403</v>
      </c>
      <c r="E105" s="102" t="s">
        <v>3303</v>
      </c>
      <c r="F105" s="102" t="s">
        <v>815</v>
      </c>
    </row>
    <row r="106" spans="1:6" x14ac:dyDescent="0.15">
      <c r="A106" s="102">
        <v>74521</v>
      </c>
      <c r="B106" s="102" t="s">
        <v>696</v>
      </c>
      <c r="C106" s="102">
        <v>12</v>
      </c>
      <c r="D106" s="102">
        <v>74957</v>
      </c>
      <c r="E106" s="102" t="s">
        <v>3304</v>
      </c>
      <c r="F106" s="102" t="s">
        <v>788</v>
      </c>
    </row>
    <row r="107" spans="1:6" x14ac:dyDescent="0.15">
      <c r="A107" s="102">
        <v>155019</v>
      </c>
      <c r="B107" s="102" t="s">
        <v>702</v>
      </c>
      <c r="C107" s="102">
        <v>5</v>
      </c>
      <c r="D107" s="102">
        <v>102767</v>
      </c>
      <c r="E107" s="102" t="s">
        <v>3306</v>
      </c>
      <c r="F107" s="102" t="s">
        <v>768</v>
      </c>
    </row>
    <row r="108" spans="1:6" x14ac:dyDescent="0.15">
      <c r="A108" s="102">
        <v>240366</v>
      </c>
      <c r="B108" s="102" t="s">
        <v>703</v>
      </c>
      <c r="C108" s="102">
        <v>15</v>
      </c>
      <c r="D108" s="102">
        <v>240396</v>
      </c>
      <c r="E108" s="102" t="s">
        <v>3307</v>
      </c>
      <c r="F108" s="102" t="s">
        <v>818</v>
      </c>
    </row>
    <row r="109" spans="1:6" x14ac:dyDescent="0.15">
      <c r="A109" s="102">
        <v>74562</v>
      </c>
      <c r="B109" s="102" t="s">
        <v>697</v>
      </c>
      <c r="C109" s="102">
        <v>5</v>
      </c>
      <c r="D109" s="102">
        <v>74942</v>
      </c>
      <c r="E109" s="102" t="s">
        <v>3309</v>
      </c>
      <c r="F109" s="102" t="s">
        <v>764</v>
      </c>
    </row>
    <row r="110" spans="1:6" x14ac:dyDescent="0.15">
      <c r="A110" s="102">
        <v>74568</v>
      </c>
      <c r="B110" s="102" t="s">
        <v>699</v>
      </c>
      <c r="C110" s="102">
        <v>23</v>
      </c>
      <c r="D110" s="102">
        <v>75028</v>
      </c>
      <c r="E110" s="102" t="s">
        <v>3310</v>
      </c>
      <c r="F110" s="102" t="s">
        <v>814</v>
      </c>
    </row>
    <row r="111" spans="1:6" x14ac:dyDescent="0.15">
      <c r="A111" s="102">
        <v>74568</v>
      </c>
      <c r="B111" s="102" t="s">
        <v>699</v>
      </c>
      <c r="C111" s="102">
        <v>23</v>
      </c>
      <c r="D111" s="102">
        <v>74771</v>
      </c>
      <c r="E111" s="102" t="s">
        <v>3312</v>
      </c>
      <c r="F111" s="102" t="s">
        <v>817</v>
      </c>
    </row>
    <row r="112" spans="1:6" x14ac:dyDescent="0.15">
      <c r="A112" s="102">
        <v>74568</v>
      </c>
      <c r="B112" s="102" t="s">
        <v>699</v>
      </c>
      <c r="C112" s="102">
        <v>23</v>
      </c>
      <c r="D112" s="102">
        <v>74788</v>
      </c>
      <c r="E112" s="102" t="s">
        <v>3313</v>
      </c>
      <c r="F112" s="102" t="s">
        <v>820</v>
      </c>
    </row>
    <row r="113" spans="1:6" x14ac:dyDescent="0.15">
      <c r="A113" s="102">
        <v>74568</v>
      </c>
      <c r="B113" s="102" t="s">
        <v>699</v>
      </c>
      <c r="C113" s="102">
        <v>23</v>
      </c>
      <c r="D113" s="102">
        <v>74800</v>
      </c>
      <c r="E113" s="102" t="s">
        <v>3314</v>
      </c>
      <c r="F113" s="102" t="s">
        <v>823</v>
      </c>
    </row>
    <row r="114" spans="1:6" x14ac:dyDescent="0.15">
      <c r="A114" s="102">
        <v>74568</v>
      </c>
      <c r="B114" s="102" t="s">
        <v>699</v>
      </c>
      <c r="C114" s="102">
        <v>23</v>
      </c>
      <c r="D114" s="102">
        <v>209245</v>
      </c>
      <c r="E114" s="102" t="s">
        <v>3315</v>
      </c>
      <c r="F114" s="102" t="s">
        <v>825</v>
      </c>
    </row>
    <row r="115" spans="1:6" x14ac:dyDescent="0.15">
      <c r="A115" s="102">
        <v>74565</v>
      </c>
      <c r="B115" s="102" t="s">
        <v>698</v>
      </c>
      <c r="C115" s="102">
        <v>19</v>
      </c>
      <c r="D115" s="102">
        <v>240375</v>
      </c>
      <c r="E115" s="102" t="s">
        <v>3316</v>
      </c>
      <c r="F115" s="102" t="s">
        <v>828</v>
      </c>
    </row>
    <row r="116" spans="1:6" x14ac:dyDescent="0.15">
      <c r="A116" s="102">
        <v>74521</v>
      </c>
      <c r="B116" s="102" t="s">
        <v>696</v>
      </c>
      <c r="C116" s="102">
        <v>12</v>
      </c>
      <c r="D116" s="102">
        <v>74640</v>
      </c>
      <c r="E116" s="102" t="s">
        <v>3318</v>
      </c>
      <c r="F116" s="102" t="s">
        <v>794</v>
      </c>
    </row>
    <row r="117" spans="1:6" x14ac:dyDescent="0.15">
      <c r="A117" s="102">
        <v>74521</v>
      </c>
      <c r="B117" s="102" t="s">
        <v>696</v>
      </c>
      <c r="C117" s="102">
        <v>12</v>
      </c>
      <c r="D117" s="102">
        <v>240351</v>
      </c>
      <c r="E117" s="102" t="s">
        <v>3319</v>
      </c>
      <c r="F117" s="102" t="s">
        <v>800</v>
      </c>
    </row>
    <row r="118" spans="1:6" x14ac:dyDescent="0.15">
      <c r="A118" s="102">
        <v>74568</v>
      </c>
      <c r="B118" s="102" t="s">
        <v>699</v>
      </c>
      <c r="C118" s="102">
        <v>23</v>
      </c>
      <c r="D118" s="102">
        <v>157595</v>
      </c>
      <c r="E118" s="102" t="s">
        <v>3320</v>
      </c>
      <c r="F118" s="102" t="s">
        <v>827</v>
      </c>
    </row>
    <row r="119" spans="1:6" x14ac:dyDescent="0.15">
      <c r="A119" s="102">
        <v>74568</v>
      </c>
      <c r="B119" s="102" t="s">
        <v>699</v>
      </c>
      <c r="C119" s="102">
        <v>23</v>
      </c>
      <c r="D119" s="102">
        <v>209246</v>
      </c>
      <c r="E119" s="102" t="s">
        <v>3322</v>
      </c>
      <c r="F119" s="102" t="s">
        <v>829</v>
      </c>
    </row>
    <row r="120" spans="1:6" x14ac:dyDescent="0.15">
      <c r="A120" s="102">
        <v>74573</v>
      </c>
      <c r="B120" s="102" t="s">
        <v>700</v>
      </c>
      <c r="C120" s="102">
        <v>4</v>
      </c>
      <c r="D120" s="102">
        <v>87638</v>
      </c>
      <c r="E120" s="102" t="s">
        <v>3323</v>
      </c>
      <c r="F120" s="102" t="s">
        <v>741</v>
      </c>
    </row>
    <row r="121" spans="1:6" x14ac:dyDescent="0.15">
      <c r="A121" s="102">
        <v>74568</v>
      </c>
      <c r="B121" s="102" t="s">
        <v>699</v>
      </c>
      <c r="C121" s="102">
        <v>23</v>
      </c>
      <c r="D121" s="102">
        <v>75039</v>
      </c>
      <c r="E121" s="102" t="s">
        <v>3324</v>
      </c>
      <c r="F121" s="102" t="s">
        <v>830</v>
      </c>
    </row>
    <row r="122" spans="1:6" x14ac:dyDescent="0.15">
      <c r="A122" s="102">
        <v>74521</v>
      </c>
      <c r="B122" s="102" t="s">
        <v>696</v>
      </c>
      <c r="C122" s="102">
        <v>12</v>
      </c>
      <c r="D122" s="102">
        <v>74659</v>
      </c>
      <c r="E122" s="102" t="s">
        <v>3325</v>
      </c>
      <c r="F122" s="102" t="s">
        <v>805</v>
      </c>
    </row>
    <row r="123" spans="1:6" x14ac:dyDescent="0.15">
      <c r="A123" s="102">
        <v>74574</v>
      </c>
      <c r="B123" s="102" t="s">
        <v>36</v>
      </c>
      <c r="C123" s="102">
        <v>6</v>
      </c>
      <c r="D123" s="102">
        <v>75111</v>
      </c>
      <c r="E123" s="102" t="s">
        <v>3326</v>
      </c>
      <c r="F123" s="102" t="s">
        <v>776</v>
      </c>
    </row>
    <row r="124" spans="1:6" x14ac:dyDescent="0.15">
      <c r="A124" s="102">
        <v>74521</v>
      </c>
      <c r="B124" s="102" t="s">
        <v>696</v>
      </c>
      <c r="C124" s="102">
        <v>12</v>
      </c>
      <c r="D124" s="102">
        <v>74668</v>
      </c>
      <c r="E124" s="102" t="s">
        <v>3327</v>
      </c>
      <c r="F124" s="102" t="s">
        <v>809</v>
      </c>
    </row>
    <row r="125" spans="1:6" x14ac:dyDescent="0.15">
      <c r="A125" s="102">
        <v>74577</v>
      </c>
      <c r="B125" s="102" t="s">
        <v>701</v>
      </c>
      <c r="C125" s="102">
        <v>7</v>
      </c>
      <c r="D125" s="102">
        <v>75132</v>
      </c>
      <c r="E125" s="102" t="s">
        <v>3328</v>
      </c>
      <c r="F125" s="102" t="s">
        <v>777</v>
      </c>
    </row>
    <row r="126" spans="1:6" x14ac:dyDescent="0.15">
      <c r="A126" s="102">
        <v>74568</v>
      </c>
      <c r="B126" s="102" t="s">
        <v>699</v>
      </c>
      <c r="C126" s="102">
        <v>23</v>
      </c>
      <c r="D126" s="102">
        <v>209247</v>
      </c>
      <c r="E126" s="102" t="s">
        <v>3329</v>
      </c>
      <c r="F126" s="102" t="s">
        <v>831</v>
      </c>
    </row>
    <row r="127" spans="1:6" x14ac:dyDescent="0.15">
      <c r="A127" s="102">
        <v>74577</v>
      </c>
      <c r="B127" s="102" t="s">
        <v>701</v>
      </c>
      <c r="C127" s="102">
        <v>7</v>
      </c>
      <c r="D127" s="102">
        <v>75133</v>
      </c>
      <c r="E127" s="102" t="s">
        <v>3330</v>
      </c>
      <c r="F127" s="102" t="s">
        <v>784</v>
      </c>
    </row>
    <row r="128" spans="1:6" x14ac:dyDescent="0.15">
      <c r="A128" s="102">
        <v>74568</v>
      </c>
      <c r="B128" s="102" t="s">
        <v>699</v>
      </c>
      <c r="C128" s="102">
        <v>23</v>
      </c>
      <c r="D128" s="102">
        <v>209252</v>
      </c>
      <c r="E128" s="102" t="s">
        <v>3331</v>
      </c>
      <c r="F128" s="102" t="s">
        <v>832</v>
      </c>
    </row>
    <row r="129" spans="1:6" x14ac:dyDescent="0.15">
      <c r="A129" s="102">
        <v>74568</v>
      </c>
      <c r="B129" s="102" t="s">
        <v>699</v>
      </c>
      <c r="C129" s="102">
        <v>23</v>
      </c>
      <c r="D129" s="102">
        <v>209255</v>
      </c>
      <c r="E129" s="102" t="s">
        <v>3332</v>
      </c>
      <c r="F129" s="102" t="s">
        <v>833</v>
      </c>
    </row>
    <row r="130" spans="1:6" x14ac:dyDescent="0.15">
      <c r="A130" s="102">
        <v>74573</v>
      </c>
      <c r="B130" s="102" t="s">
        <v>700</v>
      </c>
      <c r="C130" s="102">
        <v>4</v>
      </c>
      <c r="D130" s="102">
        <v>74883</v>
      </c>
      <c r="E130" s="102" t="s">
        <v>3333</v>
      </c>
      <c r="F130" s="102" t="s">
        <v>755</v>
      </c>
    </row>
    <row r="131" spans="1:6" x14ac:dyDescent="0.15">
      <c r="A131" s="102">
        <v>240366</v>
      </c>
      <c r="B131" s="102" t="s">
        <v>703</v>
      </c>
      <c r="C131" s="102">
        <v>15</v>
      </c>
      <c r="D131" s="102">
        <v>240399</v>
      </c>
      <c r="E131" s="102" t="s">
        <v>3335</v>
      </c>
      <c r="F131" s="102" t="s">
        <v>821</v>
      </c>
    </row>
    <row r="132" spans="1:6" x14ac:dyDescent="0.15">
      <c r="A132" s="102">
        <v>74497</v>
      </c>
      <c r="B132" s="102" t="s">
        <v>695</v>
      </c>
      <c r="C132" s="102">
        <v>11</v>
      </c>
      <c r="D132" s="102">
        <v>242054</v>
      </c>
      <c r="E132" s="102" t="s">
        <v>3337</v>
      </c>
      <c r="F132" s="102" t="s">
        <v>804</v>
      </c>
    </row>
    <row r="133" spans="1:6" x14ac:dyDescent="0.15">
      <c r="A133" s="102"/>
      <c r="B133" s="102"/>
      <c r="C133" s="102"/>
      <c r="D133" s="102"/>
      <c r="E133" s="102"/>
      <c r="F133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1:S2000"/>
  <sheetViews>
    <sheetView topLeftCell="I1" workbookViewId="0">
      <selection activeCell="G46" sqref="G46"/>
    </sheetView>
  </sheetViews>
  <sheetFormatPr baseColWidth="10" defaultColWidth="11" defaultRowHeight="13" x14ac:dyDescent="0.15"/>
  <cols>
    <col min="1" max="1" width="24.5" customWidth="1"/>
    <col min="2" max="2" width="9.6640625" customWidth="1"/>
    <col min="3" max="3" width="20" customWidth="1"/>
    <col min="4" max="4" width="9.6640625" customWidth="1"/>
    <col min="5" max="5" width="20" customWidth="1"/>
    <col min="6" max="6" width="9.6640625" customWidth="1"/>
    <col min="7" max="7" width="18.5" customWidth="1"/>
    <col min="8" max="8" width="30.5" customWidth="1"/>
    <col min="9" max="9" width="18.5" customWidth="1"/>
    <col min="11" max="11" width="25.6640625" customWidth="1"/>
    <col min="12" max="12" width="6.83203125" bestFit="1" customWidth="1"/>
  </cols>
  <sheetData>
    <row r="1" spans="1:19" s="2" customFormat="1" x14ac:dyDescent="0.15">
      <c r="A1" s="2" t="s">
        <v>21</v>
      </c>
      <c r="B1" s="2" t="s">
        <v>101</v>
      </c>
      <c r="C1" s="2" t="s">
        <v>102</v>
      </c>
      <c r="D1" s="2" t="s">
        <v>103</v>
      </c>
      <c r="E1" s="2" t="s">
        <v>71</v>
      </c>
      <c r="F1" s="2" t="s">
        <v>104</v>
      </c>
      <c r="G1" s="2" t="s">
        <v>105</v>
      </c>
      <c r="H1" s="2" t="s">
        <v>106</v>
      </c>
      <c r="I1" s="2" t="s">
        <v>107</v>
      </c>
      <c r="J1" s="2" t="s">
        <v>108</v>
      </c>
      <c r="K1" s="2" t="s">
        <v>109</v>
      </c>
      <c r="L1" s="2" t="s">
        <v>108</v>
      </c>
      <c r="M1" s="2" t="s">
        <v>110</v>
      </c>
      <c r="N1" s="2" t="s">
        <v>111</v>
      </c>
      <c r="O1" s="2" t="s">
        <v>108</v>
      </c>
      <c r="P1" s="2" t="s">
        <v>112</v>
      </c>
      <c r="Q1" s="2" t="s">
        <v>113</v>
      </c>
      <c r="R1" s="2" t="s">
        <v>108</v>
      </c>
      <c r="S1" s="2" t="s">
        <v>114</v>
      </c>
    </row>
    <row r="2" spans="1:19" s="102" customFormat="1" ht="14" x14ac:dyDescent="0.15">
      <c r="A2" s="104" t="str">
        <f>IF(ISERROR(VLOOKUP(B2,tbl_ProjectPhases!$C$1:$D$50,2,FALSE))=FALSE(),VLOOKUP(B2,tbl_ProjectPhases!$C$1:$D$50,2,FALSE),"-----")</f>
        <v>-----</v>
      </c>
      <c r="B2" s="103"/>
      <c r="C2" s="104" t="str">
        <f>IF(ISERROR(VLOOKUP(D2,tbl_ProjectTypes!$C$1:$D$50,2,FALSE))=FALSE(),VLOOKUP(D2,tbl_ProjectTypes!$C$1:$D$50,2,FALSE),"-----")</f>
        <v>-----</v>
      </c>
      <c r="D2" s="103"/>
      <c r="E2" s="104" t="str">
        <f>IF(ISERROR(VLOOKUP(F2,#REF!,2,FALSE))=FALSE(),VLOOKUP(F2,#REF!,2,FALSE),"-----")</f>
        <v>-----</v>
      </c>
      <c r="F2" s="103"/>
      <c r="G2" s="103" t="s">
        <v>14</v>
      </c>
      <c r="H2" s="103" t="s">
        <v>14</v>
      </c>
      <c r="I2" s="103" t="s">
        <v>14</v>
      </c>
      <c r="K2" s="102" t="str">
        <f>tbl_ArchitectureOffices!D2</f>
        <v xml:space="preserve"> Dyrø og Moen AS</v>
      </c>
      <c r="L2" s="102">
        <f>tbl_ArchitectureOffices!C2</f>
        <v>166571</v>
      </c>
      <c r="M2" s="102" t="str">
        <f>IFERROR(REPLACE(K2,FIND(" ",K2,LEN(K2)),1,""),K2)</f>
        <v xml:space="preserve"> Dyrø og Moen AS</v>
      </c>
      <c r="N2" s="102" t="str">
        <f>tbl_Companys!D2</f>
        <v xml:space="preserve"> Dyrø og Moen AS</v>
      </c>
      <c r="O2" s="102">
        <f>tbl_Companys!C2</f>
        <v>166571</v>
      </c>
      <c r="P2" s="102" t="str">
        <f>IFERROR(REPLACE(N2,FIND(" ",N2,LEN(N2)),1,""),N2)</f>
        <v xml:space="preserve"> Dyrø og Moen AS</v>
      </c>
      <c r="Q2" s="102" t="str">
        <f>tbl_ConsultingCompanys!D2</f>
        <v xml:space="preserve"> Vailant Group Norge AS</v>
      </c>
      <c r="R2" s="102">
        <f>tbl_ConsultingCompanys!C2</f>
        <v>232350</v>
      </c>
      <c r="S2" s="102" t="str">
        <f>IFERROR(REPLACE(Q2,FIND(" ",Q2,LEN(Q2)),1,""),Q2)</f>
        <v xml:space="preserve"> Vailant Group Norge AS</v>
      </c>
    </row>
    <row r="3" spans="1:19" ht="28" x14ac:dyDescent="0.15">
      <c r="A3" s="1" t="str">
        <f>IF(ISERROR(VLOOKUP(B3,tbl_ProjectPhases!$C$1:$D$50,2,FALSE))=FALSE(),VLOOKUP(B3,tbl_ProjectPhases!$C$1:$D$50,2,FALSE),"-----")</f>
        <v>Ideprosjekt</v>
      </c>
      <c r="B3">
        <v>229025</v>
      </c>
      <c r="C3" s="1" t="str">
        <f>IF(ISERROR(VLOOKUP(D3,tbl_ProjectTypes!$C$1:$D$50,2,FALSE))=FALSE(),VLOOKUP(D3,tbl_ProjectTypes!$C$1:$D$50,2,FALSE),"-----")</f>
        <v>Regionalutvikling</v>
      </c>
      <c r="D3">
        <v>236205</v>
      </c>
      <c r="E3" s="1" t="str">
        <f>IF(ISERROR(VLOOKUP(F3,tbl_ArchitectofficeCategorys!$C$1:$D$50,2,FALSE))=FALSE(),VLOOKUP(F3,tbl_ArchitectofficeCategorys!$C$1:$D$50,2,FALSE),"-----")</f>
        <v>Hager, gårdsrom, uteanlegg på tak</v>
      </c>
      <c r="F3">
        <v>229515</v>
      </c>
      <c r="G3" s="1" t="s">
        <v>115</v>
      </c>
      <c r="H3" t="s">
        <v>116</v>
      </c>
      <c r="I3" t="s">
        <v>117</v>
      </c>
      <c r="J3">
        <v>214438</v>
      </c>
      <c r="K3" s="102" t="str">
        <f>tbl_ArchitectureOffices!D3</f>
        <v xml:space="preserve"> Hoen arkitektfirma, Anne Louise</v>
      </c>
      <c r="L3" s="102">
        <f>tbl_ArchitectureOffices!C3</f>
        <v>172585</v>
      </c>
      <c r="M3" s="102" t="str">
        <f t="shared" ref="M3:M66" si="0">IFERROR(REPLACE(K3,FIND(" ",K3,LEN(K3)),1,""),K3)</f>
        <v xml:space="preserve"> Hoen arkitektfirma, Anne Louise</v>
      </c>
      <c r="N3" s="102" t="str">
        <f>tbl_Companys!D3</f>
        <v xml:space="preserve"> Hoen arkitektfirma, Anne Louise</v>
      </c>
      <c r="O3" s="102">
        <f>tbl_Companys!C3</f>
        <v>172585</v>
      </c>
      <c r="P3" s="102" t="str">
        <f t="shared" ref="P3:P66" si="1">IFERROR(REPLACE(N3,FIND(" ",N3,LEN(N3)),1,""),N3)</f>
        <v xml:space="preserve"> Hoen arkitektfirma, Anne Louise</v>
      </c>
      <c r="Q3" s="102" t="str">
        <f>tbl_ConsultingCompanys!D3</f>
        <v>A.L. Høyer Skien AS</v>
      </c>
      <c r="R3" s="102">
        <f>tbl_ConsultingCompanys!C3</f>
        <v>228642</v>
      </c>
      <c r="S3" s="102" t="str">
        <f t="shared" ref="S3:S66" si="2">IFERROR(REPLACE(Q3,FIND(" ",Q3,LEN(Q3)),1,""),Q3)</f>
        <v>A.L. Høyer Skien AS</v>
      </c>
    </row>
    <row r="4" spans="1:19" ht="14" x14ac:dyDescent="0.15">
      <c r="A4" s="1" t="str">
        <f>IF(ISERROR(VLOOKUP(B4,tbl_ProjectPhases!$C$1:$D$50,2,FALSE))=FALSE(),VLOOKUP(B4,tbl_ProjectPhases!$C$1:$D$50,2,FALSE),"-----")</f>
        <v>Skisseprosjekt</v>
      </c>
      <c r="B4">
        <v>229026</v>
      </c>
      <c r="C4" s="1" t="str">
        <f>IF(ISERROR(VLOOKUP(D4,tbl_ProjectTypes!$C$1:$D$50,2,FALSE))=FALSE(),VLOOKUP(D4,tbl_ProjectTypes!$C$1:$D$50,2,FALSE),"-----")</f>
        <v>By-/ stedsutvikling</v>
      </c>
      <c r="D4" s="1">
        <v>182777</v>
      </c>
      <c r="E4" s="1" t="str">
        <f>IF(ISERROR(VLOOKUP(F4,tbl_ArchitectofficeCategorys!$C$1:$D$50,2,FALSE))=FALSE(),VLOOKUP(F4,tbl_ArchitectofficeCategorys!$C$1:$D$50,2,FALSE),"-----")</f>
        <v>Byrom, gater, torg</v>
      </c>
      <c r="F4">
        <v>229027</v>
      </c>
      <c r="G4" s="1" t="s">
        <v>118</v>
      </c>
      <c r="H4" t="s">
        <v>119</v>
      </c>
      <c r="I4" t="s">
        <v>120</v>
      </c>
      <c r="J4">
        <v>235554</v>
      </c>
      <c r="K4" s="102" t="str">
        <f>tbl_ArchitectureOffices!D4</f>
        <v xml:space="preserve"> Hus arkitekter AS</v>
      </c>
      <c r="L4" s="102">
        <f>tbl_ArchitectureOffices!C4</f>
        <v>171139</v>
      </c>
      <c r="M4" s="102" t="str">
        <f t="shared" si="0"/>
        <v xml:space="preserve"> Hus arkitekter AS</v>
      </c>
      <c r="N4" s="102" t="str">
        <f>tbl_Companys!D4</f>
        <v xml:space="preserve"> Hus arkitekter AS</v>
      </c>
      <c r="O4" s="102">
        <f>tbl_Companys!C4</f>
        <v>171139</v>
      </c>
      <c r="P4" s="102" t="str">
        <f t="shared" si="1"/>
        <v xml:space="preserve"> Hus arkitekter AS</v>
      </c>
      <c r="Q4" s="102" t="str">
        <f>tbl_ConsultingCompanys!D4</f>
        <v>A/S Betong, Stavanger</v>
      </c>
      <c r="R4" s="102">
        <f>tbl_ConsultingCompanys!C4</f>
        <v>101120</v>
      </c>
      <c r="S4" s="102" t="str">
        <f t="shared" si="2"/>
        <v>A/S Betong, Stavanger</v>
      </c>
    </row>
    <row r="5" spans="1:19" ht="14" x14ac:dyDescent="0.15">
      <c r="A5" s="1" t="str">
        <f>IF(ISERROR(VLOOKUP(B5,tbl_ProjectPhases!$C$1:$D$50,2,FALSE))=FALSE(),VLOOKUP(B5,tbl_ProjectPhases!$C$1:$D$50,2,FALSE),"-----")</f>
        <v>Forprosjekt</v>
      </c>
      <c r="B5">
        <v>228525</v>
      </c>
      <c r="C5" s="1" t="str">
        <f>IF(ISERROR(VLOOKUP(D5,tbl_ProjectTypes!$C$1:$D$50,2,FALSE))=FALSE(),VLOOKUP(D5,tbl_ProjectTypes!$C$1:$D$50,2,FALSE),"-----")</f>
        <v>Regulering</v>
      </c>
      <c r="D5">
        <v>136142</v>
      </c>
      <c r="E5" s="1" t="str">
        <f>IF(ISERROR(VLOOKUP(F5,tbl_ArchitectofficeCategorys!$C$1:$D$50,2,FALSE))=FALSE(),VLOOKUP(F5,tbl_ArchitectofficeCategorys!$C$1:$D$50,2,FALSE),"-----")</f>
        <v>Parker og grøntanlegg</v>
      </c>
      <c r="F5">
        <v>229516</v>
      </c>
      <c r="G5" s="1" t="s">
        <v>121</v>
      </c>
      <c r="H5" s="3" t="s">
        <v>14</v>
      </c>
      <c r="I5" t="s">
        <v>122</v>
      </c>
      <c r="J5">
        <v>172134</v>
      </c>
      <c r="K5" s="102" t="str">
        <f>tbl_ArchitectureOffices!D5</f>
        <v xml:space="preserve"> Kvien, Tord</v>
      </c>
      <c r="L5" s="102">
        <f>tbl_ArchitectureOffices!C5</f>
        <v>171771</v>
      </c>
      <c r="M5" s="102" t="str">
        <f t="shared" si="0"/>
        <v xml:space="preserve"> Kvien, Tord</v>
      </c>
      <c r="N5" s="102" t="str">
        <f>tbl_Companys!D5</f>
        <v xml:space="preserve"> Kvien, Tord</v>
      </c>
      <c r="O5" s="102">
        <f>tbl_Companys!C5</f>
        <v>171771</v>
      </c>
      <c r="P5" s="102" t="str">
        <f t="shared" si="1"/>
        <v xml:space="preserve"> Kvien, Tord</v>
      </c>
      <c r="Q5" s="102" t="str">
        <f>tbl_ConsultingCompanys!D5</f>
        <v>Aadnesen glass AS</v>
      </c>
      <c r="R5" s="102">
        <f>tbl_ConsultingCompanys!C5</f>
        <v>172630</v>
      </c>
      <c r="S5" s="102" t="str">
        <f t="shared" si="2"/>
        <v>Aadnesen glass AS</v>
      </c>
    </row>
    <row r="6" spans="1:19" ht="28" x14ac:dyDescent="0.15">
      <c r="A6" s="1" t="str">
        <f>IF(ISERROR(VLOOKUP(B6,tbl_ProjectPhases!$C$1:$D$50,2,FALSE))=FALSE(),VLOOKUP(B6,tbl_ProjectPhases!$C$1:$D$50,2,FALSE),"-----")</f>
        <v>Detaljprosjekt</v>
      </c>
      <c r="B6">
        <v>229023</v>
      </c>
      <c r="C6" s="1" t="str">
        <f>IF(ISERROR(VLOOKUP(D6,tbl_ProjectTypes!$C$1:$D$50,2,FALSE))=FALSE(),VLOOKUP(D6,tbl_ProjectTypes!$C$1:$D$50,2,FALSE),"-----")</f>
        <v>-----</v>
      </c>
      <c r="D6" s="3"/>
      <c r="E6" s="1" t="str">
        <f>IF(ISERROR(VLOOKUP(F6,tbl_ArchitectofficeCategorys!$C$1:$D$50,2,FALSE))=FALSE(),VLOOKUP(F6,tbl_ArchitectofficeCategorys!$C$1:$D$50,2,FALSE),"-----")</f>
        <v>Friluftsområder, turvei, vannkant</v>
      </c>
      <c r="F6">
        <v>237099</v>
      </c>
      <c r="G6" s="1" t="s">
        <v>123</v>
      </c>
      <c r="H6" t="s">
        <v>124</v>
      </c>
      <c r="I6" t="s">
        <v>125</v>
      </c>
      <c r="J6">
        <v>172098</v>
      </c>
      <c r="K6" s="102" t="str">
        <f>tbl_ArchitectureOffices!D6</f>
        <v>1:1 Arkitekter AS</v>
      </c>
      <c r="L6" s="102">
        <f>tbl_ArchitectureOffices!C6</f>
        <v>166642</v>
      </c>
      <c r="M6" s="102" t="str">
        <f t="shared" si="0"/>
        <v>1:1 Arkitekter AS</v>
      </c>
      <c r="N6" s="102" t="str">
        <f>tbl_Companys!D6</f>
        <v xml:space="preserve"> Vailant Group Norge AS</v>
      </c>
      <c r="O6" s="102">
        <f>tbl_Companys!C6</f>
        <v>232350</v>
      </c>
      <c r="P6" s="102" t="str">
        <f t="shared" si="1"/>
        <v xml:space="preserve"> Vailant Group Norge AS</v>
      </c>
      <c r="Q6" s="102" t="str">
        <f>tbl_ConsultingCompanys!D6</f>
        <v>Aalerud AS Rådgivede ingeniører</v>
      </c>
      <c r="R6" s="102">
        <f>tbl_ConsultingCompanys!C6</f>
        <v>181045</v>
      </c>
      <c r="S6" s="102" t="str">
        <f t="shared" si="2"/>
        <v>Aalerud AS Rådgivede ingeniører</v>
      </c>
    </row>
    <row r="7" spans="1:19" ht="28" x14ac:dyDescent="0.15">
      <c r="A7" s="1" t="str">
        <f>IF(ISERROR(VLOOKUP(B7,tbl_ProjectPhases!$C$1:$D$50,2,FALSE))=FALSE(),VLOOKUP(B7,tbl_ProjectPhases!$C$1:$D$50,2,FALSE),"-----")</f>
        <v>Ferdigstilt</v>
      </c>
      <c r="B7">
        <v>228450</v>
      </c>
      <c r="C7" s="1" t="str">
        <f>IF(ISERROR(VLOOKUP(D7,tbl_ProjectTypes!$C$1:$D$50,2,FALSE))=FALSE(),VLOOKUP(D7,tbl_ProjectTypes!$C$1:$D$50,2,FALSE),"-----")</f>
        <v>Landskap og blå-grønn struktur</v>
      </c>
      <c r="D7" s="1">
        <v>136112</v>
      </c>
      <c r="E7" s="1" t="str">
        <f>IF(ISERROR(VLOOKUP(F7,tbl_ArchitectofficeCategorys!$C$1:$D$50,2,FALSE))=FALSE(),VLOOKUP(F7,tbl_ArchitectofficeCategorys!$C$1:$D$50,2,FALSE),"-----")</f>
        <v>Transport og infrastruktur</v>
      </c>
      <c r="F7">
        <v>172667</v>
      </c>
      <c r="G7" s="1" t="s">
        <v>126</v>
      </c>
      <c r="H7" t="s">
        <v>127</v>
      </c>
      <c r="I7" t="s">
        <v>128</v>
      </c>
      <c r="J7">
        <v>235553</v>
      </c>
      <c r="K7" s="102" t="str">
        <f>tbl_ArchitectureOffices!D7</f>
        <v>3RW arkitekter</v>
      </c>
      <c r="L7" s="102">
        <f>tbl_ArchitectureOffices!C7</f>
        <v>166448</v>
      </c>
      <c r="M7" s="102" t="str">
        <f t="shared" si="0"/>
        <v>3RW arkitekter</v>
      </c>
      <c r="N7" s="102" t="str">
        <f>tbl_Companys!D7</f>
        <v>1:1 Arkitekter AS</v>
      </c>
      <c r="O7" s="102">
        <f>tbl_Companys!C7</f>
        <v>166642</v>
      </c>
      <c r="P7" s="102" t="str">
        <f t="shared" si="1"/>
        <v>1:1 Arkitekter AS</v>
      </c>
      <c r="Q7" s="102" t="str">
        <f>tbl_ConsultingCompanys!D7</f>
        <v xml:space="preserve">Aas Jakobsen AS </v>
      </c>
      <c r="R7" s="102">
        <f>tbl_ConsultingCompanys!C7</f>
        <v>121133</v>
      </c>
      <c r="S7" s="102" t="str">
        <f t="shared" si="2"/>
        <v>Aas Jakobsen AS</v>
      </c>
    </row>
    <row r="8" spans="1:19" ht="14" x14ac:dyDescent="0.15">
      <c r="A8" s="1" t="str">
        <f>IF(ISERROR(VLOOKUP(B8,tbl_ProjectPhases!$C$1:$D$50,2,FALSE))=FALSE(),VLOOKUP(B8,tbl_ProjectPhases!$C$1:$D$50,2,FALSE),"-----")</f>
        <v>-----</v>
      </c>
      <c r="C8" s="1" t="str">
        <f>IF(ISERROR(VLOOKUP(D8,tbl_ProjectTypes!$C$1:$D$50,2,FALSE))=FALSE(),VLOOKUP(D8,tbl_ProjectTypes!$C$1:$D$50,2,FALSE),"-----")</f>
        <v>Nybygg / Tilbygg</v>
      </c>
      <c r="D8" s="1">
        <v>229031</v>
      </c>
      <c r="E8" s="1" t="str">
        <f>IF(ISERROR(VLOOKUP(F8,tbl_ArchitectofficeCategorys!$C$1:$D$50,2,FALSE))=FALSE(),VLOOKUP(F8,tbl_ArchitectofficeCategorys!$C$1:$D$50,2,FALSE),"-----")</f>
        <v>-----</v>
      </c>
      <c r="F8" s="3"/>
      <c r="G8" s="1" t="s">
        <v>129</v>
      </c>
      <c r="H8" t="s">
        <v>130</v>
      </c>
      <c r="I8" t="s">
        <v>131</v>
      </c>
      <c r="J8">
        <v>235595</v>
      </c>
      <c r="K8" s="102" t="str">
        <f>tbl_ArchitectureOffices!D8</f>
        <v>4B Arkitekter AS</v>
      </c>
      <c r="L8" s="102">
        <f>tbl_ArchitectureOffices!C8</f>
        <v>166723</v>
      </c>
      <c r="M8" s="102" t="str">
        <f t="shared" si="0"/>
        <v>4B Arkitekter AS</v>
      </c>
      <c r="N8" s="102" t="str">
        <f>tbl_Companys!D8</f>
        <v>3RW arkitekter</v>
      </c>
      <c r="O8" s="102">
        <f>tbl_Companys!C8</f>
        <v>166448</v>
      </c>
      <c r="P8" s="102" t="str">
        <f t="shared" si="1"/>
        <v>3RW arkitekter</v>
      </c>
      <c r="Q8" s="102" t="str">
        <f>tbl_ConsultingCompanys!D8</f>
        <v>Aas Luftbehandling</v>
      </c>
      <c r="R8" s="102">
        <f>tbl_ConsultingCompanys!C8</f>
        <v>225767</v>
      </c>
      <c r="S8" s="102" t="str">
        <f t="shared" si="2"/>
        <v>Aas Luftbehandling</v>
      </c>
    </row>
    <row r="9" spans="1:19" ht="42" x14ac:dyDescent="0.15">
      <c r="A9" s="1" t="str">
        <f>IF(ISERROR(VLOOKUP(B9,tbl_ProjectPhases!$C$1:$D$50,2,FALSE))=FALSE(),VLOOKUP(B9,tbl_ProjectPhases!$C$1:$D$50,2,FALSE),"-----")</f>
        <v>-----</v>
      </c>
      <c r="B9" s="1"/>
      <c r="C9" s="1" t="str">
        <f>IF(ISERROR(VLOOKUP(D9,tbl_ProjectTypes!$C$1:$D$50,2,FALSE))=FALSE(),VLOOKUP(D9,tbl_ProjectTypes!$C$1:$D$50,2,FALSE),"-----")</f>
        <v>Ombruk / Rehabilitering / Transformasjon</v>
      </c>
      <c r="D9" s="1">
        <v>229032</v>
      </c>
      <c r="E9" s="1" t="str">
        <f>IF(ISERROR(VLOOKUP(F9,tbl_ArchitectofficeCategorys!$C$1:$D$50,2,FALSE))=FALSE(),VLOOKUP(F9,tbl_ArchitectofficeCategorys!$C$1:$D$50,2,FALSE),"-----")</f>
        <v>Hytte/Fritidsbolig</v>
      </c>
      <c r="F9">
        <v>172580</v>
      </c>
      <c r="G9" s="1" t="s">
        <v>132</v>
      </c>
      <c r="H9" t="s">
        <v>133</v>
      </c>
      <c r="I9" t="str">
        <f>IF(ISERROR(VLOOKUP(J9,tbl_ExternalProjectDBUsers!$C$1:$T$1000,2,FALSE))=FALSE(),VLOOKUP(J9,tbl_ExternalProjectDBUsers!$C$1:$T$1000,2,FALSE),"-----")</f>
        <v>-----</v>
      </c>
      <c r="J9" s="102"/>
      <c r="K9" s="102" t="str">
        <f>tbl_ArchitectureOffices!D9</f>
        <v>70 °N arkitektur AS</v>
      </c>
      <c r="L9" s="102">
        <f>tbl_ArchitectureOffices!C9</f>
        <v>166469</v>
      </c>
      <c r="M9" s="102" t="str">
        <f t="shared" si="0"/>
        <v>70 °N arkitektur AS</v>
      </c>
      <c r="N9" s="102" t="str">
        <f>tbl_Companys!D9</f>
        <v>4B Arkitekter AS</v>
      </c>
      <c r="O9" s="102">
        <f>tbl_Companys!C9</f>
        <v>166723</v>
      </c>
      <c r="P9" s="102" t="str">
        <f t="shared" si="1"/>
        <v>4B Arkitekter AS</v>
      </c>
      <c r="Q9" s="102" t="str">
        <f>tbl_ConsultingCompanys!D9</f>
        <v>Aase Byggeadministrasjon AS</v>
      </c>
      <c r="R9" s="102">
        <f>tbl_ConsultingCompanys!C9</f>
        <v>202816</v>
      </c>
      <c r="S9" s="102" t="str">
        <f t="shared" si="2"/>
        <v>Aase Byggeadministrasjon AS</v>
      </c>
    </row>
    <row r="10" spans="1:19" ht="28" x14ac:dyDescent="0.15">
      <c r="A10" s="1" t="str">
        <f>IF(ISERROR(VLOOKUP(B10,tbl_ProjectPhases!$C$1:$D$50,2,FALSE))=FALSE(),VLOOKUP(B10,tbl_ProjectPhases!$C$1:$D$50,2,FALSE),"-----")</f>
        <v>-----</v>
      </c>
      <c r="B10" s="1"/>
      <c r="C10" s="1" t="str">
        <f>IF(ISERROR(VLOOKUP(D10,tbl_ProjectTypes!$C$1:$D$50,2,FALSE))=FALSE(),VLOOKUP(D10,tbl_ProjectTypes!$C$1:$D$50,2,FALSE),"-----")</f>
        <v>Interiør</v>
      </c>
      <c r="D10" s="4">
        <v>229033</v>
      </c>
      <c r="E10" s="1" t="str">
        <f>IF(ISERROR(VLOOKUP(F10,tbl_ArchitectofficeCategorys!$C$1:$D$50,2,FALSE))=FALSE(),VLOOKUP(F10,tbl_ArchitectofficeCategorys!$C$1:$D$50,2,FALSE),"-----")</f>
        <v>Enebolig/ rekkehus o.l.</v>
      </c>
      <c r="F10">
        <v>165326</v>
      </c>
      <c r="G10" s="1" t="s">
        <v>134</v>
      </c>
      <c r="H10" s="3" t="s">
        <v>14</v>
      </c>
      <c r="I10" t="str">
        <f>tbl_ExternalProjectDBUsers!D2</f>
        <v>Bergen</v>
      </c>
      <c r="J10">
        <f>tbl_ExternalProjectDBUsers!C2</f>
        <v>235560</v>
      </c>
      <c r="K10" s="102" t="str">
        <f>tbl_ArchitectureOffices!D10</f>
        <v>a2 arkitekter as</v>
      </c>
      <c r="L10" s="102">
        <f>tbl_ArchitectureOffices!C10</f>
        <v>186465</v>
      </c>
      <c r="M10" s="102" t="str">
        <f t="shared" si="0"/>
        <v>a2 arkitekter as</v>
      </c>
      <c r="N10" s="102" t="str">
        <f>tbl_Companys!D10</f>
        <v>70 °N arkitektur AS</v>
      </c>
      <c r="O10" s="102">
        <f>tbl_Companys!C10</f>
        <v>166469</v>
      </c>
      <c r="P10" s="102" t="str">
        <f t="shared" si="1"/>
        <v>70 °N arkitektur AS</v>
      </c>
      <c r="Q10" s="102" t="str">
        <f>tbl_ConsultingCompanys!D10</f>
        <v>Aasen Bygg AS</v>
      </c>
      <c r="R10" s="102">
        <f>tbl_ConsultingCompanys!C10</f>
        <v>233806</v>
      </c>
      <c r="S10" s="102" t="str">
        <f t="shared" si="2"/>
        <v>Aasen Bygg AS</v>
      </c>
    </row>
    <row r="11" spans="1:19" ht="28" x14ac:dyDescent="0.15">
      <c r="A11" s="1" t="str">
        <f>IF(ISERROR(VLOOKUP(B11,tbl_ProjectPhases!$C$1:$D$50,2,FALSE))=FALSE(),VLOOKUP(B11,tbl_ProjectPhases!$C$1:$D$50,2,FALSE),"-----")</f>
        <v>-----</v>
      </c>
      <c r="B11" s="1"/>
      <c r="C11" s="1" t="str">
        <f>IF(ISERROR(VLOOKUP(D11,tbl_ProjectTypes!$C$1:$D$50,2,FALSE))=FALSE(),VLOOKUP(D11,tbl_ProjectTypes!$C$1:$D$50,2,FALSE),"-----")</f>
        <v>-----</v>
      </c>
      <c r="D11" s="4"/>
      <c r="E11" s="1" t="str">
        <f>IF(ISERROR(VLOOKUP(F11,tbl_ArchitectofficeCategorys!$C$1:$D$50,2,FALSE))=FALSE(),VLOOKUP(F11,tbl_ArchitectofficeCategorys!$C$1:$D$50,2,FALSE),"-----")</f>
        <v>Boligområder/ boliganlegg</v>
      </c>
      <c r="F11">
        <v>172579</v>
      </c>
      <c r="G11" s="1" t="s">
        <v>135</v>
      </c>
      <c r="H11" t="s">
        <v>136</v>
      </c>
      <c r="I11" t="str">
        <f>tbl_ExternalProjectDBUsers!D3</f>
        <v>Bærum</v>
      </c>
      <c r="J11">
        <f>tbl_ExternalProjectDBUsers!C3</f>
        <v>235837</v>
      </c>
      <c r="K11" s="102" t="str">
        <f>tbl_ArchitectureOffices!D11</f>
        <v>AART (danmark)</v>
      </c>
      <c r="L11" s="102">
        <f>tbl_ArchitectureOffices!C11</f>
        <v>245870</v>
      </c>
      <c r="M11" s="102" t="str">
        <f t="shared" si="0"/>
        <v>AART (danmark)</v>
      </c>
      <c r="N11" s="102" t="str">
        <f>tbl_Companys!D11</f>
        <v>A.L. Høyer Skien AS</v>
      </c>
      <c r="O11" s="102">
        <f>tbl_Companys!C11</f>
        <v>228642</v>
      </c>
      <c r="P11" s="102" t="str">
        <f t="shared" si="1"/>
        <v>A.L. Høyer Skien AS</v>
      </c>
      <c r="Q11" s="102" t="str">
        <f>tbl_ConsultingCompanys!D11</f>
        <v>ABC Elektro</v>
      </c>
      <c r="R11" s="102">
        <f>tbl_ConsultingCompanys!C11</f>
        <v>232346</v>
      </c>
      <c r="S11" s="102" t="str">
        <f t="shared" si="2"/>
        <v>ABC Elektro</v>
      </c>
    </row>
    <row r="12" spans="1:19" ht="14" x14ac:dyDescent="0.15">
      <c r="A12" s="1" t="str">
        <f>IF(ISERROR(VLOOKUP(B12,tbl_ProjectPhases!$C$1:$D$50,2,FALSE))=FALSE(),VLOOKUP(B12,tbl_ProjectPhases!$C$1:$D$50,2,FALSE),"-----")</f>
        <v>-----</v>
      </c>
      <c r="B12" s="1"/>
      <c r="C12" s="1" t="str">
        <f>IF(ISERROR(VLOOKUP(D12,tbl_ProjectTypes!$C$1:$D$50,2,FALSE))=FALSE(),VLOOKUP(D12,tbl_ProjectTypes!$C$1:$D$50,2,FALSE),"-----")</f>
        <v>Industridesign</v>
      </c>
      <c r="D12" s="4">
        <v>136094</v>
      </c>
      <c r="E12" s="1" t="str">
        <f>IF(ISERROR(VLOOKUP(F12,tbl_ArchitectofficeCategorys!$C$1:$D$50,2,FALSE))=FALSE(),VLOOKUP(F12,tbl_ArchitectofficeCategorys!$C$1:$D$50,2,FALSE),"-----")</f>
        <v>Omsorgsboliger</v>
      </c>
      <c r="F12" s="1">
        <v>229029</v>
      </c>
      <c r="G12" s="1" t="s">
        <v>137</v>
      </c>
      <c r="H12" t="s">
        <v>138</v>
      </c>
      <c r="I12" t="str">
        <f>tbl_ExternalProjectDBUsers!D4</f>
        <v>Drammen</v>
      </c>
      <c r="J12">
        <f>tbl_ExternalProjectDBUsers!C4</f>
        <v>235828</v>
      </c>
      <c r="K12" s="102" t="str">
        <f>tbl_ArchitectureOffices!D12</f>
        <v>Abacus as</v>
      </c>
      <c r="L12" s="102">
        <f>tbl_ArchitectureOffices!C12</f>
        <v>166417</v>
      </c>
      <c r="M12" s="102" t="str">
        <f t="shared" si="0"/>
        <v>Abacus as</v>
      </c>
      <c r="N12" s="102" t="str">
        <f>tbl_Companys!D12</f>
        <v>A/S Betong, Stavanger</v>
      </c>
      <c r="O12" s="102">
        <f>tbl_Companys!C12</f>
        <v>101120</v>
      </c>
      <c r="P12" s="102" t="str">
        <f t="shared" si="1"/>
        <v>A/S Betong, Stavanger</v>
      </c>
      <c r="Q12" s="102" t="str">
        <f>tbl_ConsultingCompanys!D12</f>
        <v>ABC Elektro installasjon AS</v>
      </c>
      <c r="R12" s="102">
        <f>tbl_ConsultingCompanys!C12</f>
        <v>228143</v>
      </c>
      <c r="S12" s="102" t="str">
        <f t="shared" si="2"/>
        <v>ABC Elektro installasjon AS</v>
      </c>
    </row>
    <row r="13" spans="1:19" ht="14" x14ac:dyDescent="0.15">
      <c r="A13" s="1" t="str">
        <f>IF(ISERROR(VLOOKUP(B13,tbl_ProjectPhases!$C$1:$D$50,2,FALSE))=FALSE(),VLOOKUP(B13,tbl_ProjectPhases!$C$1:$D$50,2,FALSE),"-----")</f>
        <v>-----</v>
      </c>
      <c r="B13" s="1"/>
      <c r="C13" s="1" t="str">
        <f>IF(ISERROR(VLOOKUP(D13,tbl_ProjectTypes!$C$1:$D$50,2,FALSE))=FALSE(),VLOOKUP(D13,tbl_ProjectTypes!$C$1:$D$50,2,FALSE),"-----")</f>
        <v>-----</v>
      </c>
      <c r="D13" s="1"/>
      <c r="E13" s="1" t="str">
        <f>IF(ISERROR(VLOOKUP(F13,tbl_ArchitectofficeCategorys!$C$1:$D$50,2,FALSE))=FALSE(),VLOOKUP(F13,tbl_ArchitectofficeCategorys!$C$1:$D$50,2,FALSE),"-----")</f>
        <v>Sykehjem</v>
      </c>
      <c r="F13">
        <v>229518</v>
      </c>
      <c r="G13" s="1" t="s">
        <v>139</v>
      </c>
      <c r="H13" t="s">
        <v>140</v>
      </c>
      <c r="I13" t="str">
        <f>tbl_ExternalProjectDBUsers!D5</f>
        <v>Enova</v>
      </c>
      <c r="J13">
        <f>tbl_ExternalProjectDBUsers!C5</f>
        <v>235558</v>
      </c>
      <c r="K13" s="102" t="str">
        <f>tbl_ArchitectureOffices!D13</f>
        <v>Abo Plan &amp; Arkitektur AS</v>
      </c>
      <c r="L13" s="102">
        <f>tbl_ArchitectureOffices!C13</f>
        <v>181938</v>
      </c>
      <c r="M13" s="102" t="str">
        <f t="shared" si="0"/>
        <v>Abo Plan &amp; Arkitektur AS</v>
      </c>
      <c r="N13" s="102" t="str">
        <f>tbl_Companys!D13</f>
        <v>a2 arkitekter as</v>
      </c>
      <c r="O13" s="102">
        <f>tbl_Companys!C13</f>
        <v>186465</v>
      </c>
      <c r="P13" s="102" t="str">
        <f t="shared" si="1"/>
        <v>a2 arkitekter as</v>
      </c>
      <c r="Q13" s="102" t="str">
        <f>tbl_ConsultingCompanys!D13</f>
        <v>Acusto AS</v>
      </c>
      <c r="R13" s="102">
        <f>tbl_ConsultingCompanys!C13</f>
        <v>202452</v>
      </c>
      <c r="S13" s="102" t="str">
        <f t="shared" si="2"/>
        <v>Acusto AS</v>
      </c>
    </row>
    <row r="14" spans="1:19" ht="14" x14ac:dyDescent="0.15">
      <c r="A14" s="1" t="str">
        <f>IF(ISERROR(VLOOKUP(B14,tbl_ProjectPhases!$C$1:$D$50,2,FALSE))=FALSE(),VLOOKUP(B14,tbl_ProjectPhases!$C$1:$D$50,2,FALSE),"-----")</f>
        <v>Fredet / vernet</v>
      </c>
      <c r="B14" s="1">
        <v>230396</v>
      </c>
      <c r="C14" s="1" t="str">
        <f>IF(ISERROR(VLOOKUP(D14,tbl_ProjectTypes!$C$1:$D$50,2,FALSE))=FALSE(),VLOOKUP(D14,tbl_ProjectTypes!$C$1:$D$50,2,FALSE),"-----")</f>
        <v>-----</v>
      </c>
      <c r="E14" s="1" t="str">
        <f>IF(ISERROR(VLOOKUP(F14,tbl_ArchitectofficeCategorys!$C$1:$D$50,2,FALSE))=FALSE(),VLOOKUP(F14,tbl_ArchitectofficeCategorys!$C$1:$D$50,2,FALSE),"-----")</f>
        <v>Sykehus</v>
      </c>
      <c r="F14">
        <v>229519</v>
      </c>
      <c r="G14" s="1" t="s">
        <v>141</v>
      </c>
      <c r="H14" s="3" t="s">
        <v>14</v>
      </c>
      <c r="I14" t="str">
        <f>tbl_ExternalProjectDBUsers!D6</f>
        <v>Finans Norge</v>
      </c>
      <c r="J14">
        <f>tbl_ExternalProjectDBUsers!C6</f>
        <v>241810</v>
      </c>
      <c r="K14" s="102" t="str">
        <f>tbl_ArchitectureOffices!D14</f>
        <v>absolutt arkitektur as</v>
      </c>
      <c r="L14" s="102">
        <f>tbl_ArchitectureOffices!C14</f>
        <v>235232</v>
      </c>
      <c r="M14" s="102" t="str">
        <f t="shared" si="0"/>
        <v>absolutt arkitektur as</v>
      </c>
      <c r="N14" s="102" t="str">
        <f>tbl_Companys!D14</f>
        <v>Aadnesen glass AS</v>
      </c>
      <c r="O14" s="102">
        <f>tbl_Companys!C14</f>
        <v>172630</v>
      </c>
      <c r="P14" s="102" t="str">
        <f t="shared" si="1"/>
        <v>Aadnesen glass AS</v>
      </c>
      <c r="Q14" s="102" t="str">
        <f>tbl_ConsultingCompanys!D14</f>
        <v>Advansia as</v>
      </c>
      <c r="R14" s="102">
        <f>tbl_ConsultingCompanys!C14</f>
        <v>217293</v>
      </c>
      <c r="S14" s="102" t="str">
        <f t="shared" si="2"/>
        <v>Advansia as</v>
      </c>
    </row>
    <row r="15" spans="1:19" ht="28" x14ac:dyDescent="0.15">
      <c r="A15" s="1" t="str">
        <f>IF(ISERROR(VLOOKUP(B15,tbl_ProjectPhases!$C$1:$D$50,2,FALSE))=FALSE(),VLOOKUP(B15,tbl_ProjectPhases!$C$1:$D$50,2,FALSE),"-----")</f>
        <v>-----</v>
      </c>
      <c r="B15" s="102"/>
      <c r="C15" s="1" t="str">
        <f>IF(ISERROR(VLOOKUP(D15,tbl_ProjectTypes!$C$1:$D$50,2,FALSE))=FALSE(),VLOOKUP(D15,tbl_ProjectTypes!$C$1:$D$50,2,FALSE),"-----")</f>
        <v>-----</v>
      </c>
      <c r="E15" s="1" t="str">
        <f>IF(ISERROR(VLOOKUP(F15,tbl_ArchitectofficeCategorys!$C$1:$D$50,2,FALSE))=FALSE(),VLOOKUP(F15,tbl_ArchitectofficeCategorys!$C$1:$D$50,2,FALSE),"-----")</f>
        <v>Barnehager</v>
      </c>
      <c r="F15">
        <v>172590</v>
      </c>
      <c r="G15" s="1" t="s">
        <v>142</v>
      </c>
      <c r="H15" t="s">
        <v>143</v>
      </c>
      <c r="I15" t="str">
        <f>tbl_ExternalProjectDBUsers!D7</f>
        <v>Framtidens Byer</v>
      </c>
      <c r="J15">
        <f>tbl_ExternalProjectDBUsers!C7</f>
        <v>235557</v>
      </c>
      <c r="K15" s="102" t="str">
        <f>tbl_ArchitectureOffices!D15</f>
        <v>ACK Arkitekter</v>
      </c>
      <c r="L15" s="102">
        <f>tbl_ArchitectureOffices!C15</f>
        <v>172791</v>
      </c>
      <c r="M15" s="102" t="str">
        <f t="shared" si="0"/>
        <v>ACK Arkitekter</v>
      </c>
      <c r="N15" s="102" t="str">
        <f>tbl_Companys!D15</f>
        <v>Aalerud AS Rådgivede ingeniører</v>
      </c>
      <c r="O15" s="102">
        <f>tbl_Companys!C15</f>
        <v>181045</v>
      </c>
      <c r="P15" s="102" t="str">
        <f t="shared" si="1"/>
        <v>Aalerud AS Rådgivede ingeniører</v>
      </c>
      <c r="Q15" s="102" t="str">
        <f>tbl_ConsultingCompanys!D15</f>
        <v xml:space="preserve">AF Decom </v>
      </c>
      <c r="R15" s="102">
        <f>tbl_ConsultingCompanys!C15</f>
        <v>178158</v>
      </c>
      <c r="S15" s="102" t="str">
        <f t="shared" si="2"/>
        <v>AF Decom</v>
      </c>
    </row>
    <row r="16" spans="1:19" ht="28" x14ac:dyDescent="0.15">
      <c r="A16" s="1" t="str">
        <f>IF(ISERROR(VLOOKUP(B16,tbl_ProjectPhases!$C$1:$D$50,2,FALSE))=FALSE(),VLOOKUP(B16,tbl_ProjectPhases!$C$1:$D$50,2,FALSE),"-----")</f>
        <v>-----</v>
      </c>
      <c r="B16" s="102"/>
      <c r="C16" s="1" t="str">
        <f>IF(ISERROR(VLOOKUP(D16,tbl_ProjectTypes!$C$1:$D$50,2,FALSE))=FALSE(),VLOOKUP(D16,tbl_ProjectTypes!$C$1:$D$50,2,FALSE),"-----")</f>
        <v>-----</v>
      </c>
      <c r="E16" s="1" t="str">
        <f>IF(ISERROR(VLOOKUP(F16,tbl_ArchitectofficeCategorys!$C$1:$D$50,2,FALSE))=FALSE(),VLOOKUP(F16,tbl_ArchitectofficeCategorys!$C$1:$D$50,2,FALSE),"-----")</f>
        <v>Skole/undervisningsbygg</v>
      </c>
      <c r="F16">
        <v>165322</v>
      </c>
      <c r="H16" s="3" t="s">
        <v>14</v>
      </c>
      <c r="I16" t="str">
        <f>tbl_ExternalProjectDBUsers!D8</f>
        <v>Framtidens bygg</v>
      </c>
      <c r="J16">
        <f>tbl_ExternalProjectDBUsers!C8</f>
        <v>243933</v>
      </c>
      <c r="K16" s="102" t="str">
        <f>tbl_ArchitectureOffices!D16</f>
        <v>Acona Tehnopole AS</v>
      </c>
      <c r="L16" s="102">
        <f>tbl_ArchitectureOffices!C16</f>
        <v>166432</v>
      </c>
      <c r="M16" s="102" t="str">
        <f t="shared" si="0"/>
        <v>Acona Tehnopole AS</v>
      </c>
      <c r="N16" s="102" t="str">
        <f>tbl_Companys!D16</f>
        <v>AART (danmark)</v>
      </c>
      <c r="O16" s="102">
        <f>tbl_Companys!C16</f>
        <v>245870</v>
      </c>
      <c r="P16" s="102" t="str">
        <f t="shared" si="1"/>
        <v>AART (danmark)</v>
      </c>
      <c r="Q16" s="102" t="str">
        <f>tbl_ConsultingCompanys!D16</f>
        <v>AF Decom (riving)</v>
      </c>
      <c r="R16" s="102">
        <f>tbl_ConsultingCompanys!C16</f>
        <v>178924</v>
      </c>
      <c r="S16" s="102" t="str">
        <f t="shared" si="2"/>
        <v>AF Decom (riving)</v>
      </c>
    </row>
    <row r="17" spans="1:19" ht="28" x14ac:dyDescent="0.15">
      <c r="A17" s="1" t="str">
        <f>IF(ISERROR(VLOOKUP(B17,tbl_ProjectPhases!$C$1:$D$50,2,FALSE))=FALSE(),VLOOKUP(B17,tbl_ProjectPhases!$C$1:$D$50,2,FALSE),"-----")</f>
        <v>-----</v>
      </c>
      <c r="B17" s="102"/>
      <c r="C17" s="1" t="str">
        <f>IF(ISERROR(VLOOKUP(D17,tbl_ProjectTypes!$C$1:$D$50,2,FALSE))=FALSE(),VLOOKUP(D17,tbl_ProjectTypes!$C$1:$D$50,2,FALSE),"-----")</f>
        <v>-----</v>
      </c>
      <c r="E17" s="1" t="str">
        <f>IF(ISERROR(VLOOKUP(F17,tbl_ArchitectofficeCategorys!$C$1:$D$50,2,FALSE))=FALSE(),VLOOKUP(F17,tbl_ArchitectofficeCategorys!$C$1:$D$50,2,FALSE),"-----")</f>
        <v>Svømmehall / Badeanlegg</v>
      </c>
      <c r="F17">
        <v>165321</v>
      </c>
      <c r="H17" t="s">
        <v>144</v>
      </c>
      <c r="I17" t="str">
        <f>tbl_ExternalProjectDBUsers!D9</f>
        <v>Fredrikstad</v>
      </c>
      <c r="J17">
        <f>tbl_ExternalProjectDBUsers!C9</f>
        <v>235831</v>
      </c>
      <c r="K17" s="102" t="str">
        <f>tbl_ArchitectureOffices!D17</f>
        <v>Adaptiv Arkitektur AS</v>
      </c>
      <c r="L17" s="102">
        <f>tbl_ArchitectureOffices!C17</f>
        <v>247813</v>
      </c>
      <c r="M17" s="102" t="str">
        <f t="shared" si="0"/>
        <v>Adaptiv Arkitektur AS</v>
      </c>
      <c r="N17" s="102" t="str">
        <f>tbl_Companys!D17</f>
        <v xml:space="preserve">Aas Jakobsen AS </v>
      </c>
      <c r="O17" s="102">
        <f>tbl_Companys!C17</f>
        <v>121133</v>
      </c>
      <c r="P17" s="102" t="str">
        <f t="shared" si="1"/>
        <v>Aas Jakobsen AS</v>
      </c>
      <c r="Q17" s="102" t="str">
        <f>tbl_ConsultingCompanys!D17</f>
        <v>AF Gruppen</v>
      </c>
      <c r="R17" s="102">
        <f>tbl_ConsultingCompanys!C17</f>
        <v>202450</v>
      </c>
      <c r="S17" s="102" t="str">
        <f t="shared" si="2"/>
        <v>AF Gruppen</v>
      </c>
    </row>
    <row r="18" spans="1:19" ht="14" x14ac:dyDescent="0.15">
      <c r="A18" s="1" t="str">
        <f>IF(ISERROR(VLOOKUP(B18,tbl_ProjectPhases!$C$1:$D$50,2,FALSE))=FALSE(),VLOOKUP(B18,tbl_ProjectPhases!$C$1:$D$50,2,FALSE),"-----")</f>
        <v>-----</v>
      </c>
      <c r="B18" s="102"/>
      <c r="C18" s="1" t="str">
        <f>IF(ISERROR(VLOOKUP(D18,tbl_ProjectTypes!$C$1:$D$50,2,FALSE))=FALSE(),VLOOKUP(D18,tbl_ProjectTypes!$C$1:$D$50,2,FALSE),"-----")</f>
        <v>-----</v>
      </c>
      <c r="E18" s="1" t="str">
        <f>IF(ISERROR(VLOOKUP(F18,tbl_ArchitectofficeCategorys!$C$1:$D$50,2,FALSE))=FALSE(),VLOOKUP(F18,tbl_ArchitectofficeCategorys!$C$1:$D$50,2,FALSE),"-----")</f>
        <v>Idrettsanlegg- / bygg</v>
      </c>
      <c r="F18">
        <v>165316</v>
      </c>
      <c r="H18" t="s">
        <v>145</v>
      </c>
      <c r="I18" t="str">
        <f>tbl_ExternalProjectDBUsers!D10</f>
        <v>FutureBuilt</v>
      </c>
      <c r="J18">
        <f>tbl_ExternalProjectDBUsers!C10</f>
        <v>235778</v>
      </c>
      <c r="K18" s="102" t="str">
        <f>tbl_ArchitectureOffices!D18</f>
        <v>Aepos arkitekter og planleggere AS</v>
      </c>
      <c r="L18" s="102">
        <f>tbl_ArchitectureOffices!C18</f>
        <v>166439</v>
      </c>
      <c r="M18" s="102" t="str">
        <f t="shared" si="0"/>
        <v>Aepos arkitekter og planleggere AS</v>
      </c>
      <c r="N18" s="102" t="str">
        <f>tbl_Companys!D18</f>
        <v>Aas Luftbehandling</v>
      </c>
      <c r="O18" s="102">
        <f>tbl_Companys!C18</f>
        <v>225767</v>
      </c>
      <c r="P18" s="102" t="str">
        <f t="shared" si="1"/>
        <v>Aas Luftbehandling</v>
      </c>
      <c r="Q18" s="102" t="str">
        <f>tbl_ConsultingCompanys!D18</f>
        <v>Agathon Borgen AS</v>
      </c>
      <c r="R18" s="102">
        <f>tbl_ConsultingCompanys!C18</f>
        <v>247607</v>
      </c>
      <c r="S18" s="102" t="str">
        <f t="shared" si="2"/>
        <v>Agathon Borgen AS</v>
      </c>
    </row>
    <row r="19" spans="1:19" ht="14" x14ac:dyDescent="0.15">
      <c r="A19" s="1" t="str">
        <f>IF(ISERROR(VLOOKUP(B19,tbl_ProjectPhases!$C$1:$D$50,2,FALSE))=FALSE(),VLOOKUP(B19,tbl_ProjectPhases!$C$1:$D$50,2,FALSE),"-----")</f>
        <v>-----</v>
      </c>
      <c r="B19" s="102"/>
      <c r="C19" s="1" t="str">
        <f>IF(ISERROR(VLOOKUP(D19,tbl_ProjectTypes!$C$1:$D$50,2,FALSE))=FALSE(),VLOOKUP(D19,tbl_ProjectTypes!$C$1:$D$50,2,FALSE),"-----")</f>
        <v>-----</v>
      </c>
      <c r="E19" s="1" t="str">
        <f>IF(ISERROR(VLOOKUP(F19,tbl_ArchitectofficeCategorys!$C$1:$D$50,2,FALSE))=FALSE(),VLOOKUP(F19,tbl_ArchitectofficeCategorys!$C$1:$D$50,2,FALSE),"-----")</f>
        <v>Kulturbygg/ -anlegg</v>
      </c>
      <c r="F19">
        <v>165327</v>
      </c>
      <c r="H19" s="3" t="s">
        <v>14</v>
      </c>
      <c r="I19" t="str">
        <f>tbl_ExternalProjectDBUsers!D11</f>
        <v>Husbanken</v>
      </c>
      <c r="J19">
        <f>tbl_ExternalProjectDBUsers!C11</f>
        <v>214453</v>
      </c>
      <c r="K19" s="102" t="str">
        <f>tbl_ArchitectureOffices!D19</f>
        <v>AG Plan og Arkitektur AS</v>
      </c>
      <c r="L19" s="102">
        <f>tbl_ArchitectureOffices!C19</f>
        <v>166449</v>
      </c>
      <c r="M19" s="102" t="str">
        <f t="shared" si="0"/>
        <v>AG Plan og Arkitektur AS</v>
      </c>
      <c r="N19" s="102" t="str">
        <f>tbl_Companys!D19</f>
        <v>Aase Byggeadministrasjon AS</v>
      </c>
      <c r="O19" s="102">
        <f>tbl_Companys!C19</f>
        <v>202816</v>
      </c>
      <c r="P19" s="102" t="str">
        <f t="shared" si="1"/>
        <v>Aase Byggeadministrasjon AS</v>
      </c>
      <c r="Q19" s="102" t="str">
        <f>tbl_ConsultingCompanys!D19</f>
        <v>Agraff - arkitekter</v>
      </c>
      <c r="R19" s="102">
        <f>tbl_ConsultingCompanys!C19</f>
        <v>244138</v>
      </c>
      <c r="S19" s="102" t="str">
        <f t="shared" si="2"/>
        <v>Agraff - arkitekter</v>
      </c>
    </row>
    <row r="20" spans="1:19" ht="14" x14ac:dyDescent="0.15">
      <c r="A20" s="1" t="str">
        <f>IF(ISERROR(VLOOKUP(B20,tbl_ProjectPhases!$C$1:$D$50,2,FALSE))=FALSE(),VLOOKUP(B20,tbl_ProjectPhases!$C$1:$D$50,2,FALSE),"-----")</f>
        <v>-----</v>
      </c>
      <c r="B20" s="102"/>
      <c r="C20" s="1" t="str">
        <f>IF(ISERROR(VLOOKUP(D20,tbl_ProjectTypes!$C$1:$D$50,2,FALSE))=FALSE(),VLOOKUP(D20,tbl_ProjectTypes!$C$1:$D$50,2,FALSE),"-----")</f>
        <v>-----</v>
      </c>
      <c r="E20" s="1" t="str">
        <f>IF(ISERROR(VLOOKUP(F20,tbl_ArchitectofficeCategorys!$C$1:$D$50,2,FALSE))=FALSE(),VLOOKUP(F20,tbl_ArchitectofficeCategorys!$C$1:$D$50,2,FALSE),"-----")</f>
        <v>Museum / Utstillinger</v>
      </c>
      <c r="F20">
        <v>165328</v>
      </c>
      <c r="H20" t="s">
        <v>146</v>
      </c>
      <c r="I20" t="str">
        <f>tbl_ExternalProjectDBUsers!D12</f>
        <v>Kommunal- og regionaldepartementet</v>
      </c>
      <c r="J20">
        <f>tbl_ExternalProjectDBUsers!C12</f>
        <v>241806</v>
      </c>
      <c r="K20" s="102" t="str">
        <f>tbl_ArchitectureOffices!D20</f>
        <v>Aga Arkitekter AS</v>
      </c>
      <c r="L20" s="102">
        <f>tbl_ArchitectureOffices!C20</f>
        <v>166181</v>
      </c>
      <c r="M20" s="102" t="str">
        <f t="shared" si="0"/>
        <v>Aga Arkitekter AS</v>
      </c>
      <c r="N20" s="102" t="str">
        <f>tbl_Companys!D20</f>
        <v>Aasen Bygg AS</v>
      </c>
      <c r="O20" s="102">
        <f>tbl_Companys!C20</f>
        <v>233806</v>
      </c>
      <c r="P20" s="102" t="str">
        <f t="shared" si="1"/>
        <v>Aasen Bygg AS</v>
      </c>
      <c r="Q20" s="102" t="str">
        <f>tbl_ConsultingCompanys!D20</f>
        <v>Aktiv Arena</v>
      </c>
      <c r="R20" s="102">
        <f>tbl_ConsultingCompanys!C20</f>
        <v>192374</v>
      </c>
      <c r="S20" s="102" t="str">
        <f t="shared" si="2"/>
        <v>Aktiv Arena</v>
      </c>
    </row>
    <row r="21" spans="1:19" ht="14" x14ac:dyDescent="0.15">
      <c r="A21" s="1" t="str">
        <f>IF(ISERROR(VLOOKUP(B21,tbl_ProjectPhases!$C$1:$D$50,2,FALSE))=FALSE(),VLOOKUP(B21,tbl_ProjectPhases!$C$1:$D$50,2,FALSE),"-----")</f>
        <v>-----</v>
      </c>
      <c r="B21" s="1"/>
      <c r="C21" s="1" t="str">
        <f>IF(ISERROR(VLOOKUP(D21,tbl_ProjectTypes!$C$1:$D$50,2,FALSE))=FALSE(),VLOOKUP(D21,tbl_ProjectTypes!$C$1:$D$50,2,FALSE),"-----")</f>
        <v>-----</v>
      </c>
      <c r="E21" s="1" t="str">
        <f>IF(ISERROR(VLOOKUP(F21,tbl_ArchitectofficeCategorys!$C$1:$D$50,2,FALSE))=FALSE(),VLOOKUP(F21,tbl_ArchitectofficeCategorys!$C$1:$D$50,2,FALSE),"-----")</f>
        <v>Kirke/krematorium</v>
      </c>
      <c r="F21">
        <v>165323</v>
      </c>
      <c r="H21" s="3" t="s">
        <v>14</v>
      </c>
      <c r="I21" t="str">
        <f>tbl_ExternalProjectDBUsers!D13</f>
        <v>Kristiansand</v>
      </c>
      <c r="J21">
        <f>tbl_ExternalProjectDBUsers!C13</f>
        <v>235833</v>
      </c>
      <c r="K21" s="102" t="str">
        <f>tbl_ArchitectureOffices!D21</f>
        <v>Agraff AS</v>
      </c>
      <c r="L21" s="102">
        <f>tbl_ArchitectureOffices!C21</f>
        <v>166453</v>
      </c>
      <c r="M21" s="102" t="str">
        <f t="shared" si="0"/>
        <v>Agraff AS</v>
      </c>
      <c r="N21" s="102" t="str">
        <f>tbl_Companys!D21</f>
        <v>Abacus as</v>
      </c>
      <c r="O21" s="102">
        <f>tbl_Companys!C21</f>
        <v>166417</v>
      </c>
      <c r="P21" s="102" t="str">
        <f t="shared" si="1"/>
        <v>Abacus as</v>
      </c>
      <c r="Q21" s="102" t="str">
        <f>tbl_ConsultingCompanys!D21</f>
        <v>Aktivhus AS</v>
      </c>
      <c r="R21" s="102">
        <f>tbl_ConsultingCompanys!C21</f>
        <v>230176</v>
      </c>
      <c r="S21" s="102" t="str">
        <f t="shared" si="2"/>
        <v>Aktivhus AS</v>
      </c>
    </row>
    <row r="22" spans="1:19" ht="14" x14ac:dyDescent="0.15">
      <c r="A22" s="1" t="str">
        <f>IF(ISERROR(VLOOKUP(B22,tbl_ProjectPhases!$C$1:$D$50,2,FALSE))=FALSE(),VLOOKUP(B22,tbl_ProjectPhases!$C$1:$D$50,2,FALSE),"-----")</f>
        <v>-----</v>
      </c>
      <c r="B22" s="1"/>
      <c r="C22" s="1" t="str">
        <f>IF(ISERROR(VLOOKUP(D22,tbl_ProjectTypes!$C$1:$D$50,2,FALSE))=FALSE(),VLOOKUP(D22,tbl_ProjectTypes!$C$1:$D$50,2,FALSE),"-----")</f>
        <v>-----</v>
      </c>
      <c r="E22" s="1" t="str">
        <f>IF(ISERROR(VLOOKUP(F22,tbl_ArchitectofficeCategorys!$C$1:$D$50,2,FALSE))=FALSE(),VLOOKUP(F22,tbl_ArchitectofficeCategorys!$C$1:$D$50,2,FALSE),"-----")</f>
        <v>Kontorbygg</v>
      </c>
      <c r="F22">
        <v>165317</v>
      </c>
      <c r="H22" t="s">
        <v>147</v>
      </c>
      <c r="I22" t="str">
        <f>tbl_ExternalProjectDBUsers!D14</f>
        <v>KS</v>
      </c>
      <c r="J22">
        <f>tbl_ExternalProjectDBUsers!C14</f>
        <v>241812</v>
      </c>
      <c r="K22" s="102" t="str">
        <f>tbl_ArchitectureOffices!D22</f>
        <v>AKC Arkitekter AS</v>
      </c>
      <c r="L22" s="102">
        <f>tbl_ArchitectureOffices!C22</f>
        <v>166455</v>
      </c>
      <c r="M22" s="102" t="str">
        <f t="shared" si="0"/>
        <v>AKC Arkitekter AS</v>
      </c>
      <c r="N22" s="102" t="str">
        <f>tbl_Companys!D22</f>
        <v>ABC Elektro</v>
      </c>
      <c r="O22" s="102">
        <f>tbl_Companys!C22</f>
        <v>232346</v>
      </c>
      <c r="P22" s="102" t="str">
        <f t="shared" si="1"/>
        <v>ABC Elektro</v>
      </c>
      <c r="Q22" s="102" t="str">
        <f>tbl_ConsultingCompanys!D22</f>
        <v>AL Høyer Skien AS</v>
      </c>
      <c r="R22" s="102">
        <f>tbl_ConsultingCompanys!C22</f>
        <v>121313</v>
      </c>
      <c r="S22" s="102" t="str">
        <f t="shared" si="2"/>
        <v>AL Høyer Skien AS</v>
      </c>
    </row>
    <row r="23" spans="1:19" ht="28" x14ac:dyDescent="0.15">
      <c r="A23" s="1" t="str">
        <f>IF(ISERROR(VLOOKUP(B23,tbl_ProjectPhases!$C$1:$D$50,2,FALSE))=FALSE(),VLOOKUP(B23,tbl_ProjectPhases!$C$1:$D$50,2,FALSE),"-----")</f>
        <v>-----</v>
      </c>
      <c r="B23" s="1"/>
      <c r="C23" s="1" t="str">
        <f>IF(ISERROR(VLOOKUP(D23,tbl_ProjectTypes!$C$1:$D$50,2,FALSE))=FALSE(),VLOOKUP(D23,tbl_ProjectTypes!$C$1:$D$50,2,FALSE),"-----")</f>
        <v>-----</v>
      </c>
      <c r="E23" s="1" t="str">
        <f>IF(ISERROR(VLOOKUP(F23,tbl_ArchitectofficeCategorys!$C$1:$D$50,2,FALSE))=FALSE(),VLOOKUP(F23,tbl_ArchitectofficeCategorys!$C$1:$D$50,2,FALSE),"-----")</f>
        <v>Universitet/ høyskolebygg</v>
      </c>
      <c r="F23">
        <v>229517</v>
      </c>
      <c r="H23" t="s">
        <v>148</v>
      </c>
      <c r="I23" t="str">
        <f>tbl_ExternalProjectDBUsers!D15</f>
        <v>Miljøverndepartementet</v>
      </c>
      <c r="J23">
        <f>tbl_ExternalProjectDBUsers!C15</f>
        <v>241805</v>
      </c>
      <c r="K23" s="102" t="str">
        <f>tbl_ArchitectureOffices!D23</f>
        <v>a-lab as</v>
      </c>
      <c r="L23" s="102">
        <f>tbl_ArchitectureOffices!C23</f>
        <v>166183</v>
      </c>
      <c r="M23" s="102" t="str">
        <f t="shared" si="0"/>
        <v>a-lab as</v>
      </c>
      <c r="N23" s="102" t="str">
        <f>tbl_Companys!D23</f>
        <v>ABC Elektro installasjon AS</v>
      </c>
      <c r="O23" s="102">
        <f>tbl_Companys!C23</f>
        <v>228143</v>
      </c>
      <c r="P23" s="102" t="str">
        <f t="shared" si="1"/>
        <v>ABC Elektro installasjon AS</v>
      </c>
      <c r="Q23" s="102" t="str">
        <f>tbl_ConsultingCompanys!D23</f>
        <v>Alta Rør AS</v>
      </c>
      <c r="R23" s="102">
        <f>tbl_ConsultingCompanys!C23</f>
        <v>247732</v>
      </c>
      <c r="S23" s="102" t="str">
        <f t="shared" si="2"/>
        <v>Alta Rør AS</v>
      </c>
    </row>
    <row r="24" spans="1:19" ht="14" x14ac:dyDescent="0.15">
      <c r="A24" s="1" t="str">
        <f>IF(ISERROR(VLOOKUP(B24,tbl_ProjectPhases!$C$1:$D$50,2,FALSE))=FALSE(),VLOOKUP(B24,tbl_ProjectPhases!$C$1:$D$50,2,FALSE),"-----")</f>
        <v>-----</v>
      </c>
      <c r="B24" s="1"/>
      <c r="C24" s="1" t="str">
        <f>IF(ISERROR(VLOOKUP(D24,tbl_ProjectTypes!$C$1:$D$50,2,FALSE))=FALSE(),VLOOKUP(D24,tbl_ProjectTypes!$C$1:$D$50,2,FALSE),"-----")</f>
        <v>-----</v>
      </c>
      <c r="E24" s="1" t="str">
        <f>IF(ISERROR(VLOOKUP(F24,tbl_ArchitectofficeCategorys!$C$1:$D$50,2,FALSE))=FALSE(),VLOOKUP(F24,tbl_ArchitectofficeCategorys!$C$1:$D$50,2,FALSE),"-----")</f>
        <v>Laboratoriebygg</v>
      </c>
      <c r="F24">
        <v>165324</v>
      </c>
      <c r="H24" s="3" t="s">
        <v>14</v>
      </c>
      <c r="I24" t="str">
        <f>tbl_ExternalProjectDBUsers!D16</f>
        <v>NHO</v>
      </c>
      <c r="J24">
        <f>tbl_ExternalProjectDBUsers!C16</f>
        <v>241809</v>
      </c>
      <c r="K24" s="102" t="str">
        <f>tbl_ArchitectureOffices!D24</f>
        <v>Alliance arkitekter AS</v>
      </c>
      <c r="L24" s="102">
        <f>tbl_ArchitectureOffices!C24</f>
        <v>166456</v>
      </c>
      <c r="M24" s="102" t="str">
        <f t="shared" si="0"/>
        <v>Alliance arkitekter AS</v>
      </c>
      <c r="N24" s="102" t="str">
        <f>tbl_Companys!D24</f>
        <v>Abo Plan &amp; Arkitektur AS</v>
      </c>
      <c r="O24" s="102">
        <f>tbl_Companys!C24</f>
        <v>181938</v>
      </c>
      <c r="P24" s="102" t="str">
        <f t="shared" si="1"/>
        <v>Abo Plan &amp; Arkitektur AS</v>
      </c>
      <c r="Q24" s="102" t="str">
        <f>tbl_ConsultingCompanys!D24</f>
        <v>Alvdal trelast</v>
      </c>
      <c r="R24" s="102">
        <f>tbl_ConsultingCompanys!C24</f>
        <v>232353</v>
      </c>
      <c r="S24" s="102" t="str">
        <f t="shared" si="2"/>
        <v>Alvdal trelast</v>
      </c>
    </row>
    <row r="25" spans="1:19" ht="14" x14ac:dyDescent="0.15">
      <c r="A25" s="1" t="str">
        <f>IF(ISERROR(VLOOKUP(B25,tbl_ProjectPhases!$C$1:$D$50,2,FALSE))=FALSE(),VLOOKUP(B25,tbl_ProjectPhases!$C$1:$D$50,2,FALSE),"-----")</f>
        <v>-----</v>
      </c>
      <c r="B25" s="1"/>
      <c r="C25" s="1" t="str">
        <f>IF(ISERROR(VLOOKUP(D25,tbl_ProjectTypes!$C$1:$D$50,2,FALSE))=FALSE(),VLOOKUP(D25,tbl_ProjectTypes!$C$1:$D$50,2,FALSE),"-----")</f>
        <v>-----</v>
      </c>
      <c r="E25" s="1" t="str">
        <f>IF(ISERROR(VLOOKUP(F25,tbl_ArchitectofficeCategorys!$C$1:$D$50,2,FALSE))=FALSE(),VLOOKUP(F25,tbl_ArchitectofficeCategorys!$C$1:$D$50,2,FALSE),"-----")</f>
        <v>Forretning / handel</v>
      </c>
      <c r="F25">
        <v>172597</v>
      </c>
      <c r="H25" t="s">
        <v>149</v>
      </c>
      <c r="I25" t="str">
        <f>tbl_ExternalProjectDBUsers!D17</f>
        <v>Norske Arkitekters Landsforbund</v>
      </c>
      <c r="J25">
        <f>tbl_ExternalProjectDBUsers!C17</f>
        <v>237575</v>
      </c>
      <c r="K25" s="102" t="str">
        <f>tbl_ArchitectureOffices!D25</f>
        <v>Allsidig Arkitekt</v>
      </c>
      <c r="L25" s="102">
        <f>tbl_ArchitectureOffices!C25</f>
        <v>243404</v>
      </c>
      <c r="M25" s="102" t="str">
        <f t="shared" si="0"/>
        <v>Allsidig Arkitekt</v>
      </c>
      <c r="N25" s="102" t="str">
        <f>tbl_Companys!D25</f>
        <v>absolutt arkitektur as</v>
      </c>
      <c r="O25" s="102">
        <f>tbl_Companys!C25</f>
        <v>235232</v>
      </c>
      <c r="P25" s="102" t="str">
        <f t="shared" si="1"/>
        <v>absolutt arkitektur as</v>
      </c>
      <c r="Q25" s="102" t="str">
        <f>tbl_ConsultingCompanys!D25</f>
        <v>Amalienborg Aveny AS</v>
      </c>
      <c r="R25" s="102">
        <f>tbl_ConsultingCompanys!C25</f>
        <v>233200</v>
      </c>
      <c r="S25" s="102" t="str">
        <f t="shared" si="2"/>
        <v>Amalienborg Aveny AS</v>
      </c>
    </row>
    <row r="26" spans="1:19" ht="14" x14ac:dyDescent="0.15">
      <c r="A26" s="1" t="str">
        <f>IF(ISERROR(VLOOKUP(B26,tbl_ProjectPhases!$C$1:$D$50,2,FALSE))=FALSE(),VLOOKUP(B26,tbl_ProjectPhases!$C$1:$D$50,2,FALSE),"-----")</f>
        <v>-----</v>
      </c>
      <c r="B26" s="1"/>
      <c r="C26" s="1" t="str">
        <f>IF(ISERROR(VLOOKUP(D26,tbl_ProjectTypes!$C$1:$D$50,2,FALSE))=FALSE(),VLOOKUP(D26,tbl_ProjectTypes!$C$1:$D$50,2,FALSE),"-----")</f>
        <v>-----</v>
      </c>
      <c r="E26" s="1" t="str">
        <f>IF(ISERROR(VLOOKUP(F26,tbl_ArchitectofficeCategorys!$C$1:$D$50,2,FALSE))=FALSE(),VLOOKUP(F26,tbl_ArchitectofficeCategorys!$C$1:$D$50,2,FALSE),"-----")</f>
        <v>Hotell</v>
      </c>
      <c r="F26">
        <v>165319</v>
      </c>
      <c r="I26" t="str">
        <f>tbl_ExternalProjectDBUsers!D18</f>
        <v>Olje- og energidepartementet</v>
      </c>
      <c r="J26">
        <f>tbl_ExternalProjectDBUsers!C18</f>
        <v>241808</v>
      </c>
      <c r="K26" s="102" t="str">
        <f>tbl_ArchitectureOffices!D26</f>
        <v>alt arkitektur as</v>
      </c>
      <c r="L26" s="102">
        <f>tbl_ArchitectureOffices!C26</f>
        <v>166461</v>
      </c>
      <c r="M26" s="102" t="str">
        <f t="shared" si="0"/>
        <v>alt arkitektur as</v>
      </c>
      <c r="N26" s="102" t="str">
        <f>tbl_Companys!D26</f>
        <v>ACK Arkitekter</v>
      </c>
      <c r="O26" s="102">
        <f>tbl_Companys!C26</f>
        <v>172791</v>
      </c>
      <c r="P26" s="102" t="str">
        <f t="shared" si="1"/>
        <v>ACK Arkitekter</v>
      </c>
      <c r="Q26" s="102" t="str">
        <f>tbl_ConsultingCompanys!D26</f>
        <v>Anders Ellefsen</v>
      </c>
      <c r="R26" s="102">
        <f>tbl_ConsultingCompanys!C26</f>
        <v>103267</v>
      </c>
      <c r="S26" s="102" t="str">
        <f t="shared" si="2"/>
        <v>Anders Ellefsen</v>
      </c>
    </row>
    <row r="27" spans="1:19" ht="14" x14ac:dyDescent="0.15">
      <c r="A27" s="1" t="str">
        <f>IF(ISERROR(VLOOKUP(B27,tbl_ProjectPhases!$C$1:$D$50,2,FALSE))=FALSE(),VLOOKUP(B27,tbl_ProjectPhases!$C$1:$D$50,2,FALSE),"-----")</f>
        <v>-----</v>
      </c>
      <c r="B27" s="1"/>
      <c r="C27" s="1" t="str">
        <f>IF(ISERROR(VLOOKUP(D27,tbl_ProjectTypes!$C$1:$D$50,2,FALSE))=FALSE(),VLOOKUP(D27,tbl_ProjectTypes!$C$1:$D$50,2,FALSE),"-----")</f>
        <v>-----</v>
      </c>
      <c r="E27" s="1" t="str">
        <f>IF(ISERROR(VLOOKUP(F27,tbl_ArchitectofficeCategorys!$C$1:$D$50,2,FALSE))=FALSE(),VLOOKUP(F27,tbl_ArchitectofficeCategorys!$C$1:$D$50,2,FALSE),"-----")</f>
        <v>Industribygg</v>
      </c>
      <c r="F27">
        <v>172663</v>
      </c>
      <c r="I27" t="str">
        <f>tbl_ExternalProjectDBUsers!D19</f>
        <v>Oslo</v>
      </c>
      <c r="J27">
        <f>tbl_ExternalProjectDBUsers!C19</f>
        <v>235559</v>
      </c>
      <c r="K27" s="102" t="str">
        <f>tbl_ArchitectureOffices!D27</f>
        <v>AMB arkitekter AS</v>
      </c>
      <c r="L27" s="102">
        <f>tbl_ArchitectureOffices!C27</f>
        <v>233552</v>
      </c>
      <c r="M27" s="102" t="str">
        <f t="shared" si="0"/>
        <v>AMB arkitekter AS</v>
      </c>
      <c r="N27" s="102" t="str">
        <f>tbl_Companys!D27</f>
        <v>Acona Tehnopole AS</v>
      </c>
      <c r="O27" s="102">
        <f>tbl_Companys!C27</f>
        <v>166432</v>
      </c>
      <c r="P27" s="102" t="str">
        <f t="shared" si="1"/>
        <v>Acona Tehnopole AS</v>
      </c>
      <c r="Q27" s="102" t="str">
        <f>tbl_ConsultingCompanys!D27</f>
        <v xml:space="preserve">Andersen &amp; Askjem AS </v>
      </c>
      <c r="R27" s="102">
        <f>tbl_ConsultingCompanys!C27</f>
        <v>112302</v>
      </c>
      <c r="S27" s="102" t="str">
        <f t="shared" si="2"/>
        <v>Andersen &amp; Askjem AS</v>
      </c>
    </row>
    <row r="28" spans="1:19" ht="28" x14ac:dyDescent="0.15">
      <c r="A28" s="1" t="str">
        <f>IF(ISERROR(VLOOKUP(B28,tbl_ProjectPhases!$C$1:$D$50,2,FALSE))=FALSE(),VLOOKUP(B28,tbl_ProjectPhases!$C$1:$D$50,2,FALSE),"-----")</f>
        <v>-----</v>
      </c>
      <c r="B28" s="1"/>
      <c r="C28" s="1" t="str">
        <f>IF(ISERROR(VLOOKUP(D28,tbl_ProjectTypes!$C$1:$D$50,2,FALSE))=FALSE(),VLOOKUP(D28,tbl_ProjectTypes!$C$1:$D$50,2,FALSE),"-----")</f>
        <v>-----</v>
      </c>
      <c r="E28" s="1" t="str">
        <f>IF(ISERROR(VLOOKUP(F28,tbl_ArchitectofficeCategorys!$C$1:$D$50,2,FALSE))=FALSE(),VLOOKUP(F28,tbl_ArchitectofficeCategorys!$C$1:$D$50,2,FALSE),"-----")</f>
        <v>Messer / konferansesenter</v>
      </c>
      <c r="F28">
        <v>172677</v>
      </c>
      <c r="I28" t="str">
        <f>tbl_ExternalProjectDBUsers!D20</f>
        <v>Porsgrunn og Skien</v>
      </c>
      <c r="J28">
        <f>tbl_ExternalProjectDBUsers!C20</f>
        <v>235829</v>
      </c>
      <c r="K28" s="102" t="str">
        <f>tbl_ArchitectureOffices!D28</f>
        <v>Amdahl Strøm Cappelen Arkitekter AS</v>
      </c>
      <c r="L28" s="102">
        <f>tbl_ArchitectureOffices!C28</f>
        <v>219365</v>
      </c>
      <c r="M28" s="102" t="str">
        <f t="shared" si="0"/>
        <v>Amdahl Strøm Cappelen Arkitekter AS</v>
      </c>
      <c r="N28" s="102" t="str">
        <f>tbl_Companys!D28</f>
        <v>Acusto AS</v>
      </c>
      <c r="O28" s="102">
        <f>tbl_Companys!C28</f>
        <v>202452</v>
      </c>
      <c r="P28" s="102" t="str">
        <f t="shared" si="1"/>
        <v>Acusto AS</v>
      </c>
      <c r="Q28" s="102" t="str">
        <f>tbl_ConsultingCompanys!D28</f>
        <v>Andersen og Johnson AS</v>
      </c>
      <c r="R28" s="102">
        <f>tbl_ConsultingCompanys!C28</f>
        <v>224067</v>
      </c>
      <c r="S28" s="102" t="str">
        <f t="shared" si="2"/>
        <v>Andersen og Johnson AS</v>
      </c>
    </row>
    <row r="29" spans="1:19" ht="14" x14ac:dyDescent="0.15">
      <c r="A29" s="1" t="str">
        <f>IF(ISERROR(VLOOKUP(B29,tbl_ProjectPhases!$C$1:$D$50,2,FALSE))=FALSE(),VLOOKUP(B29,tbl_ProjectPhases!$C$1:$D$50,2,FALSE),"-----")</f>
        <v>-----</v>
      </c>
      <c r="B29" s="1"/>
      <c r="C29" s="1" t="str">
        <f>IF(ISERROR(VLOOKUP(D29,tbl_ProjectTypes!$C$1:$D$50,2,FALSE))=FALSE(),VLOOKUP(D29,tbl_ProjectTypes!$C$1:$D$50,2,FALSE),"-----")</f>
        <v>-----</v>
      </c>
      <c r="D29" s="2"/>
      <c r="E29" s="1" t="str">
        <f>IF(ISERROR(VLOOKUP(F29,tbl_ArchitectofficeCategorys!$C$1:$D$50,2,FALSE))=FALSE(),VLOOKUP(F29,tbl_ArchitectofficeCategorys!$C$1:$D$50,2,FALSE),"-----")</f>
        <v>-----</v>
      </c>
      <c r="F29" s="1"/>
      <c r="I29" t="str">
        <f>tbl_ExternalProjectDBUsers!D21</f>
        <v>Samferdselsdepartementet</v>
      </c>
      <c r="J29">
        <f>tbl_ExternalProjectDBUsers!C21</f>
        <v>241804</v>
      </c>
      <c r="K29" s="102" t="str">
        <f>tbl_ArchitectureOffices!D29</f>
        <v>Amtedal &amp; Hansen Arkitektkontor as</v>
      </c>
      <c r="L29" s="102">
        <f>tbl_ArchitectureOffices!C29</f>
        <v>172681</v>
      </c>
      <c r="M29" s="102" t="str">
        <f t="shared" si="0"/>
        <v>Amtedal &amp; Hansen Arkitektkontor as</v>
      </c>
      <c r="N29" s="102" t="str">
        <f>tbl_Companys!D29</f>
        <v>Adaptiv Arkitektur AS</v>
      </c>
      <c r="O29" s="102">
        <f>tbl_Companys!C29</f>
        <v>247813</v>
      </c>
      <c r="P29" s="102" t="str">
        <f t="shared" si="1"/>
        <v>Adaptiv Arkitektur AS</v>
      </c>
      <c r="Q29" s="102" t="str">
        <f>tbl_ConsultingCompanys!D29</f>
        <v>Arbeidsfellesskapet Kruse Strømme DA</v>
      </c>
      <c r="R29" s="102">
        <f>tbl_ConsultingCompanys!C29</f>
        <v>246929</v>
      </c>
      <c r="S29" s="102" t="str">
        <f t="shared" si="2"/>
        <v>Arbeidsfellesskapet Kruse Strømme DA</v>
      </c>
    </row>
    <row r="30" spans="1:19" ht="14" x14ac:dyDescent="0.15">
      <c r="A30" s="1" t="str">
        <f>IF(ISERROR(VLOOKUP(B30,tbl_ProjectPhases!$C$1:$D$50,2,FALSE))=FALSE(),VLOOKUP(B30,tbl_ProjectPhases!$C$1:$D$50,2,FALSE),"-----")</f>
        <v>-----</v>
      </c>
      <c r="B30" s="1"/>
      <c r="C30" s="1" t="str">
        <f>IF(ISERROR(VLOOKUP(D30,tbl_ProjectTypes!$C$1:$D$50,2,FALSE))=FALSE(),VLOOKUP(D30,tbl_ProjectTypes!$C$1:$D$50,2,FALSE),"-----")</f>
        <v>-----</v>
      </c>
      <c r="E30" s="1" t="str">
        <f>IF(ISERROR(VLOOKUP(F30,tbl_ArchitectofficeCategorys!$C$1:$D$50,2,FALSE))=FALSE(),VLOOKUP(F30,tbl_ArchitectofficeCategorys!$C$1:$D$50,2,FALSE),"-----")</f>
        <v>-----</v>
      </c>
      <c r="F30" s="1"/>
      <c r="I30" t="str">
        <f>tbl_ExternalProjectDBUsers!D22</f>
        <v>Sandnes</v>
      </c>
      <c r="J30">
        <f>tbl_ExternalProjectDBUsers!C22</f>
        <v>235834</v>
      </c>
      <c r="K30" s="102" t="str">
        <f>tbl_ArchitectureOffices!D30</f>
        <v>Amtedal &amp; Hansen Arkitektkontor AS</v>
      </c>
      <c r="L30" s="102">
        <f>tbl_ArchitectureOffices!C30</f>
        <v>247618</v>
      </c>
      <c r="M30" s="102" t="str">
        <f t="shared" si="0"/>
        <v>Amtedal &amp; Hansen Arkitektkontor AS</v>
      </c>
      <c r="N30" s="102" t="str">
        <f>tbl_Companys!D30</f>
        <v>Advansia as</v>
      </c>
      <c r="O30" s="102">
        <f>tbl_Companys!C30</f>
        <v>217293</v>
      </c>
      <c r="P30" s="102" t="str">
        <f t="shared" si="1"/>
        <v>Advansia as</v>
      </c>
      <c r="Q30" s="102" t="str">
        <f>tbl_ConsultingCompanys!D30</f>
        <v>Arkitekt Bengt Michaelsen</v>
      </c>
      <c r="R30" s="102">
        <f>tbl_ConsultingCompanys!C30</f>
        <v>242869</v>
      </c>
      <c r="S30" s="102" t="str">
        <f t="shared" si="2"/>
        <v>Arkitekt Bengt Michaelsen</v>
      </c>
    </row>
    <row r="31" spans="1:19" ht="13" customHeight="1" x14ac:dyDescent="0.15">
      <c r="A31" s="1" t="str">
        <f>IF(ISERROR(VLOOKUP(B31,tbl_ProjectPhases!$C$1:$D$50,2,FALSE))=FALSE(),VLOOKUP(B31,tbl_ProjectPhases!$C$1:$D$50,2,FALSE),"-----")</f>
        <v>-----</v>
      </c>
      <c r="B31" s="1"/>
      <c r="C31" s="1" t="str">
        <f>IF(ISERROR(VLOOKUP(D31,tbl_ProjectTypes!$C$1:$D$50,2,FALSE))=FALSE(),VLOOKUP(D31,tbl_ProjectTypes!$C$1:$D$50,2,FALSE),"-----")</f>
        <v>-----</v>
      </c>
      <c r="D31" s="1"/>
      <c r="E31" s="1" t="str">
        <f>IF(ISERROR(VLOOKUP(F31,tbl_ArchitectofficeCategorys!$C$1:$D$50,2,FALSE))=FALSE(),VLOOKUP(F31,tbl_ArchitectofficeCategorys!$C$1:$D$50,2,FALSE),"-----")</f>
        <v>-----</v>
      </c>
      <c r="F31" s="1"/>
      <c r="I31" t="str">
        <f>tbl_ExternalProjectDBUsers!D23</f>
        <v>Sarpsborg</v>
      </c>
      <c r="J31">
        <f>tbl_ExternalProjectDBUsers!C23</f>
        <v>235832</v>
      </c>
      <c r="K31" s="102" t="str">
        <f>tbl_ArchitectureOffices!D31</f>
        <v>Andersen &amp; Flåte AS</v>
      </c>
      <c r="L31" s="102">
        <f>tbl_ArchitectureOffices!C31</f>
        <v>230398</v>
      </c>
      <c r="M31" s="102" t="str">
        <f t="shared" si="0"/>
        <v>Andersen &amp; Flåte AS</v>
      </c>
      <c r="N31" s="102" t="str">
        <f>tbl_Companys!D31</f>
        <v>Aepos arkitekter og planleggere AS</v>
      </c>
      <c r="O31" s="102">
        <f>tbl_Companys!C31</f>
        <v>166439</v>
      </c>
      <c r="P31" s="102" t="str">
        <f t="shared" si="1"/>
        <v>Aepos arkitekter og planleggere AS</v>
      </c>
      <c r="Q31" s="102" t="str">
        <f>tbl_ConsultingCompanys!D31</f>
        <v>Arkitektgruppen Cubus AS</v>
      </c>
      <c r="R31" s="102">
        <f>tbl_ConsultingCompanys!C31</f>
        <v>248888</v>
      </c>
      <c r="S31" s="102" t="str">
        <f t="shared" si="2"/>
        <v>Arkitektgruppen Cubus AS</v>
      </c>
    </row>
    <row r="32" spans="1:19" ht="14" customHeight="1" x14ac:dyDescent="0.15">
      <c r="A32" s="1" t="str">
        <f>IF(ISERROR(VLOOKUP(B32,tbl_ProjectPhases!$C$1:$D$50,2,FALSE))=FALSE(),VLOOKUP(B32,tbl_ProjectPhases!$C$1:$D$50,2,FALSE),"-----")</f>
        <v>-----</v>
      </c>
      <c r="B32" s="1"/>
      <c r="C32" s="1" t="str">
        <f>IF(ISERROR(VLOOKUP(D32,tbl_ProjectTypes!$C$1:$D$50,2,FALSE))=FALSE(),VLOOKUP(D32,tbl_ProjectTypes!$C$1:$D$50,2,FALSE),"-----")</f>
        <v>-----</v>
      </c>
      <c r="D32" s="8"/>
      <c r="E32" s="1" t="str">
        <f>IF(ISERROR(VLOOKUP(F32,tbl_ArchitectofficeCategorys!$C$1:$D$50,2,FALSE))=FALSE(),VLOOKUP(F32,tbl_ArchitectofficeCategorys!$C$1:$D$50,2,FALSE),"-----")</f>
        <v>-----</v>
      </c>
      <c r="I32" t="str">
        <f>tbl_ExternalProjectDBUsers!D24</f>
        <v>Stavanger</v>
      </c>
      <c r="J32">
        <f>tbl_ExternalProjectDBUsers!C24</f>
        <v>235827</v>
      </c>
      <c r="K32" s="102" t="str">
        <f>tbl_ArchitectureOffices!D32</f>
        <v>Anderssen+Fremming AS</v>
      </c>
      <c r="L32" s="102">
        <f>tbl_ArchitectureOffices!C32</f>
        <v>172904</v>
      </c>
      <c r="M32" s="102" t="str">
        <f t="shared" si="0"/>
        <v>Anderssen+Fremming AS</v>
      </c>
      <c r="N32" s="102" t="str">
        <f>tbl_Companys!D32</f>
        <v xml:space="preserve">AF Decom </v>
      </c>
      <c r="O32" s="102">
        <f>tbl_Companys!C32</f>
        <v>178158</v>
      </c>
      <c r="P32" s="102" t="str">
        <f t="shared" si="1"/>
        <v>AF Decom</v>
      </c>
      <c r="Q32" s="102" t="str">
        <f>tbl_ConsultingCompanys!D32</f>
        <v>Arkitektgruppen Drammen AS</v>
      </c>
      <c r="R32" s="102">
        <f>tbl_ConsultingCompanys!C32</f>
        <v>214402</v>
      </c>
      <c r="S32" s="102" t="str">
        <f t="shared" si="2"/>
        <v>Arkitektgruppen Drammen AS</v>
      </c>
    </row>
    <row r="33" spans="1:19" ht="14" x14ac:dyDescent="0.15">
      <c r="A33" s="1" t="str">
        <f>IF(ISERROR(VLOOKUP(B33,tbl_ProjectPhases!$C$1:$D$50,2,FALSE))=FALSE(),VLOOKUP(B33,tbl_ProjectPhases!$C$1:$D$50,2,FALSE),"-----")</f>
        <v>-----</v>
      </c>
      <c r="B33" s="1"/>
      <c r="C33" s="1" t="str">
        <f>IF(ISERROR(VLOOKUP(D33,tbl_ProjectTypes!$C$1:$D$50,2,FALSE))=FALSE(),VLOOKUP(D33,tbl_ProjectTypes!$C$1:$D$50,2,FALSE),"-----")</f>
        <v>-----</v>
      </c>
      <c r="D33" s="8"/>
      <c r="E33" s="1" t="str">
        <f>IF(ISERROR(VLOOKUP(F33,tbl_ArchitectofficeCategorys!$C$1:$D$50,2,FALSE))=FALSE(),VLOOKUP(F33,tbl_ArchitectofficeCategorys!$C$1:$D$50,2,FALSE),"-----")</f>
        <v>-----</v>
      </c>
      <c r="I33" t="str">
        <f>tbl_ExternalProjectDBUsers!D25</f>
        <v>Treteknisk Institutt</v>
      </c>
      <c r="J33">
        <f>tbl_ExternalProjectDBUsers!C25</f>
        <v>241834</v>
      </c>
      <c r="K33" s="102" t="str">
        <f>tbl_ArchitectureOffices!D33</f>
        <v>Andresen Arkitekter AS</v>
      </c>
      <c r="L33" s="102">
        <f>tbl_ArchitectureOffices!C33</f>
        <v>166474</v>
      </c>
      <c r="M33" s="102" t="str">
        <f t="shared" si="0"/>
        <v>Andresen Arkitekter AS</v>
      </c>
      <c r="N33" s="102" t="str">
        <f>tbl_Companys!D33</f>
        <v>AF Decom (riving)</v>
      </c>
      <c r="O33" s="102">
        <f>tbl_Companys!C33</f>
        <v>178924</v>
      </c>
      <c r="P33" s="102" t="str">
        <f t="shared" si="1"/>
        <v>AF Decom (riving)</v>
      </c>
      <c r="Q33" s="102" t="str">
        <f>tbl_ConsultingCompanys!D33</f>
        <v>Arne Aakermann</v>
      </c>
      <c r="R33" s="102">
        <f>tbl_ConsultingCompanys!C33</f>
        <v>160605</v>
      </c>
      <c r="S33" s="102" t="str">
        <f t="shared" si="2"/>
        <v>Arne Aakermann</v>
      </c>
    </row>
    <row r="34" spans="1:19" ht="14" x14ac:dyDescent="0.15">
      <c r="A34" s="1" t="str">
        <f>IF(ISERROR(VLOOKUP(B34,tbl_ProjectPhases!$C$1:$D$50,2,FALSE))=FALSE(),VLOOKUP(B34,tbl_ProjectPhases!$C$1:$D$50,2,FALSE),"-----")</f>
        <v>-----</v>
      </c>
      <c r="B34" s="1"/>
      <c r="C34" s="1" t="str">
        <f>IF(ISERROR(VLOOKUP(D34,tbl_ProjectTypes!$C$1:$D$50,2,FALSE))=FALSE(),VLOOKUP(D34,tbl_ProjectTypes!$C$1:$D$50,2,FALSE),"-----")</f>
        <v>-----</v>
      </c>
      <c r="D34" s="1"/>
      <c r="E34" s="1" t="str">
        <f>IF(ISERROR(VLOOKUP(F34,tbl_ArchitectofficeCategorys!$C$1:$D$50,2,FALSE))=FALSE(),VLOOKUP(F34,tbl_ArchitectofficeCategorys!$C$1:$D$50,2,FALSE),"-----")</f>
        <v>-----</v>
      </c>
      <c r="G34" s="1"/>
      <c r="H34" s="1"/>
      <c r="I34" t="str">
        <f>tbl_ExternalProjectDBUsers!D26</f>
        <v>Tromsø</v>
      </c>
      <c r="J34">
        <f>tbl_ExternalProjectDBUsers!C26</f>
        <v>235836</v>
      </c>
      <c r="K34" s="102" t="str">
        <f>tbl_ArchitectureOffices!D34</f>
        <v>April Arkitekter AS</v>
      </c>
      <c r="L34" s="102">
        <f>tbl_ArchitectureOffices!C34</f>
        <v>166476</v>
      </c>
      <c r="M34" s="102" t="str">
        <f t="shared" si="0"/>
        <v>April Arkitekter AS</v>
      </c>
      <c r="N34" s="102" t="str">
        <f>tbl_Companys!D34</f>
        <v>AF Gruppen</v>
      </c>
      <c r="O34" s="102">
        <f>tbl_Companys!C34</f>
        <v>202450</v>
      </c>
      <c r="P34" s="102" t="str">
        <f t="shared" si="1"/>
        <v>AF Gruppen</v>
      </c>
      <c r="Q34" s="102" t="str">
        <f>tbl_ConsultingCompanys!D34</f>
        <v>Arne Vidar Hegni</v>
      </c>
      <c r="R34" s="102">
        <f>tbl_ConsultingCompanys!C34</f>
        <v>112497</v>
      </c>
      <c r="S34" s="102" t="str">
        <f t="shared" si="2"/>
        <v>Arne Vidar Hegni</v>
      </c>
    </row>
    <row r="35" spans="1:19" ht="14" x14ac:dyDescent="0.15">
      <c r="A35" s="1" t="str">
        <f>IF(ISERROR(VLOOKUP(B35,tbl_ProjectPhases!$C$1:$D$50,2,FALSE))=FALSE(),VLOOKUP(B35,tbl_ProjectPhases!$C$1:$D$50,2,FALSE),"-----")</f>
        <v>-----</v>
      </c>
      <c r="B35" s="1"/>
      <c r="C35" s="1" t="str">
        <f>IF(ISERROR(VLOOKUP(D35,tbl_ProjectTypes!$C$1:$D$50,2,FALSE))=FALSE(),VLOOKUP(D35,tbl_ProjectTypes!$C$1:$D$50,2,FALSE),"-----")</f>
        <v>-----</v>
      </c>
      <c r="D35" s="1"/>
      <c r="E35" s="1" t="str">
        <f>IF(ISERROR(VLOOKUP(F35,tbl_ArchitectofficeCategorys!$C$1:$D$50,2,FALSE))=FALSE(),VLOOKUP(F35,tbl_ArchitectofficeCategorys!$C$1:$D$50,2,FALSE),"-----")</f>
        <v>-----</v>
      </c>
      <c r="G35" s="1"/>
      <c r="H35" s="1"/>
      <c r="I35" t="str">
        <f>tbl_ExternalProjectDBUsers!D27</f>
        <v>Trondheim</v>
      </c>
      <c r="J35">
        <f>tbl_ExternalProjectDBUsers!C27</f>
        <v>235835</v>
      </c>
      <c r="K35" s="102" t="str">
        <f>tbl_ArchitectureOffices!D35</f>
        <v>arc arkitekter as</v>
      </c>
      <c r="L35" s="102">
        <f>tbl_ArchitectureOffices!C35</f>
        <v>172892</v>
      </c>
      <c r="M35" s="102" t="str">
        <f t="shared" si="0"/>
        <v>arc arkitekter as</v>
      </c>
      <c r="N35" s="102" t="str">
        <f>tbl_Companys!D35</f>
        <v>AG Plan og Arkitektur AS</v>
      </c>
      <c r="O35" s="102">
        <f>tbl_Companys!C35</f>
        <v>166449</v>
      </c>
      <c r="P35" s="102" t="str">
        <f t="shared" si="1"/>
        <v>AG Plan og Arkitektur AS</v>
      </c>
      <c r="Q35" s="102" t="str">
        <f>tbl_ConsultingCompanys!D35</f>
        <v>Arne Wikholm AS</v>
      </c>
      <c r="R35" s="102">
        <f>tbl_ConsultingCompanys!C35</f>
        <v>110769</v>
      </c>
      <c r="S35" s="102" t="str">
        <f t="shared" si="2"/>
        <v>Arne Wikholm AS</v>
      </c>
    </row>
    <row r="36" spans="1:19" ht="14" x14ac:dyDescent="0.15">
      <c r="A36" s="1" t="str">
        <f>IF(ISERROR(VLOOKUP(B36,tbl_ProjectPhases!$C$1:$D$50,2,FALSE))=FALSE(),VLOOKUP(B36,tbl_ProjectPhases!$C$1:$D$50,2,FALSE),"-----")</f>
        <v>-----</v>
      </c>
      <c r="B36" s="1"/>
      <c r="C36" s="1" t="str">
        <f>IF(ISERROR(VLOOKUP(D36,tbl_ProjectTypes!$C$1:$D$50,2,FALSE))=FALSE(),VLOOKUP(D36,tbl_ProjectTypes!$C$1:$D$50,2,FALSE),"-----")</f>
        <v>-----</v>
      </c>
      <c r="D36" s="1"/>
      <c r="E36" s="1" t="str">
        <f>IF(ISERROR(VLOOKUP(F36,tbl_ArchitectofficeCategorys!$C$1:$D$50,2,FALSE))=FALSE(),VLOOKUP(F36,tbl_ArchitectofficeCategorys!$C$1:$D$50,2,FALSE),"-----")</f>
        <v>-----</v>
      </c>
      <c r="G36" s="1"/>
      <c r="H36" s="1"/>
      <c r="I36" t="str">
        <f>tbl_ExternalProjectDBUsers!D28</f>
        <v>Virke</v>
      </c>
      <c r="J36">
        <f>tbl_ExternalProjectDBUsers!C28</f>
        <v>241811</v>
      </c>
      <c r="K36" s="102" t="str">
        <f>tbl_ArchitectureOffices!D36</f>
        <v>ARC arkitektur AS</v>
      </c>
      <c r="L36" s="102">
        <f>tbl_ArchitectureOffices!C36</f>
        <v>248768</v>
      </c>
      <c r="M36" s="102" t="str">
        <f t="shared" si="0"/>
        <v>ARC arkitektur AS</v>
      </c>
      <c r="N36" s="102" t="str">
        <f>tbl_Companys!D36</f>
        <v>Aga Arkitekter AS</v>
      </c>
      <c r="O36" s="102">
        <f>tbl_Companys!C36</f>
        <v>166181</v>
      </c>
      <c r="P36" s="102" t="str">
        <f t="shared" si="1"/>
        <v>Aga Arkitekter AS</v>
      </c>
      <c r="Q36" s="102" t="str">
        <f>tbl_ConsultingCompanys!D36</f>
        <v>Artec AS</v>
      </c>
      <c r="R36" s="102">
        <f>tbl_ConsultingCompanys!C36</f>
        <v>247296</v>
      </c>
      <c r="S36" s="102" t="str">
        <f t="shared" si="2"/>
        <v>Artec AS</v>
      </c>
    </row>
    <row r="37" spans="1:19" ht="14" x14ac:dyDescent="0.15">
      <c r="A37" s="1" t="str">
        <f>IF(ISERROR(VLOOKUP(B37,tbl_ProjectPhases!$C$1:$D$50,2,FALSE))=FALSE(),VLOOKUP(B37,tbl_ProjectPhases!$C$1:$D$50,2,FALSE),"-----")</f>
        <v>-----</v>
      </c>
      <c r="B37" s="1"/>
      <c r="C37" s="1" t="str">
        <f>IF(ISERROR(VLOOKUP(D37,tbl_ProjectTypes!$C$1:$D$50,2,FALSE))=FALSE(),VLOOKUP(D37,tbl_ProjectTypes!$C$1:$D$50,2,FALSE),"-----")</f>
        <v>-----</v>
      </c>
      <c r="E37" s="1" t="str">
        <f>IF(ISERROR(VLOOKUP(F37,tbl_ArchitectofficeCategorys!$C$1:$D$50,2,FALSE))=FALSE(),VLOOKUP(F37,tbl_ArchitectofficeCategorys!$C$1:$D$50,2,FALSE),"-----")</f>
        <v>-----</v>
      </c>
      <c r="G37" s="1"/>
      <c r="H37" s="1"/>
      <c r="I37">
        <f>tbl_ExternalProjectDBUsers!D29</f>
        <v>0</v>
      </c>
      <c r="J37">
        <f>tbl_ExternalProjectDBUsers!C29</f>
        <v>0</v>
      </c>
      <c r="K37" s="102" t="str">
        <f>tbl_ArchitectureOffices!D37</f>
        <v>Arcasa arkitekter AS</v>
      </c>
      <c r="L37" s="102">
        <f>tbl_ArchitectureOffices!C37</f>
        <v>166511</v>
      </c>
      <c r="M37" s="102" t="str">
        <f t="shared" si="0"/>
        <v>Arcasa arkitekter AS</v>
      </c>
      <c r="N37" s="102" t="str">
        <f>tbl_Companys!D37</f>
        <v>Agathon Borgen AS</v>
      </c>
      <c r="O37" s="102">
        <f>tbl_Companys!C37</f>
        <v>247607</v>
      </c>
      <c r="P37" s="102" t="str">
        <f t="shared" si="1"/>
        <v>Agathon Borgen AS</v>
      </c>
      <c r="Q37" s="102" t="str">
        <f>tbl_ConsultingCompanys!D37</f>
        <v>AS Anlegg</v>
      </c>
      <c r="R37" s="102">
        <f>tbl_ConsultingCompanys!C37</f>
        <v>110996</v>
      </c>
      <c r="S37" s="102" t="str">
        <f t="shared" si="2"/>
        <v>AS Anlegg</v>
      </c>
    </row>
    <row r="38" spans="1:19" ht="14" x14ac:dyDescent="0.15">
      <c r="A38" s="1" t="str">
        <f>IF(ISERROR(VLOOKUP(B38,tbl_ProjectPhases!$C$1:$D$50,2,FALSE))=FALSE(),VLOOKUP(B38,tbl_ProjectPhases!$C$1:$D$50,2,FALSE),"-----")</f>
        <v>-----</v>
      </c>
      <c r="B38" s="1"/>
      <c r="C38" s="1" t="str">
        <f>IF(ISERROR(VLOOKUP(D38,tbl_ProjectTypes!$C$1:$D$50,2,FALSE))=FALSE(),VLOOKUP(D38,tbl_ProjectTypes!$C$1:$D$50,2,FALSE),"-----")</f>
        <v>-----</v>
      </c>
      <c r="E38" s="1" t="str">
        <f>IF(ISERROR(VLOOKUP(F38,tbl_ArchitectofficeCategorys!$C$1:$D$50,2,FALSE))=FALSE(),VLOOKUP(F38,tbl_ArchitectofficeCategorys!$C$1:$D$50,2,FALSE),"-----")</f>
        <v>-----</v>
      </c>
      <c r="G38" s="1"/>
      <c r="H38" s="1"/>
      <c r="I38">
        <f>tbl_ExternalProjectDBUsers!D30</f>
        <v>0</v>
      </c>
      <c r="J38">
        <f>tbl_ExternalProjectDBUsers!C30</f>
        <v>0</v>
      </c>
      <c r="K38" s="102" t="str">
        <f>tbl_ArchitectureOffices!D38</f>
        <v>Arc-ess AS</v>
      </c>
      <c r="L38" s="102">
        <f>tbl_ArchitectureOffices!C38</f>
        <v>166480</v>
      </c>
      <c r="M38" s="102" t="str">
        <f t="shared" si="0"/>
        <v>Arc-ess AS</v>
      </c>
      <c r="N38" s="102" t="str">
        <f>tbl_Companys!D38</f>
        <v>Agraff - arkitekter</v>
      </c>
      <c r="O38" s="102">
        <f>tbl_Companys!C38</f>
        <v>244138</v>
      </c>
      <c r="P38" s="102" t="str">
        <f t="shared" si="1"/>
        <v>Agraff - arkitekter</v>
      </c>
      <c r="Q38" s="102" t="str">
        <f>tbl_ConsultingCompanys!D38</f>
        <v>AS Frederiksen</v>
      </c>
      <c r="R38" s="102">
        <f>tbl_ConsultingCompanys!C38</f>
        <v>98695</v>
      </c>
      <c r="S38" s="102" t="str">
        <f t="shared" si="2"/>
        <v>AS Frederiksen</v>
      </c>
    </row>
    <row r="39" spans="1:19" ht="14" x14ac:dyDescent="0.15">
      <c r="A39" s="1" t="str">
        <f>IF(ISERROR(VLOOKUP(B39,tbl_ProjectPhases!$C$1:$D$50,2,FALSE))=FALSE(),VLOOKUP(B39,tbl_ProjectPhases!$C$1:$D$50,2,FALSE),"-----")</f>
        <v>-----</v>
      </c>
      <c r="B39" s="1"/>
      <c r="C39" s="1" t="str">
        <f>IF(ISERROR(VLOOKUP(D39,tbl_ProjectTypes!$C$1:$D$50,2,FALSE))=FALSE(),VLOOKUP(D39,tbl_ProjectTypes!$C$1:$D$50,2,FALSE),"-----")</f>
        <v>-----</v>
      </c>
      <c r="E39" s="1" t="str">
        <f>IF(ISERROR(VLOOKUP(F39,tbl_ArchitectofficeCategorys!$C$1:$D$50,2,FALSE))=FALSE(),VLOOKUP(F39,tbl_ArchitectofficeCategorys!$C$1:$D$50,2,FALSE),"-----")</f>
        <v>-----</v>
      </c>
      <c r="G39" s="1"/>
      <c r="H39" s="1"/>
      <c r="I39">
        <f>tbl_ExternalProjectDBUsers!D31</f>
        <v>0</v>
      </c>
      <c r="J39">
        <f>tbl_ExternalProjectDBUsers!C31</f>
        <v>0</v>
      </c>
      <c r="K39" s="102" t="str">
        <f>tbl_ArchitectureOffices!D39</f>
        <v>Arch Uno AS</v>
      </c>
      <c r="L39" s="102">
        <f>tbl_ArchitectureOffices!C39</f>
        <v>166482</v>
      </c>
      <c r="M39" s="102" t="str">
        <f t="shared" si="0"/>
        <v>Arch Uno AS</v>
      </c>
      <c r="N39" s="102" t="str">
        <f>tbl_Companys!D39</f>
        <v>Agraff AS</v>
      </c>
      <c r="O39" s="102">
        <f>tbl_Companys!C39</f>
        <v>166453</v>
      </c>
      <c r="P39" s="102" t="str">
        <f t="shared" si="1"/>
        <v>Agraff AS</v>
      </c>
      <c r="Q39" s="102" t="str">
        <f>tbl_ConsultingCompanys!D39</f>
        <v>As Luft Miljø (RIV)</v>
      </c>
      <c r="R39" s="102">
        <f>tbl_ConsultingCompanys!C39</f>
        <v>215426</v>
      </c>
      <c r="S39" s="102" t="str">
        <f t="shared" si="2"/>
        <v>As Luft Miljø (RIV)</v>
      </c>
    </row>
    <row r="40" spans="1:19" ht="14" x14ac:dyDescent="0.15">
      <c r="A40" s="1" t="str">
        <f>IF(ISERROR(VLOOKUP(B40,tbl_ProjectPhases!$C$1:$D$50,2,FALSE))=FALSE(),VLOOKUP(B40,tbl_ProjectPhases!$C$1:$D$50,2,FALSE),"-----")</f>
        <v>-----</v>
      </c>
      <c r="B40" s="1"/>
      <c r="C40" s="1" t="str">
        <f>IF(ISERROR(VLOOKUP(D40,tbl_ProjectTypes!$C$1:$D$50,2,FALSE))=FALSE(),VLOOKUP(D40,tbl_ProjectTypes!$C$1:$D$50,2,FALSE),"-----")</f>
        <v>-----</v>
      </c>
      <c r="E40" s="1" t="str">
        <f>IF(ISERROR(VLOOKUP(F40,tbl_ArchitectofficeCategorys!$C$1:$D$50,2,FALSE))=FALSE(),VLOOKUP(F40,tbl_ArchitectofficeCategorys!$C$1:$D$50,2,FALSE),"-----")</f>
        <v>-----</v>
      </c>
      <c r="G40" s="1"/>
      <c r="H40" s="1"/>
      <c r="I40">
        <f>tbl_ExternalProjectDBUsers!D32</f>
        <v>0</v>
      </c>
      <c r="J40">
        <f>tbl_ExternalProjectDBUsers!C32</f>
        <v>0</v>
      </c>
      <c r="K40" s="102" t="str">
        <f>tbl_ArchitectureOffices!D40</f>
        <v>Architectopia AS</v>
      </c>
      <c r="L40" s="102">
        <f>tbl_ArchitectureOffices!C40</f>
        <v>210153</v>
      </c>
      <c r="M40" s="102" t="str">
        <f t="shared" si="0"/>
        <v>Architectopia AS</v>
      </c>
      <c r="N40" s="102" t="str">
        <f>tbl_Companys!D40</f>
        <v>AKC Arkitekter AS</v>
      </c>
      <c r="O40" s="102">
        <f>tbl_Companys!C40</f>
        <v>166455</v>
      </c>
      <c r="P40" s="102" t="str">
        <f t="shared" si="1"/>
        <v>AKC Arkitekter AS</v>
      </c>
      <c r="Q40" s="102" t="str">
        <f>tbl_ConsultingCompanys!D40</f>
        <v>AS Olaussen Rådg. Ingeniørkontor</v>
      </c>
      <c r="R40" s="102">
        <f>tbl_ConsultingCompanys!C40</f>
        <v>112298</v>
      </c>
      <c r="S40" s="102" t="str">
        <f t="shared" si="2"/>
        <v>AS Olaussen Rådg. Ingeniørkontor</v>
      </c>
    </row>
    <row r="41" spans="1:19" ht="14" x14ac:dyDescent="0.15">
      <c r="A41" s="1" t="str">
        <f>IF(ISERROR(VLOOKUP(B41,tbl_ProjectPhases!$C$1:$D$50,2,FALSE))=FALSE(),VLOOKUP(B41,tbl_ProjectPhases!$C$1:$D$50,2,FALSE),"-----")</f>
        <v>-----</v>
      </c>
      <c r="B41" s="1"/>
      <c r="C41" s="1" t="str">
        <f>IF(ISERROR(VLOOKUP(D41,tbl_ProjectTypes!$C$1:$D$50,2,FALSE))=FALSE(),VLOOKUP(D41,tbl_ProjectTypes!$C$1:$D$50,2,FALSE),"-----")</f>
        <v>-----</v>
      </c>
      <c r="E41" s="1" t="str">
        <f>IF(ISERROR(VLOOKUP(F41,tbl_ArchitectofficeCategorys!$C$1:$D$50,2,FALSE))=FALSE(),VLOOKUP(F41,tbl_ArchitectofficeCategorys!$C$1:$D$50,2,FALSE),"-----")</f>
        <v>-----</v>
      </c>
      <c r="G41" s="1"/>
      <c r="H41" s="1"/>
      <c r="I41">
        <f>tbl_ExternalProjectDBUsers!D33</f>
        <v>0</v>
      </c>
      <c r="J41">
        <f>tbl_ExternalProjectDBUsers!C33</f>
        <v>0</v>
      </c>
      <c r="K41" s="102" t="str">
        <f>tbl_ArchitectureOffices!D41</f>
        <v>Archus Arkitekter AS</v>
      </c>
      <c r="L41" s="102">
        <f>tbl_ArchitectureOffices!C41</f>
        <v>166483</v>
      </c>
      <c r="M41" s="102" t="str">
        <f t="shared" si="0"/>
        <v>Archus Arkitekter AS</v>
      </c>
      <c r="N41" s="102" t="str">
        <f>tbl_Companys!D41</f>
        <v>Aktiv Arena</v>
      </c>
      <c r="O41" s="102">
        <f>tbl_Companys!C41</f>
        <v>192374</v>
      </c>
      <c r="P41" s="102" t="str">
        <f t="shared" si="1"/>
        <v>Aktiv Arena</v>
      </c>
      <c r="Q41" s="102" t="str">
        <f>tbl_ConsultingCompanys!D41</f>
        <v>Asker kommune</v>
      </c>
      <c r="R41" s="102">
        <f>tbl_ConsultingCompanys!C41</f>
        <v>160579</v>
      </c>
      <c r="S41" s="102" t="str">
        <f t="shared" si="2"/>
        <v>Asker kommune</v>
      </c>
    </row>
    <row r="42" spans="1:19" ht="14" x14ac:dyDescent="0.15">
      <c r="A42" s="1" t="str">
        <f>IF(ISERROR(VLOOKUP(B42,tbl_ProjectPhases!$C$1:$D$50,2,FALSE))=FALSE(),VLOOKUP(B42,tbl_ProjectPhases!$C$1:$D$50,2,FALSE),"-----")</f>
        <v>-----</v>
      </c>
      <c r="B42" s="1"/>
      <c r="C42" s="1" t="str">
        <f>IF(ISERROR(VLOOKUP(D42,tbl_ProjectTypes!$C$1:$D$50,2,FALSE))=FALSE(),VLOOKUP(D42,tbl_ProjectTypes!$C$1:$D$50,2,FALSE),"-----")</f>
        <v>-----</v>
      </c>
      <c r="E42" s="1" t="str">
        <f>IF(ISERROR(VLOOKUP(F42,tbl_ArchitectofficeCategorys!$C$1:$D$50,2,FALSE))=FALSE(),VLOOKUP(F42,tbl_ArchitectofficeCategorys!$C$1:$D$50,2,FALSE),"-----")</f>
        <v>-----</v>
      </c>
      <c r="G42" s="1"/>
      <c r="H42" s="1"/>
      <c r="I42">
        <f>tbl_ExternalProjectDBUsers!D34</f>
        <v>0</v>
      </c>
      <c r="J42">
        <f>tbl_ExternalProjectDBUsers!C34</f>
        <v>0</v>
      </c>
      <c r="K42" s="102" t="str">
        <f>tbl_ArchitectureOffices!D42</f>
        <v>Arcon Prosjekt AS</v>
      </c>
      <c r="L42" s="102">
        <f>tbl_ArchitectureOffices!C42</f>
        <v>172880</v>
      </c>
      <c r="M42" s="102" t="str">
        <f t="shared" si="0"/>
        <v>Arcon Prosjekt AS</v>
      </c>
      <c r="N42" s="102" t="str">
        <f>tbl_Companys!D42</f>
        <v>Aktivhus AS</v>
      </c>
      <c r="O42" s="102">
        <f>tbl_Companys!C42</f>
        <v>230176</v>
      </c>
      <c r="P42" s="102" t="str">
        <f t="shared" si="1"/>
        <v>Aktivhus AS</v>
      </c>
      <c r="Q42" s="102" t="str">
        <f>tbl_ConsultingCompanys!D42</f>
        <v>Aso (Arne Olaussen)</v>
      </c>
      <c r="R42" s="102">
        <f>tbl_ConsultingCompanys!C42</f>
        <v>162893</v>
      </c>
      <c r="S42" s="102" t="str">
        <f t="shared" si="2"/>
        <v>Aso (Arne Olaussen)</v>
      </c>
    </row>
    <row r="43" spans="1:19" ht="14" x14ac:dyDescent="0.15">
      <c r="A43" s="1" t="str">
        <f>IF(ISERROR(VLOOKUP(B43,tbl_ProjectPhases!$C$1:$D$50,2,FALSE))=FALSE(),VLOOKUP(B43,tbl_ProjectPhases!$C$1:$D$50,2,FALSE),"-----")</f>
        <v>-----</v>
      </c>
      <c r="B43" s="1"/>
      <c r="C43" s="1" t="str">
        <f>IF(ISERROR(VLOOKUP(D43,tbl_ProjectTypes!$C$1:$D$50,2,FALSE))=FALSE(),VLOOKUP(D43,tbl_ProjectTypes!$C$1:$D$50,2,FALSE),"-----")</f>
        <v>-----</v>
      </c>
      <c r="E43" s="1" t="str">
        <f>IF(ISERROR(VLOOKUP(F43,tbl_ArchitectofficeCategorys!$C$1:$D$50,2,FALSE))=FALSE(),VLOOKUP(F43,tbl_ArchitectofficeCategorys!$C$1:$D$50,2,FALSE),"-----")</f>
        <v>-----</v>
      </c>
      <c r="G43" s="1"/>
      <c r="H43" s="1"/>
      <c r="I43">
        <f>tbl_ExternalProjectDBUsers!D35</f>
        <v>0</v>
      </c>
      <c r="J43">
        <f>tbl_ExternalProjectDBUsers!C35</f>
        <v>0</v>
      </c>
      <c r="K43" s="102" t="str">
        <f>tbl_ArchitectureOffices!D43</f>
        <v>Ario as</v>
      </c>
      <c r="L43" s="102">
        <f>tbl_ArchitectureOffices!C43</f>
        <v>166486</v>
      </c>
      <c r="M43" s="102" t="str">
        <f t="shared" si="0"/>
        <v>Ario as</v>
      </c>
      <c r="N43" s="102" t="str">
        <f>tbl_Companys!D43</f>
        <v>AL Høyer Skien AS</v>
      </c>
      <c r="O43" s="102">
        <f>tbl_Companys!C43</f>
        <v>121313</v>
      </c>
      <c r="P43" s="102" t="str">
        <f t="shared" si="1"/>
        <v>AL Høyer Skien AS</v>
      </c>
      <c r="Q43" s="102" t="str">
        <f>tbl_ConsultingCompanys!D43</f>
        <v>Aspelin Ramm</v>
      </c>
      <c r="R43" s="102">
        <f>tbl_ConsultingCompanys!C43</f>
        <v>205922</v>
      </c>
      <c r="S43" s="102" t="str">
        <f t="shared" si="2"/>
        <v>Aspelin Ramm</v>
      </c>
    </row>
    <row r="44" spans="1:19" ht="14" x14ac:dyDescent="0.15">
      <c r="A44" s="1" t="str">
        <f>IF(ISERROR(VLOOKUP(B44,tbl_ProjectPhases!$C$1:$D$50,2,FALSE))=FALSE(),VLOOKUP(B44,tbl_ProjectPhases!$C$1:$D$50,2,FALSE),"-----")</f>
        <v>-----</v>
      </c>
      <c r="B44" s="1"/>
      <c r="C44" s="1" t="str">
        <f>IF(ISERROR(VLOOKUP(D44,tbl_ProjectTypes!$C$1:$D$50,2,FALSE))=FALSE(),VLOOKUP(D44,tbl_ProjectTypes!$C$1:$D$50,2,FALSE),"-----")</f>
        <v>-----</v>
      </c>
      <c r="D44" s="1"/>
      <c r="E44" s="1" t="str">
        <f>IF(ISERROR(VLOOKUP(F44,tbl_ArchitectofficeCategorys!$C$1:$D$50,2,FALSE))=FALSE(),VLOOKUP(F44,tbl_ArchitectofficeCategorys!$C$1:$D$50,2,FALSE),"-----")</f>
        <v>-----</v>
      </c>
      <c r="G44" s="1"/>
      <c r="H44" s="1"/>
      <c r="I44">
        <f>tbl_ExternalProjectDBUsers!D36</f>
        <v>0</v>
      </c>
      <c r="J44">
        <f>tbl_ExternalProjectDBUsers!C36</f>
        <v>0</v>
      </c>
      <c r="K44" s="102" t="str">
        <f>tbl_ArchitectureOffices!D44</f>
        <v>Arkade Arkitektkontor AS</v>
      </c>
      <c r="L44" s="102">
        <f>tbl_ArchitectureOffices!C44</f>
        <v>245661</v>
      </c>
      <c r="M44" s="102" t="str">
        <f t="shared" si="0"/>
        <v>Arkade Arkitektkontor AS</v>
      </c>
      <c r="N44" s="102" t="str">
        <f>tbl_Companys!D44</f>
        <v>a-lab as</v>
      </c>
      <c r="O44" s="102">
        <f>tbl_Companys!C44</f>
        <v>166183</v>
      </c>
      <c r="P44" s="102" t="str">
        <f t="shared" si="1"/>
        <v>a-lab as</v>
      </c>
      <c r="Q44" s="102" t="str">
        <f>tbl_ConsultingCompanys!D44</f>
        <v>Asplan Viak</v>
      </c>
      <c r="R44" s="102">
        <f>tbl_ConsultingCompanys!C44</f>
        <v>103330</v>
      </c>
      <c r="S44" s="102" t="str">
        <f t="shared" si="2"/>
        <v>Asplan Viak</v>
      </c>
    </row>
    <row r="45" spans="1:19" ht="14" x14ac:dyDescent="0.15">
      <c r="A45" s="1" t="str">
        <f>IF(ISERROR(VLOOKUP(B45,tbl_ProjectPhases!$C$1:$D$50,2,FALSE))=FALSE(),VLOOKUP(B45,tbl_ProjectPhases!$C$1:$D$50,2,FALSE),"-----")</f>
        <v>-----</v>
      </c>
      <c r="B45" s="1"/>
      <c r="C45" s="1" t="str">
        <f>IF(ISERROR(VLOOKUP(D45,tbl_ProjectTypes!$C$1:$D$50,2,FALSE))=FALSE(),VLOOKUP(D45,tbl_ProjectTypes!$C$1:$D$50,2,FALSE),"-----")</f>
        <v>-----</v>
      </c>
      <c r="D45" s="1"/>
      <c r="E45" s="1" t="str">
        <f>IF(ISERROR(VLOOKUP(F45,tbl_ArchitectofficeCategorys!$C$1:$D$50,2,FALSE))=FALSE(),VLOOKUP(F45,tbl_ArchitectofficeCategorys!$C$1:$D$50,2,FALSE),"-----")</f>
        <v>-----</v>
      </c>
      <c r="G45" s="1"/>
      <c r="H45" s="1"/>
      <c r="I45">
        <f>tbl_ExternalProjectDBUsers!D37</f>
        <v>0</v>
      </c>
      <c r="J45">
        <f>tbl_ExternalProjectDBUsers!C37</f>
        <v>0</v>
      </c>
      <c r="K45" s="102" t="str">
        <f>tbl_ArchitectureOffices!D45</f>
        <v>Arkadia Arkitekter AS</v>
      </c>
      <c r="L45" s="102">
        <f>tbl_ArchitectureOffices!C45</f>
        <v>166487</v>
      </c>
      <c r="M45" s="102" t="str">
        <f t="shared" si="0"/>
        <v>Arkadia Arkitekter AS</v>
      </c>
      <c r="N45" s="102" t="str">
        <f>tbl_Companys!D45</f>
        <v>Alliance arkitekter AS</v>
      </c>
      <c r="O45" s="102">
        <f>tbl_Companys!C45</f>
        <v>166456</v>
      </c>
      <c r="P45" s="102" t="str">
        <f t="shared" si="1"/>
        <v>Alliance arkitekter AS</v>
      </c>
      <c r="Q45" s="102" t="str">
        <f>tbl_ConsultingCompanys!D45</f>
        <v>Asplan Viak as - KanEnergi</v>
      </c>
      <c r="R45" s="102">
        <f>tbl_ConsultingCompanys!C45</f>
        <v>217374</v>
      </c>
      <c r="S45" s="102" t="str">
        <f t="shared" si="2"/>
        <v>Asplan Viak as - KanEnergi</v>
      </c>
    </row>
    <row r="46" spans="1:19" ht="14" x14ac:dyDescent="0.15">
      <c r="A46" s="1" t="str">
        <f>IF(ISERROR(VLOOKUP(B46,tbl_ProjectPhases!$C$1:$D$50,2,FALSE))=FALSE(),VLOOKUP(B46,tbl_ProjectPhases!$C$1:$D$50,2,FALSE),"-----")</f>
        <v>-----</v>
      </c>
      <c r="B46" s="1"/>
      <c r="C46" s="1" t="str">
        <f>IF(ISERROR(VLOOKUP(D46,tbl_ProjectTypes!$C$1:$D$50,2,FALSE))=FALSE(),VLOOKUP(D46,tbl_ProjectTypes!$C$1:$D$50,2,FALSE),"-----")</f>
        <v>-----</v>
      </c>
      <c r="D46" s="1"/>
      <c r="E46" s="1" t="str">
        <f>IF(ISERROR(VLOOKUP(F46,tbl_ArchitectofficeCategorys!$C$1:$D$50,2,FALSE))=FALSE(),VLOOKUP(F46,tbl_ArchitectofficeCategorys!$C$1:$D$50,2,FALSE),"-----")</f>
        <v>-----</v>
      </c>
      <c r="G46" s="1"/>
      <c r="H46" s="1"/>
      <c r="I46">
        <f>tbl_ExternalProjectDBUsers!D38</f>
        <v>0</v>
      </c>
      <c r="J46">
        <f>tbl_ExternalProjectDBUsers!C38</f>
        <v>0</v>
      </c>
      <c r="K46" s="102" t="str">
        <f>tbl_ArchitectureOffices!D46</f>
        <v xml:space="preserve">Arken AS, Arkitektkontoret </v>
      </c>
      <c r="L46" s="102">
        <f>tbl_ArchitectureOffices!C46</f>
        <v>166490</v>
      </c>
      <c r="M46" s="102" t="str">
        <f t="shared" si="0"/>
        <v>Arken AS, Arkitektkontoret</v>
      </c>
      <c r="N46" s="102" t="str">
        <f>tbl_Companys!D46</f>
        <v>Allsidig Arkitekt</v>
      </c>
      <c r="O46" s="102">
        <f>tbl_Companys!C46</f>
        <v>243404</v>
      </c>
      <c r="P46" s="102" t="str">
        <f t="shared" si="1"/>
        <v>Allsidig Arkitekt</v>
      </c>
      <c r="Q46" s="102" t="str">
        <f>tbl_ConsultingCompanys!D46</f>
        <v>Atelier Dreiseitl</v>
      </c>
      <c r="R46" s="102">
        <f>tbl_ConsultingCompanys!C46</f>
        <v>193820</v>
      </c>
      <c r="S46" s="102" t="str">
        <f t="shared" si="2"/>
        <v>Atelier Dreiseitl</v>
      </c>
    </row>
    <row r="47" spans="1:19" ht="14" x14ac:dyDescent="0.15">
      <c r="A47" s="1" t="str">
        <f>IF(ISERROR(VLOOKUP(B47,tbl_ProjectPhases!$C$1:$D$50,2,FALSE))=FALSE(),VLOOKUP(B47,tbl_ProjectPhases!$C$1:$D$50,2,FALSE),"-----")</f>
        <v>-----</v>
      </c>
      <c r="B47" s="1"/>
      <c r="C47" s="1" t="str">
        <f>IF(ISERROR(VLOOKUP(D47,tbl_ProjectTypes!$C$1:$D$50,2,FALSE))=FALSE(),VLOOKUP(D47,tbl_ProjectTypes!$C$1:$D$50,2,FALSE),"-----")</f>
        <v>-----</v>
      </c>
      <c r="D47" s="1"/>
      <c r="E47" s="1" t="str">
        <f>IF(ISERROR(VLOOKUP(F47,tbl_ArchitectofficeCategorys!$C$1:$D$50,2,FALSE))=FALSE(),VLOOKUP(F47,tbl_ArchitectofficeCategorys!$C$1:$D$50,2,FALSE),"-----")</f>
        <v>-----</v>
      </c>
      <c r="G47" s="1"/>
      <c r="H47" s="1"/>
      <c r="I47">
        <f>tbl_ExternalProjectDBUsers!D39</f>
        <v>0</v>
      </c>
      <c r="J47">
        <f>tbl_ExternalProjectDBUsers!C39</f>
        <v>0</v>
      </c>
      <c r="K47" s="102" t="str">
        <f>tbl_ArchitectureOffices!D47</f>
        <v>Arkidea AS</v>
      </c>
      <c r="L47" s="102">
        <f>tbl_ArchitectureOffices!C47</f>
        <v>166491</v>
      </c>
      <c r="M47" s="102" t="str">
        <f t="shared" si="0"/>
        <v>Arkidea AS</v>
      </c>
      <c r="N47" s="102" t="str">
        <f>tbl_Companys!D47</f>
        <v>alt arkitektur as</v>
      </c>
      <c r="O47" s="102">
        <f>tbl_Companys!C47</f>
        <v>166461</v>
      </c>
      <c r="P47" s="102" t="str">
        <f t="shared" si="1"/>
        <v>alt arkitektur as</v>
      </c>
      <c r="Q47" s="102" t="str">
        <f>tbl_ConsultingCompanys!D47</f>
        <v>Atlant Entreprenør AS</v>
      </c>
      <c r="R47" s="102">
        <f>tbl_ConsultingCompanys!C47</f>
        <v>245544</v>
      </c>
      <c r="S47" s="102" t="str">
        <f t="shared" si="2"/>
        <v>Atlant Entreprenør AS</v>
      </c>
    </row>
    <row r="48" spans="1:19" ht="14" x14ac:dyDescent="0.15">
      <c r="A48" s="1" t="str">
        <f>IF(ISERROR(VLOOKUP(B48,tbl_ProjectPhases!$C$1:$D$50,2,FALSE))=FALSE(),VLOOKUP(B48,tbl_ProjectPhases!$C$1:$D$50,2,FALSE),"-----")</f>
        <v>-----</v>
      </c>
      <c r="B48" s="1"/>
      <c r="C48" s="1" t="str">
        <f>IF(ISERROR(VLOOKUP(D48,tbl_ProjectTypes!$C$1:$D$50,2,FALSE))=FALSE(),VLOOKUP(D48,tbl_ProjectTypes!$C$1:$D$50,2,FALSE),"-----")</f>
        <v>-----</v>
      </c>
      <c r="D48" s="1"/>
      <c r="E48" s="1" t="str">
        <f>IF(ISERROR(VLOOKUP(F48,tbl_ArchitectofficeCategorys!$C$1:$D$50,2,FALSE))=FALSE(),VLOOKUP(F48,tbl_ArchitectofficeCategorys!$C$1:$D$50,2,FALSE),"-----")</f>
        <v>-----</v>
      </c>
      <c r="G48" s="1"/>
      <c r="H48" s="1"/>
      <c r="I48">
        <f>tbl_ExternalProjectDBUsers!D40</f>
        <v>0</v>
      </c>
      <c r="J48">
        <f>tbl_ExternalProjectDBUsers!C40</f>
        <v>0</v>
      </c>
      <c r="K48" s="102" t="str">
        <f>tbl_ArchitectureOffices!D48</f>
        <v>Arkideco as</v>
      </c>
      <c r="L48" s="102">
        <f>tbl_ArchitectureOffices!C48</f>
        <v>172582</v>
      </c>
      <c r="M48" s="102" t="str">
        <f t="shared" si="0"/>
        <v>Arkideco as</v>
      </c>
      <c r="N48" s="102" t="str">
        <f>tbl_Companys!D48</f>
        <v>Alta Rør AS</v>
      </c>
      <c r="O48" s="102">
        <f>tbl_Companys!C48</f>
        <v>247732</v>
      </c>
      <c r="P48" s="102" t="str">
        <f t="shared" si="1"/>
        <v>Alta Rør AS</v>
      </c>
      <c r="Q48" s="102" t="str">
        <f>tbl_ConsultingCompanys!D48</f>
        <v>Aust Agder Fylkeskommune / Risør Videregående skole</v>
      </c>
      <c r="R48" s="102">
        <f>tbl_ConsultingCompanys!C48</f>
        <v>203391</v>
      </c>
      <c r="S48" s="102" t="str">
        <f t="shared" si="2"/>
        <v>Aust Agder Fylkeskommune / Risør Videregående skole</v>
      </c>
    </row>
    <row r="49" spans="1:19" ht="14" x14ac:dyDescent="0.15">
      <c r="A49" s="1" t="str">
        <f>IF(ISERROR(VLOOKUP(B49,tbl_ProjectPhases!$C$1:$D$50,2,FALSE))=FALSE(),VLOOKUP(B49,tbl_ProjectPhases!$C$1:$D$50,2,FALSE),"-----")</f>
        <v>-----</v>
      </c>
      <c r="B49" s="1"/>
      <c r="C49" s="1" t="str">
        <f>IF(ISERROR(VLOOKUP(D49,tbl_ProjectTypes!$C$1:$D$50,2,FALSE))=FALSE(),VLOOKUP(D49,tbl_ProjectTypes!$C$1:$D$50,2,FALSE),"-----")</f>
        <v>-----</v>
      </c>
      <c r="D49" s="1"/>
      <c r="E49" s="1" t="str">
        <f>IF(ISERROR(VLOOKUP(F49,tbl_ArchitectofficeCategorys!$C$1:$D$50,2,FALSE))=FALSE(),VLOOKUP(F49,tbl_ArchitectofficeCategorys!$C$1:$D$50,2,FALSE),"-----")</f>
        <v>-----</v>
      </c>
      <c r="G49" s="1"/>
      <c r="H49" s="1"/>
      <c r="K49" s="102" t="str">
        <f>tbl_ArchitectureOffices!D49</f>
        <v>ArkiForum AS</v>
      </c>
      <c r="L49" s="102">
        <f>tbl_ArchitectureOffices!C49</f>
        <v>166492</v>
      </c>
      <c r="M49" s="102" t="str">
        <f t="shared" si="0"/>
        <v>ArkiForum AS</v>
      </c>
      <c r="N49" s="102" t="str">
        <f>tbl_Companys!D49</f>
        <v>Alvdal trelast</v>
      </c>
      <c r="O49" s="102">
        <f>tbl_Companys!C49</f>
        <v>232353</v>
      </c>
      <c r="P49" s="102" t="str">
        <f t="shared" si="1"/>
        <v>Alvdal trelast</v>
      </c>
      <c r="Q49" s="102" t="str">
        <f>tbl_ConsultingCompanys!D49</f>
        <v>Avanti Ryfylket AS</v>
      </c>
      <c r="R49" s="102">
        <f>tbl_ConsultingCompanys!C49</f>
        <v>172631</v>
      </c>
      <c r="S49" s="102" t="str">
        <f t="shared" si="2"/>
        <v>Avanti Ryfylket AS</v>
      </c>
    </row>
    <row r="50" spans="1:19" ht="14" x14ac:dyDescent="0.15">
      <c r="A50" s="1" t="str">
        <f>IF(ISERROR(VLOOKUP(B50,tbl_ProjectPhases!$C$1:$D$50,2,FALSE))=FALSE(),VLOOKUP(B50,tbl_ProjectPhases!$C$1:$D$50,2,FALSE),"-----")</f>
        <v>-----</v>
      </c>
      <c r="B50" s="1"/>
      <c r="C50" s="1" t="str">
        <f>IF(ISERROR(VLOOKUP(D50,tbl_ProjectTypes!$C$1:$D$50,2,FALSE))=FALSE(),VLOOKUP(D50,tbl_ProjectTypes!$C$1:$D$50,2,FALSE),"-----")</f>
        <v>-----</v>
      </c>
      <c r="D50" s="1"/>
      <c r="E50" s="1" t="str">
        <f>IF(ISERROR(VLOOKUP(F50,tbl_ArchitectofficeCategorys!$C$1:$D$50,2,FALSE))=FALSE(),VLOOKUP(F50,tbl_ArchitectofficeCategorys!$C$1:$D$50,2,FALSE),"-----")</f>
        <v>-----</v>
      </c>
      <c r="G50" s="1"/>
      <c r="H50" s="1"/>
      <c r="K50" s="102" t="str">
        <f>tbl_ArchitectureOffices!D50</f>
        <v>Arkinett AS</v>
      </c>
      <c r="L50" s="102">
        <f>tbl_ArchitectureOffices!C50</f>
        <v>166493</v>
      </c>
      <c r="M50" s="102" t="str">
        <f t="shared" si="0"/>
        <v>Arkinett AS</v>
      </c>
      <c r="N50" s="102" t="str">
        <f>tbl_Companys!D50</f>
        <v>Amalienborg Aveny AS</v>
      </c>
      <c r="O50" s="102">
        <f>tbl_Companys!C50</f>
        <v>233200</v>
      </c>
      <c r="P50" s="102" t="str">
        <f t="shared" si="1"/>
        <v>Amalienborg Aveny AS</v>
      </c>
      <c r="Q50" s="102" t="str">
        <f>tbl_ConsultingCompanys!D50</f>
        <v>Axlander &amp; Rosell</v>
      </c>
      <c r="R50" s="102">
        <f>tbl_ConsultingCompanys!C50</f>
        <v>110990</v>
      </c>
      <c r="S50" s="102" t="str">
        <f t="shared" si="2"/>
        <v>Axlander &amp; Rosell</v>
      </c>
    </row>
    <row r="51" spans="1:19" x14ac:dyDescent="0.15">
      <c r="A51" s="1"/>
      <c r="B51" s="1"/>
      <c r="C51" s="1"/>
      <c r="D51" s="1"/>
      <c r="G51" s="1"/>
      <c r="H51" s="1"/>
      <c r="K51" s="102" t="str">
        <f>tbl_ArchitectureOffices!D51</f>
        <v>Arkipartner AS</v>
      </c>
      <c r="L51" s="102">
        <f>tbl_ArchitectureOffices!C51</f>
        <v>166494</v>
      </c>
      <c r="M51" s="102" t="str">
        <f t="shared" si="0"/>
        <v>Arkipartner AS</v>
      </c>
      <c r="N51" s="102" t="str">
        <f>tbl_Companys!D51</f>
        <v>AMB arkitekter AS</v>
      </c>
      <c r="O51" s="102">
        <f>tbl_Companys!C51</f>
        <v>233552</v>
      </c>
      <c r="P51" s="102" t="str">
        <f t="shared" si="1"/>
        <v>AMB arkitekter AS</v>
      </c>
      <c r="Q51" s="102" t="str">
        <f>tbl_ConsultingCompanys!D51</f>
        <v>Backe prosjekt AS</v>
      </c>
      <c r="R51" s="102">
        <f>tbl_ConsultingCompanys!C51</f>
        <v>160575</v>
      </c>
      <c r="S51" s="102" t="str">
        <f t="shared" si="2"/>
        <v>Backe prosjekt AS</v>
      </c>
    </row>
    <row r="52" spans="1:19" x14ac:dyDescent="0.15">
      <c r="A52" s="1"/>
      <c r="B52" s="1"/>
      <c r="C52" s="1"/>
      <c r="D52" s="1"/>
      <c r="G52" s="1"/>
      <c r="H52" s="1"/>
      <c r="K52" s="102" t="str">
        <f>tbl_ArchitectureOffices!D52</f>
        <v>Arkiplan AS</v>
      </c>
      <c r="L52" s="102">
        <f>tbl_ArchitectureOffices!C52</f>
        <v>166495</v>
      </c>
      <c r="M52" s="102" t="str">
        <f t="shared" si="0"/>
        <v>Arkiplan AS</v>
      </c>
      <c r="N52" s="102" t="str">
        <f>tbl_Companys!D52</f>
        <v>Amdahl Strøm Cappelen Arkitekter AS</v>
      </c>
      <c r="O52" s="102">
        <f>tbl_Companys!C52</f>
        <v>219365</v>
      </c>
      <c r="P52" s="102" t="str">
        <f t="shared" si="1"/>
        <v>Amdahl Strøm Cappelen Arkitekter AS</v>
      </c>
      <c r="Q52" s="102" t="str">
        <f>tbl_ConsultingCompanys!D52</f>
        <v>Backo AS</v>
      </c>
      <c r="R52" s="102">
        <f>tbl_ConsultingCompanys!C52</f>
        <v>246979</v>
      </c>
      <c r="S52" s="102" t="str">
        <f t="shared" si="2"/>
        <v>Backo AS</v>
      </c>
    </row>
    <row r="53" spans="1:19" x14ac:dyDescent="0.15">
      <c r="A53" s="1"/>
      <c r="B53" s="1"/>
      <c r="C53" s="1"/>
      <c r="D53" s="1"/>
      <c r="G53" s="1"/>
      <c r="H53" s="1"/>
      <c r="K53" s="102" t="str">
        <f>tbl_ArchitectureOffices!D53</f>
        <v>Arkitekt Ludvig Hoddø MNAL</v>
      </c>
      <c r="L53" s="102">
        <f>tbl_ArchitectureOffices!C53</f>
        <v>244046</v>
      </c>
      <c r="M53" s="102" t="str">
        <f t="shared" si="0"/>
        <v>Arkitekt Ludvig Hoddø MNAL</v>
      </c>
      <c r="N53" s="102" t="str">
        <f>tbl_Companys!D53</f>
        <v>Amtedal &amp; Hansen Arkitektkontor as</v>
      </c>
      <c r="O53" s="102">
        <f>tbl_Companys!C53</f>
        <v>172681</v>
      </c>
      <c r="P53" s="102" t="str">
        <f t="shared" si="1"/>
        <v>Amtedal &amp; Hansen Arkitektkontor as</v>
      </c>
      <c r="Q53" s="102" t="str">
        <f>tbl_ConsultingCompanys!D53</f>
        <v>Baneservice AS</v>
      </c>
      <c r="R53" s="102">
        <f>tbl_ConsultingCompanys!C53</f>
        <v>182798</v>
      </c>
      <c r="S53" s="102" t="str">
        <f t="shared" si="2"/>
        <v>Baneservice AS</v>
      </c>
    </row>
    <row r="54" spans="1:19" x14ac:dyDescent="0.15">
      <c r="A54" s="1"/>
      <c r="B54" s="1"/>
      <c r="C54" s="1"/>
      <c r="D54" s="1"/>
      <c r="G54" s="1"/>
      <c r="H54" s="1"/>
      <c r="K54" s="102" t="str">
        <f>tbl_ArchitectureOffices!D54</f>
        <v>Arkitekt MNAL Håvard Holm Endresen</v>
      </c>
      <c r="L54" s="102">
        <f>tbl_ArchitectureOffices!C54</f>
        <v>232534</v>
      </c>
      <c r="M54" s="102" t="str">
        <f t="shared" si="0"/>
        <v>Arkitekt MNAL Håvard Holm Endresen</v>
      </c>
      <c r="N54" s="102" t="str">
        <f>tbl_Companys!D54</f>
        <v>Amtedal &amp; Hansen Arkitektkontor AS</v>
      </c>
      <c r="O54" s="102">
        <f>tbl_Companys!C54</f>
        <v>247618</v>
      </c>
      <c r="P54" s="102" t="str">
        <f t="shared" si="1"/>
        <v>Amtedal &amp; Hansen Arkitektkontor AS</v>
      </c>
      <c r="Q54" s="102" t="str">
        <f>tbl_ConsultingCompanys!D54</f>
        <v>Barkaleitet Borettslag</v>
      </c>
      <c r="R54" s="102">
        <f>tbl_ConsultingCompanys!C54</f>
        <v>228270</v>
      </c>
      <c r="S54" s="102" t="str">
        <f t="shared" si="2"/>
        <v>Barkaleitet Borettslag</v>
      </c>
    </row>
    <row r="55" spans="1:19" x14ac:dyDescent="0.15">
      <c r="A55" s="1"/>
      <c r="B55" s="1"/>
      <c r="C55" s="1"/>
      <c r="D55" s="1"/>
      <c r="G55" s="1"/>
      <c r="H55" s="1"/>
      <c r="K55" s="102" t="str">
        <f>tbl_ArchitectureOffices!D55</f>
        <v xml:space="preserve">Arkitektarna Krook &amp; Tjäder A </v>
      </c>
      <c r="L55" s="102">
        <f>tbl_ArchitectureOffices!C55</f>
        <v>228619</v>
      </c>
      <c r="M55" s="102" t="str">
        <f t="shared" si="0"/>
        <v>Arkitektarna Krook &amp; Tjäder A</v>
      </c>
      <c r="N55" s="102" t="str">
        <f>tbl_Companys!D55</f>
        <v>Anders Ellefsen</v>
      </c>
      <c r="O55" s="102">
        <f>tbl_Companys!C55</f>
        <v>103267</v>
      </c>
      <c r="P55" s="102" t="str">
        <f t="shared" si="1"/>
        <v>Anders Ellefsen</v>
      </c>
      <c r="Q55" s="102" t="str">
        <f>tbl_ConsultingCompanys!D55</f>
        <v>Base Property AS</v>
      </c>
      <c r="R55" s="102">
        <f>tbl_ConsultingCompanys!C55</f>
        <v>172593</v>
      </c>
      <c r="S55" s="102" t="str">
        <f t="shared" si="2"/>
        <v>Base Property AS</v>
      </c>
    </row>
    <row r="56" spans="1:19" x14ac:dyDescent="0.15">
      <c r="A56" s="1"/>
      <c r="B56" s="1"/>
      <c r="C56" s="1"/>
      <c r="D56" s="1"/>
      <c r="G56" s="1"/>
      <c r="H56" s="1"/>
      <c r="K56" s="102" t="str">
        <f>tbl_ArchitectureOffices!D56</f>
        <v>Arkitektbua A/S</v>
      </c>
      <c r="L56" s="102">
        <f>tbl_ArchitectureOffices!C56</f>
        <v>166496</v>
      </c>
      <c r="M56" s="102" t="str">
        <f t="shared" si="0"/>
        <v>Arkitektbua A/S</v>
      </c>
      <c r="N56" s="102" t="str">
        <f>tbl_Companys!D56</f>
        <v xml:space="preserve">Andersen &amp; Askjem AS </v>
      </c>
      <c r="O56" s="102">
        <f>tbl_Companys!C56</f>
        <v>112302</v>
      </c>
      <c r="P56" s="102" t="str">
        <f t="shared" si="1"/>
        <v>Andersen &amp; Askjem AS</v>
      </c>
      <c r="Q56" s="102" t="str">
        <f>tbl_ConsultingCompanys!D56</f>
        <v>BA-tec AS</v>
      </c>
      <c r="R56" s="102">
        <f>tbl_ConsultingCompanys!C56</f>
        <v>246268</v>
      </c>
      <c r="S56" s="102" t="str">
        <f t="shared" si="2"/>
        <v>BA-tec AS</v>
      </c>
    </row>
    <row r="57" spans="1:19" x14ac:dyDescent="0.15">
      <c r="A57" s="1"/>
      <c r="B57" s="1"/>
      <c r="C57" s="1"/>
      <c r="D57" s="1"/>
      <c r="E57" s="1"/>
      <c r="F57" s="1"/>
      <c r="G57" s="1"/>
      <c r="H57" s="1"/>
      <c r="K57" s="102" t="str">
        <f>tbl_ArchitectureOffices!D57</f>
        <v>Arkitektene AS - Arkitekt MNAL NPA Espen Eskeland</v>
      </c>
      <c r="L57" s="102">
        <f>tbl_ArchitectureOffices!C57</f>
        <v>166497</v>
      </c>
      <c r="M57" s="102" t="str">
        <f t="shared" si="0"/>
        <v>Arkitektene AS - Arkitekt MNAL NPA Espen Eskeland</v>
      </c>
      <c r="N57" s="102" t="str">
        <f>tbl_Companys!D57</f>
        <v>Andersen &amp; Flåte AS</v>
      </c>
      <c r="O57" s="102">
        <f>tbl_Companys!C57</f>
        <v>230398</v>
      </c>
      <c r="P57" s="102" t="str">
        <f t="shared" si="1"/>
        <v>Andersen &amp; Flåte AS</v>
      </c>
      <c r="Q57" s="102" t="str">
        <f>tbl_ConsultingCompanys!D57</f>
        <v>Berg Knudsen as</v>
      </c>
      <c r="R57" s="102">
        <f>tbl_ConsultingCompanys!C57</f>
        <v>247313</v>
      </c>
      <c r="S57" s="102" t="str">
        <f t="shared" si="2"/>
        <v>Berg Knudsen as</v>
      </c>
    </row>
    <row r="58" spans="1:19" x14ac:dyDescent="0.15">
      <c r="A58" s="1"/>
      <c r="B58" s="1"/>
      <c r="C58" s="1"/>
      <c r="D58" s="1"/>
      <c r="E58" s="1"/>
      <c r="F58" s="1"/>
      <c r="G58" s="1"/>
      <c r="H58" s="1"/>
      <c r="K58" s="102" t="str">
        <f>tbl_ArchitectureOffices!D58</f>
        <v>Arkitektene Astrup og Hellern AS</v>
      </c>
      <c r="L58" s="102">
        <f>tbl_ArchitectureOffices!C58</f>
        <v>172846</v>
      </c>
      <c r="M58" s="102" t="str">
        <f t="shared" si="0"/>
        <v>Arkitektene Astrup og Hellern AS</v>
      </c>
      <c r="N58" s="102" t="str">
        <f>tbl_Companys!D58</f>
        <v>Andersen og Johnson AS</v>
      </c>
      <c r="O58" s="102">
        <f>tbl_Companys!C58</f>
        <v>224067</v>
      </c>
      <c r="P58" s="102" t="str">
        <f t="shared" si="1"/>
        <v>Andersen og Johnson AS</v>
      </c>
      <c r="Q58" s="102" t="str">
        <f>tbl_ConsultingCompanys!D58</f>
        <v>Bergen Bolig og Byfornyelse KF</v>
      </c>
      <c r="R58" s="102">
        <f>tbl_ConsultingCompanys!C58</f>
        <v>218052</v>
      </c>
      <c r="S58" s="102" t="str">
        <f t="shared" si="2"/>
        <v>Bergen Bolig og Byfornyelse KF</v>
      </c>
    </row>
    <row r="59" spans="1:19" x14ac:dyDescent="0.15">
      <c r="A59" s="1"/>
      <c r="B59" s="1"/>
      <c r="C59" s="1"/>
      <c r="D59" s="1"/>
      <c r="E59" s="1"/>
      <c r="F59" s="1"/>
      <c r="G59" s="1"/>
      <c r="H59" s="1"/>
      <c r="K59" s="102" t="str">
        <f>tbl_ArchitectureOffices!D59</f>
        <v>Arkitektfirma Jon Vikøren AS</v>
      </c>
      <c r="L59" s="102">
        <f>tbl_ArchitectureOffices!C59</f>
        <v>217913</v>
      </c>
      <c r="M59" s="102" t="str">
        <f t="shared" si="0"/>
        <v>Arkitektfirma Jon Vikøren AS</v>
      </c>
      <c r="N59" s="102" t="str">
        <f>tbl_Companys!D59</f>
        <v>Anderssen+Fremming AS</v>
      </c>
      <c r="O59" s="102">
        <f>tbl_Companys!C59</f>
        <v>172904</v>
      </c>
      <c r="P59" s="102" t="str">
        <f t="shared" si="1"/>
        <v>Anderssen+Fremming AS</v>
      </c>
      <c r="Q59" s="102" t="str">
        <f>tbl_ConsultingCompanys!D59</f>
        <v>Bergen Gulvleggerservice AS</v>
      </c>
      <c r="R59" s="102">
        <f>tbl_ConsultingCompanys!C59</f>
        <v>157876</v>
      </c>
      <c r="S59" s="102" t="str">
        <f t="shared" si="2"/>
        <v>Bergen Gulvleggerservice AS</v>
      </c>
    </row>
    <row r="60" spans="1:19" x14ac:dyDescent="0.15">
      <c r="A60" s="1"/>
      <c r="B60" s="1"/>
      <c r="C60" s="1"/>
      <c r="D60" s="1"/>
      <c r="E60" s="1"/>
      <c r="F60" s="1"/>
      <c r="G60" s="1"/>
      <c r="H60" s="1"/>
      <c r="K60" s="102" t="str">
        <f>tbl_ArchitectureOffices!D60</f>
        <v>Arkitektformidling</v>
      </c>
      <c r="L60" s="102">
        <f>tbl_ArchitectureOffices!C60</f>
        <v>181447</v>
      </c>
      <c r="M60" s="102" t="str">
        <f t="shared" si="0"/>
        <v>Arkitektformidling</v>
      </c>
      <c r="N60" s="102" t="str">
        <f>tbl_Companys!D60</f>
        <v>Andresen Arkitekter AS</v>
      </c>
      <c r="O60" s="102">
        <f>tbl_Companys!C60</f>
        <v>166474</v>
      </c>
      <c r="P60" s="102" t="str">
        <f t="shared" si="1"/>
        <v>Andresen Arkitekter AS</v>
      </c>
      <c r="Q60" s="102" t="str">
        <f>tbl_ConsultingCompanys!D60</f>
        <v>Bergen kommune</v>
      </c>
      <c r="R60" s="102">
        <f>tbl_ConsultingCompanys!C60</f>
        <v>172825</v>
      </c>
      <c r="S60" s="102" t="str">
        <f t="shared" si="2"/>
        <v>Bergen kommune</v>
      </c>
    </row>
    <row r="61" spans="1:19" x14ac:dyDescent="0.15">
      <c r="A61" s="1"/>
      <c r="B61" s="1"/>
      <c r="C61" s="2" t="s">
        <v>150</v>
      </c>
      <c r="D61" s="1"/>
      <c r="E61" s="1"/>
      <c r="F61" s="1"/>
      <c r="G61" s="1"/>
      <c r="H61" s="1"/>
      <c r="K61" s="102" t="str">
        <f>tbl_ArchitectureOffices!D61</f>
        <v xml:space="preserve">Arkitektgruppen Cubus AS </v>
      </c>
      <c r="L61" s="102">
        <f>tbl_ArchitectureOffices!C61</f>
        <v>166499</v>
      </c>
      <c r="M61" s="102" t="str">
        <f t="shared" si="0"/>
        <v>Arkitektgruppen Cubus AS</v>
      </c>
      <c r="N61" s="102" t="str">
        <f>tbl_Companys!D61</f>
        <v>April Arkitekter AS</v>
      </c>
      <c r="O61" s="102">
        <f>tbl_Companys!C61</f>
        <v>166476</v>
      </c>
      <c r="P61" s="102" t="str">
        <f t="shared" si="1"/>
        <v>April Arkitekter AS</v>
      </c>
      <c r="Q61" s="102" t="str">
        <f>tbl_ConsultingCompanys!D61</f>
        <v>Bergen kommune, etat for utbygging</v>
      </c>
      <c r="R61" s="102">
        <f>tbl_ConsultingCompanys!C61</f>
        <v>248739</v>
      </c>
      <c r="S61" s="102" t="str">
        <f t="shared" si="2"/>
        <v>Bergen kommune, etat for utbygging</v>
      </c>
    </row>
    <row r="62" spans="1:19" x14ac:dyDescent="0.15">
      <c r="A62" s="1"/>
      <c r="B62" s="1"/>
      <c r="C62" t="s">
        <v>151</v>
      </c>
      <c r="D62" s="1"/>
      <c r="E62" s="1"/>
      <c r="F62" s="1"/>
      <c r="G62" s="1"/>
      <c r="H62" s="1"/>
      <c r="K62" s="102" t="str">
        <f>tbl_ArchitectureOffices!D62</f>
        <v>Arkitekthuset Amlie - Strandgata 22 A/S</v>
      </c>
      <c r="L62" s="102">
        <f>tbl_ArchitectureOffices!C62</f>
        <v>166463</v>
      </c>
      <c r="M62" s="102" t="str">
        <f t="shared" si="0"/>
        <v>Arkitekthuset Amlie - Strandgata 22 A/S</v>
      </c>
      <c r="N62" s="102" t="str">
        <f>tbl_Companys!D62</f>
        <v>Arbeidsfellesskapet Kruse Strømme DA</v>
      </c>
      <c r="O62" s="102">
        <f>tbl_Companys!C62</f>
        <v>246929</v>
      </c>
      <c r="P62" s="102" t="str">
        <f t="shared" si="1"/>
        <v>Arbeidsfellesskapet Kruse Strømme DA</v>
      </c>
      <c r="Q62" s="102" t="str">
        <f>tbl_ConsultingCompanys!D62</f>
        <v>Bergen og omegn boligbyggelag (BOB)</v>
      </c>
      <c r="R62" s="102">
        <f>tbl_ConsultingCompanys!C62</f>
        <v>160598</v>
      </c>
      <c r="S62" s="102" t="str">
        <f t="shared" si="2"/>
        <v>Bergen og omegn boligbyggelag (BOB)</v>
      </c>
    </row>
    <row r="63" spans="1:19" ht="14" x14ac:dyDescent="0.15">
      <c r="A63" s="1"/>
      <c r="B63" s="1"/>
      <c r="C63" s="1" t="s">
        <v>152</v>
      </c>
      <c r="D63" s="1"/>
      <c r="E63" s="1"/>
      <c r="F63" s="1"/>
      <c r="G63" s="1"/>
      <c r="H63" s="1"/>
      <c r="K63" s="102" t="str">
        <f>tbl_ArchitectureOffices!D63</f>
        <v xml:space="preserve">Arkitekthuset Lunøe &amp; Løffler </v>
      </c>
      <c r="L63" s="102">
        <f>tbl_ArchitectureOffices!C63</f>
        <v>166501</v>
      </c>
      <c r="M63" s="102" t="str">
        <f t="shared" si="0"/>
        <v>Arkitekthuset Lunøe &amp; Løffler</v>
      </c>
      <c r="N63" s="102" t="str">
        <f>tbl_Companys!D63</f>
        <v>arc arkitekter as</v>
      </c>
      <c r="O63" s="102">
        <f>tbl_Companys!C63</f>
        <v>172892</v>
      </c>
      <c r="P63" s="102" t="str">
        <f t="shared" si="1"/>
        <v>arc arkitekter as</v>
      </c>
      <c r="Q63" s="102" t="str">
        <f>tbl_ConsultingCompanys!D63</f>
        <v>Bergen og omegn boligbyggelag (BOB)</v>
      </c>
      <c r="R63" s="102">
        <f>tbl_ConsultingCompanys!C63</f>
        <v>160599</v>
      </c>
      <c r="S63" s="102" t="str">
        <f t="shared" si="2"/>
        <v>Bergen og omegn boligbyggelag (BOB)</v>
      </c>
    </row>
    <row r="64" spans="1:19" ht="14" x14ac:dyDescent="0.15">
      <c r="A64" s="1"/>
      <c r="B64" s="1"/>
      <c r="C64" s="8" t="s">
        <v>153</v>
      </c>
      <c r="D64" s="1"/>
      <c r="E64" s="1"/>
      <c r="F64" s="1"/>
      <c r="G64" s="1"/>
      <c r="H64" s="1"/>
      <c r="K64" s="102" t="str">
        <f>tbl_ArchitectureOffices!D64</f>
        <v>Arkitektkompaniet AS</v>
      </c>
      <c r="L64" s="102">
        <f>tbl_ArchitectureOffices!C64</f>
        <v>232980</v>
      </c>
      <c r="M64" s="102" t="str">
        <f t="shared" si="0"/>
        <v>Arkitektkompaniet AS</v>
      </c>
      <c r="N64" s="102" t="str">
        <f>tbl_Companys!D64</f>
        <v>ARC arkitektur AS</v>
      </c>
      <c r="O64" s="102">
        <f>tbl_Companys!C64</f>
        <v>248768</v>
      </c>
      <c r="P64" s="102" t="str">
        <f t="shared" si="1"/>
        <v>ARC arkitektur AS</v>
      </c>
      <c r="Q64" s="102" t="str">
        <f>tbl_ConsultingCompanys!D64</f>
        <v>Berit og Helge Sørås</v>
      </c>
      <c r="R64" s="102">
        <f>tbl_ConsultingCompanys!C64</f>
        <v>160600</v>
      </c>
      <c r="S64" s="102" t="str">
        <f t="shared" si="2"/>
        <v>Berit og Helge Sørås</v>
      </c>
    </row>
    <row r="65" spans="1:19" ht="14" x14ac:dyDescent="0.15">
      <c r="A65" s="1"/>
      <c r="B65" s="1"/>
      <c r="C65" s="8" t="s">
        <v>154</v>
      </c>
      <c r="D65" s="1"/>
      <c r="E65" s="1"/>
      <c r="F65" s="1"/>
      <c r="G65" s="1"/>
      <c r="H65" s="1"/>
      <c r="K65" s="102" t="str">
        <f>tbl_ArchitectureOffices!D65</f>
        <v>Arkitektkontor</v>
      </c>
      <c r="L65" s="102">
        <f>tbl_ArchitectureOffices!C65</f>
        <v>241583</v>
      </c>
      <c r="M65" s="102" t="str">
        <f t="shared" si="0"/>
        <v>Arkitektkontor</v>
      </c>
      <c r="N65" s="102" t="str">
        <f>tbl_Companys!D65</f>
        <v>Arcasa arkitekter AS</v>
      </c>
      <c r="O65" s="102">
        <f>tbl_Companys!C65</f>
        <v>166511</v>
      </c>
      <c r="P65" s="102" t="str">
        <f t="shared" si="1"/>
        <v>Arcasa arkitekter AS</v>
      </c>
      <c r="Q65" s="102" t="str">
        <f>tbl_ConsultingCompanys!D65</f>
        <v>Bermingrud Entreprenør AS</v>
      </c>
      <c r="R65" s="102">
        <f>tbl_ConsultingCompanys!C65</f>
        <v>246269</v>
      </c>
      <c r="S65" s="102" t="str">
        <f t="shared" si="2"/>
        <v>Bermingrud Entreprenør AS</v>
      </c>
    </row>
    <row r="66" spans="1:19" ht="14" x14ac:dyDescent="0.15">
      <c r="A66" s="1"/>
      <c r="B66" s="1"/>
      <c r="C66" s="1" t="s">
        <v>155</v>
      </c>
      <c r="D66" s="1"/>
      <c r="E66" s="1"/>
      <c r="F66" s="1"/>
      <c r="G66" s="1"/>
      <c r="H66" s="1"/>
      <c r="K66" s="102" t="str">
        <f>tbl_ArchitectureOffices!D66</f>
        <v>Arkitektkontor</v>
      </c>
      <c r="L66" s="102">
        <f>tbl_ArchitectureOffices!C66</f>
        <v>247814</v>
      </c>
      <c r="M66" s="102" t="str">
        <f t="shared" si="0"/>
        <v>Arkitektkontor</v>
      </c>
      <c r="N66" s="102" t="str">
        <f>tbl_Companys!D66</f>
        <v>Arc-ess AS</v>
      </c>
      <c r="O66" s="102">
        <f>tbl_Companys!C66</f>
        <v>166480</v>
      </c>
      <c r="P66" s="102" t="str">
        <f t="shared" si="1"/>
        <v>Arc-ess AS</v>
      </c>
      <c r="Q66" s="102" t="str">
        <f>tbl_ConsultingCompanys!D66</f>
        <v>Bernt Krogh</v>
      </c>
      <c r="R66" s="102">
        <f>tbl_ConsultingCompanys!C66</f>
        <v>162868</v>
      </c>
      <c r="S66" s="102" t="str">
        <f t="shared" si="2"/>
        <v>Bernt Krogh</v>
      </c>
    </row>
    <row r="67" spans="1:19" ht="28" x14ac:dyDescent="0.15">
      <c r="A67" s="1"/>
      <c r="B67" s="1"/>
      <c r="C67" s="1" t="s">
        <v>156</v>
      </c>
      <c r="D67" s="1"/>
      <c r="E67" s="1"/>
      <c r="F67" s="1"/>
      <c r="G67" s="1"/>
      <c r="H67" s="1"/>
      <c r="K67" s="102" t="str">
        <f>tbl_ArchitectureOffices!D67</f>
        <v>Arkitektkontor</v>
      </c>
      <c r="L67" s="102">
        <f>tbl_ArchitectureOffices!C67</f>
        <v>247888</v>
      </c>
      <c r="M67" s="102" t="str">
        <f t="shared" ref="M67:M130" si="3">IFERROR(REPLACE(K67,FIND(" ",K67,LEN(K67)),1,""),K67)</f>
        <v>Arkitektkontor</v>
      </c>
      <c r="N67" s="102" t="str">
        <f>tbl_Companys!D67</f>
        <v>Arch Uno AS</v>
      </c>
      <c r="O67" s="102">
        <f>tbl_Companys!C67</f>
        <v>166482</v>
      </c>
      <c r="P67" s="102" t="str">
        <f t="shared" ref="P67:P130" si="4">IFERROR(REPLACE(N67,FIND(" ",N67,LEN(N67)),1,""),N67)</f>
        <v>Arch Uno AS</v>
      </c>
      <c r="Q67" s="102" t="str">
        <f>tbl_ConsultingCompanys!D67</f>
        <v>BGM Arkitekter AS</v>
      </c>
      <c r="R67" s="102">
        <f>tbl_ConsultingCompanys!C67</f>
        <v>247616</v>
      </c>
      <c r="S67" s="102" t="str">
        <f t="shared" ref="S67:S130" si="5">IFERROR(REPLACE(Q67,FIND(" ",Q67,LEN(Q67)),1,""),Q67)</f>
        <v>BGM Arkitekter AS</v>
      </c>
    </row>
    <row r="68" spans="1:19" x14ac:dyDescent="0.15">
      <c r="A68" s="1"/>
      <c r="B68" s="1"/>
      <c r="C68" s="1"/>
      <c r="D68" s="1"/>
      <c r="E68" s="1"/>
      <c r="F68" s="1"/>
      <c r="G68" s="1"/>
      <c r="H68" s="1"/>
      <c r="K68" s="102" t="str">
        <f>tbl_ArchitectureOffices!D68</f>
        <v>Arkitektkontor</v>
      </c>
      <c r="L68" s="102">
        <f>tbl_ArchitectureOffices!C68</f>
        <v>249384</v>
      </c>
      <c r="M68" s="102" t="str">
        <f t="shared" si="3"/>
        <v>Arkitektkontor</v>
      </c>
      <c r="N68" s="102" t="str">
        <f>tbl_Companys!D68</f>
        <v>Architectopia AS</v>
      </c>
      <c r="O68" s="102">
        <f>tbl_Companys!C68</f>
        <v>210153</v>
      </c>
      <c r="P68" s="102" t="str">
        <f t="shared" si="4"/>
        <v>Architectopia AS</v>
      </c>
      <c r="Q68" s="102" t="str">
        <f>tbl_ConsultingCompanys!D68</f>
        <v>BGM Arkitekter/ Asplan Viak</v>
      </c>
      <c r="R68" s="102">
        <f>tbl_ConsultingCompanys!C68</f>
        <v>247620</v>
      </c>
      <c r="S68" s="102" t="str">
        <f t="shared" si="5"/>
        <v>BGM Arkitekter/ Asplan Viak</v>
      </c>
    </row>
    <row r="69" spans="1:19" x14ac:dyDescent="0.15">
      <c r="A69" s="1"/>
      <c r="B69" s="1"/>
      <c r="C69" s="1"/>
      <c r="D69" s="1"/>
      <c r="E69" s="1"/>
      <c r="F69" s="1"/>
      <c r="G69" s="1"/>
      <c r="H69" s="1"/>
      <c r="K69" s="102" t="str">
        <f>tbl_ArchitectureOffices!D69</f>
        <v>Arkitektkontor</v>
      </c>
      <c r="L69" s="102">
        <f>tbl_ArchitectureOffices!C69</f>
        <v>249654</v>
      </c>
      <c r="M69" s="102" t="str">
        <f t="shared" si="3"/>
        <v>Arkitektkontor</v>
      </c>
      <c r="N69" s="102" t="str">
        <f>tbl_Companys!D69</f>
        <v>Archus Arkitekter AS</v>
      </c>
      <c r="O69" s="102">
        <f>tbl_Companys!C69</f>
        <v>166483</v>
      </c>
      <c r="P69" s="102" t="str">
        <f t="shared" si="4"/>
        <v>Archus Arkitekter AS</v>
      </c>
      <c r="Q69" s="102" t="str">
        <f>tbl_ConsultingCompanys!D69</f>
        <v>Biltorget AS</v>
      </c>
      <c r="R69" s="102">
        <f>tbl_ConsultingCompanys!C69</f>
        <v>160594</v>
      </c>
      <c r="S69" s="102" t="str">
        <f t="shared" si="5"/>
        <v>Biltorget AS</v>
      </c>
    </row>
    <row r="70" spans="1:19" x14ac:dyDescent="0.15">
      <c r="A70" s="1"/>
      <c r="B70" s="1"/>
      <c r="C70" s="1"/>
      <c r="D70" s="1"/>
      <c r="E70" s="1"/>
      <c r="F70" s="1"/>
      <c r="G70" s="1"/>
      <c r="H70" s="1"/>
      <c r="K70" s="102" t="str">
        <f>tbl_ArchitectureOffices!D70</f>
        <v>Arkitektkontoret IHT</v>
      </c>
      <c r="L70" s="102">
        <f>tbl_ArchitectureOffices!C70</f>
        <v>245838</v>
      </c>
      <c r="M70" s="102" t="str">
        <f t="shared" si="3"/>
        <v>Arkitektkontoret IHT</v>
      </c>
      <c r="N70" s="102" t="str">
        <f>tbl_Companys!D70</f>
        <v>Arcon Prosjekt AS</v>
      </c>
      <c r="O70" s="102">
        <f>tbl_Companys!C70</f>
        <v>172880</v>
      </c>
      <c r="P70" s="102" t="str">
        <f t="shared" si="4"/>
        <v>Arcon Prosjekt AS</v>
      </c>
      <c r="Q70" s="102" t="str">
        <f>tbl_ConsultingCompanys!D70</f>
        <v>Bjarte Fyllingen as</v>
      </c>
      <c r="R70" s="102">
        <f>tbl_ConsultingCompanys!C70</f>
        <v>224139</v>
      </c>
      <c r="S70" s="102" t="str">
        <f t="shared" si="5"/>
        <v>Bjarte Fyllingen as</v>
      </c>
    </row>
    <row r="71" spans="1:19" x14ac:dyDescent="0.15">
      <c r="A71" s="1"/>
      <c r="B71" s="1"/>
      <c r="C71" s="1"/>
      <c r="D71" s="1"/>
      <c r="E71" s="1"/>
      <c r="F71" s="1"/>
      <c r="G71" s="1"/>
      <c r="H71" s="1"/>
      <c r="K71" s="102" t="str">
        <f>tbl_ArchitectureOffices!D71</f>
        <v>Arkitektkontoret JoB AS</v>
      </c>
      <c r="L71" s="102">
        <f>tbl_ArchitectureOffices!C71</f>
        <v>247815</v>
      </c>
      <c r="M71" s="102" t="str">
        <f t="shared" si="3"/>
        <v>Arkitektkontoret JoB AS</v>
      </c>
      <c r="N71" s="102" t="str">
        <f>tbl_Companys!D71</f>
        <v>Ario as</v>
      </c>
      <c r="O71" s="102">
        <f>tbl_Companys!C71</f>
        <v>166486</v>
      </c>
      <c r="P71" s="102" t="str">
        <f t="shared" si="4"/>
        <v>Ario as</v>
      </c>
      <c r="Q71" s="102" t="str">
        <f>tbl_ConsultingCompanys!D71</f>
        <v>Bjerga Bygg AS</v>
      </c>
      <c r="R71" s="102">
        <f>tbl_ConsultingCompanys!C71</f>
        <v>103217</v>
      </c>
      <c r="S71" s="102" t="str">
        <f t="shared" si="5"/>
        <v>Bjerga Bygg AS</v>
      </c>
    </row>
    <row r="72" spans="1:19" x14ac:dyDescent="0.15">
      <c r="A72" s="1"/>
      <c r="B72" s="1"/>
      <c r="C72" s="1"/>
      <c r="D72" s="1"/>
      <c r="E72" s="1"/>
      <c r="F72" s="1"/>
      <c r="G72" s="1"/>
      <c r="H72" s="1"/>
      <c r="K72" s="102" t="str">
        <f>tbl_ArchitectureOffices!D72</f>
        <v>Arkitektkontoret JoB AS</v>
      </c>
      <c r="L72" s="102">
        <f>tbl_ArchitectureOffices!C72</f>
        <v>248173</v>
      </c>
      <c r="M72" s="102" t="str">
        <f t="shared" si="3"/>
        <v>Arkitektkontoret JoB AS</v>
      </c>
      <c r="N72" s="102" t="str">
        <f>tbl_Companys!D72</f>
        <v>Arkade Arkitektkontor AS</v>
      </c>
      <c r="O72" s="102">
        <f>tbl_Companys!C72</f>
        <v>245661</v>
      </c>
      <c r="P72" s="102" t="str">
        <f t="shared" si="4"/>
        <v>Arkade Arkitektkontor AS</v>
      </c>
      <c r="Q72" s="102" t="str">
        <f>tbl_ConsultingCompanys!D72</f>
        <v>Bjerga eiendom AS</v>
      </c>
      <c r="R72" s="102">
        <f>tbl_ConsultingCompanys!C72</f>
        <v>160577</v>
      </c>
      <c r="S72" s="102" t="str">
        <f t="shared" si="5"/>
        <v>Bjerga eiendom AS</v>
      </c>
    </row>
    <row r="73" spans="1:19" x14ac:dyDescent="0.15">
      <c r="A73" s="1"/>
      <c r="B73" s="1"/>
      <c r="C73" s="1"/>
      <c r="D73" s="1"/>
      <c r="E73" s="1"/>
      <c r="F73" s="1"/>
      <c r="G73" s="1"/>
      <c r="H73" s="1"/>
      <c r="K73" s="102" t="str">
        <f>tbl_ArchitectureOffices!D73</f>
        <v>Arkitektkontoret Tellus AS</v>
      </c>
      <c r="L73" s="102">
        <f>tbl_ArchitectureOffices!C73</f>
        <v>231316</v>
      </c>
      <c r="M73" s="102" t="str">
        <f t="shared" si="3"/>
        <v>Arkitektkontoret Tellus AS</v>
      </c>
      <c r="N73" s="102" t="str">
        <f>tbl_Companys!D73</f>
        <v>Arkadia Arkitekter AS</v>
      </c>
      <c r="O73" s="102">
        <f>tbl_Companys!C73</f>
        <v>166487</v>
      </c>
      <c r="P73" s="102" t="str">
        <f t="shared" si="4"/>
        <v>Arkadia Arkitekter AS</v>
      </c>
      <c r="Q73" s="102" t="str">
        <f>tbl_ConsultingCompanys!D73</f>
        <v>Bjerke Ventilasjon AS (Ventilasjon)</v>
      </c>
      <c r="R73" s="102">
        <f>tbl_ConsultingCompanys!C73</f>
        <v>155179</v>
      </c>
      <c r="S73" s="102" t="str">
        <f t="shared" si="5"/>
        <v>Bjerke Ventilasjon AS (Ventilasjon)</v>
      </c>
    </row>
    <row r="74" spans="1:19" x14ac:dyDescent="0.15">
      <c r="A74" s="1"/>
      <c r="B74" s="1"/>
      <c r="C74" s="1"/>
      <c r="D74" s="1"/>
      <c r="E74" s="1"/>
      <c r="F74" s="1"/>
      <c r="G74" s="1"/>
      <c r="H74" s="1"/>
      <c r="K74" s="102" t="str">
        <f>tbl_ArchitectureOffices!D74</f>
        <v>Arkitektkontoret Tellus AS</v>
      </c>
      <c r="L74" s="102">
        <f>tbl_ArchitectureOffices!C74</f>
        <v>232821</v>
      </c>
      <c r="M74" s="102" t="str">
        <f t="shared" si="3"/>
        <v>Arkitektkontoret Tellus AS</v>
      </c>
      <c r="N74" s="102" t="str">
        <f>tbl_Companys!D74</f>
        <v xml:space="preserve">Arken AS, Arkitektkontoret </v>
      </c>
      <c r="O74" s="102">
        <f>tbl_Companys!C74</f>
        <v>166490</v>
      </c>
      <c r="P74" s="102" t="str">
        <f t="shared" si="4"/>
        <v>Arken AS, Arkitektkontoret</v>
      </c>
      <c r="Q74" s="102" t="str">
        <f>tbl_ConsultingCompanys!D74</f>
        <v>Blikkenslager Østensen AS</v>
      </c>
      <c r="R74" s="102">
        <f>tbl_ConsultingCompanys!C74</f>
        <v>157874</v>
      </c>
      <c r="S74" s="102" t="str">
        <f t="shared" si="5"/>
        <v>Blikkenslager Østensen AS</v>
      </c>
    </row>
    <row r="75" spans="1:19" x14ac:dyDescent="0.15">
      <c r="K75" s="102" t="str">
        <f>tbl_ArchitectureOffices!D75</f>
        <v>Arkitektkontoret Tellus AS</v>
      </c>
      <c r="L75" s="102">
        <f>tbl_ArchitectureOffices!C75</f>
        <v>235528</v>
      </c>
      <c r="M75" s="102" t="str">
        <f t="shared" si="3"/>
        <v>Arkitektkontoret Tellus AS</v>
      </c>
      <c r="N75" s="102" t="str">
        <f>tbl_Companys!D75</f>
        <v>Arkidea AS</v>
      </c>
      <c r="O75" s="102">
        <f>tbl_Companys!C75</f>
        <v>166491</v>
      </c>
      <c r="P75" s="102" t="str">
        <f t="shared" si="4"/>
        <v>Arkidea AS</v>
      </c>
      <c r="Q75" s="102" t="str">
        <f>tbl_ConsultingCompanys!D75</f>
        <v xml:space="preserve">Bolkesjø AS </v>
      </c>
      <c r="R75" s="102">
        <f>tbl_ConsultingCompanys!C75</f>
        <v>119783</v>
      </c>
      <c r="S75" s="102" t="str">
        <f t="shared" si="5"/>
        <v>Bolkesjø AS</v>
      </c>
    </row>
    <row r="76" spans="1:19" x14ac:dyDescent="0.15">
      <c r="K76" s="102" t="str">
        <f>tbl_ArchitectureOffices!D76</f>
        <v>Arkitektskap AS</v>
      </c>
      <c r="L76" s="102">
        <f>tbl_ArchitectureOffices!C76</f>
        <v>166514</v>
      </c>
      <c r="M76" s="102" t="str">
        <f t="shared" si="3"/>
        <v>Arkitektskap AS</v>
      </c>
      <c r="N76" s="102" t="str">
        <f>tbl_Companys!D76</f>
        <v>Arkideco as</v>
      </c>
      <c r="O76" s="102">
        <f>tbl_Companys!C76</f>
        <v>172582</v>
      </c>
      <c r="P76" s="102" t="str">
        <f t="shared" si="4"/>
        <v>Arkideco as</v>
      </c>
      <c r="Q76" s="102" t="str">
        <f>tbl_ConsultingCompanys!D76</f>
        <v>Boye-Waage</v>
      </c>
      <c r="R76" s="102">
        <f>tbl_ConsultingCompanys!C76</f>
        <v>217083</v>
      </c>
      <c r="S76" s="102" t="str">
        <f t="shared" si="5"/>
        <v>Boye-Waage</v>
      </c>
    </row>
    <row r="77" spans="1:19" x14ac:dyDescent="0.15">
      <c r="K77" s="102" t="str">
        <f>tbl_ArchitectureOffices!D77</f>
        <v>Arkitektstudio as</v>
      </c>
      <c r="L77" s="102">
        <f>tbl_ArchitectureOffices!C77</f>
        <v>166522</v>
      </c>
      <c r="M77" s="102" t="str">
        <f t="shared" si="3"/>
        <v>Arkitektstudio as</v>
      </c>
      <c r="N77" s="102" t="str">
        <f>tbl_Companys!D77</f>
        <v>ArkiForum AS</v>
      </c>
      <c r="O77" s="102">
        <f>tbl_Companys!C77</f>
        <v>166492</v>
      </c>
      <c r="P77" s="102" t="str">
        <f t="shared" si="4"/>
        <v>ArkiForum AS</v>
      </c>
      <c r="Q77" s="102" t="str">
        <f>tbl_ConsultingCompanys!D77</f>
        <v>BP Norge</v>
      </c>
      <c r="R77" s="102">
        <f>tbl_ConsultingCompanys!C77</f>
        <v>98842</v>
      </c>
      <c r="S77" s="102" t="str">
        <f t="shared" si="5"/>
        <v>BP Norge</v>
      </c>
    </row>
    <row r="78" spans="1:19" x14ac:dyDescent="0.15">
      <c r="K78" s="102" t="str">
        <f>tbl_ArchitectureOffices!D78</f>
        <v>Arkitektstudio Hamar AS</v>
      </c>
      <c r="L78" s="102">
        <f>tbl_ArchitectureOffices!C78</f>
        <v>166519</v>
      </c>
      <c r="M78" s="102" t="str">
        <f t="shared" si="3"/>
        <v>Arkitektstudio Hamar AS</v>
      </c>
      <c r="N78" s="102" t="str">
        <f>tbl_Companys!D78</f>
        <v>Arkinett AS</v>
      </c>
      <c r="O78" s="102">
        <f>tbl_Companys!C78</f>
        <v>166493</v>
      </c>
      <c r="P78" s="102" t="str">
        <f t="shared" si="4"/>
        <v>Arkinett AS</v>
      </c>
      <c r="Q78" s="102" t="str">
        <f>tbl_ConsultingCompanys!D78</f>
        <v>BP Solar</v>
      </c>
      <c r="R78" s="102">
        <f>tbl_ConsultingCompanys!C78</f>
        <v>98840</v>
      </c>
      <c r="S78" s="102" t="str">
        <f t="shared" si="5"/>
        <v>BP Solar</v>
      </c>
    </row>
    <row r="79" spans="1:19" x14ac:dyDescent="0.15">
      <c r="K79" s="102" t="str">
        <f>tbl_ArchitectureOffices!D79</f>
        <v>Arkitektteam AS</v>
      </c>
      <c r="L79" s="102">
        <f>tbl_ArchitectureOffices!C79</f>
        <v>172649</v>
      </c>
      <c r="M79" s="102" t="str">
        <f t="shared" si="3"/>
        <v>Arkitektteam AS</v>
      </c>
      <c r="N79" s="102" t="str">
        <f>tbl_Companys!D79</f>
        <v>Arkipartner AS</v>
      </c>
      <c r="O79" s="102">
        <f>tbl_Companys!C79</f>
        <v>166494</v>
      </c>
      <c r="P79" s="102" t="str">
        <f t="shared" si="4"/>
        <v>Arkipartner AS</v>
      </c>
      <c r="Q79" s="102" t="str">
        <f>tbl_ConsultingCompanys!D79</f>
        <v>Brannsikkerhet Total AS (Sprinkleranlegg)</v>
      </c>
      <c r="R79" s="102">
        <f>tbl_ConsultingCompanys!C79</f>
        <v>155177</v>
      </c>
      <c r="S79" s="102" t="str">
        <f t="shared" si="5"/>
        <v>Brannsikkerhet Total AS (Sprinkleranlegg)</v>
      </c>
    </row>
    <row r="80" spans="1:19" x14ac:dyDescent="0.15">
      <c r="K80" s="102" t="str">
        <f>tbl_ArchitectureOffices!D80</f>
        <v>Arkitektur EW verksted</v>
      </c>
      <c r="L80" s="102">
        <f>tbl_ArchitectureOffices!C80</f>
        <v>217475</v>
      </c>
      <c r="M80" s="102" t="str">
        <f t="shared" si="3"/>
        <v>Arkitektur EW verksted</v>
      </c>
      <c r="N80" s="102" t="str">
        <f>tbl_Companys!D80</f>
        <v>Arkiplan AS</v>
      </c>
      <c r="O80" s="102">
        <f>tbl_Companys!C80</f>
        <v>166495</v>
      </c>
      <c r="P80" s="102" t="str">
        <f t="shared" si="4"/>
        <v>Arkiplan AS</v>
      </c>
      <c r="Q80" s="102" t="str">
        <f>tbl_ConsultingCompanys!D80</f>
        <v>Brattørkaia AS</v>
      </c>
      <c r="R80" s="102">
        <f>tbl_ConsultingCompanys!C80</f>
        <v>233805</v>
      </c>
      <c r="S80" s="102" t="str">
        <f t="shared" si="5"/>
        <v>Brattørkaia AS</v>
      </c>
    </row>
    <row r="81" spans="11:19" x14ac:dyDescent="0.15">
      <c r="K81" s="102" t="str">
        <f>tbl_ArchitectureOffices!D81</f>
        <v>Arkitekturverket AS</v>
      </c>
      <c r="L81" s="102">
        <f>tbl_ArchitectureOffices!C81</f>
        <v>249377</v>
      </c>
      <c r="M81" s="102" t="str">
        <f t="shared" si="3"/>
        <v>Arkitekturverket AS</v>
      </c>
      <c r="N81" s="102" t="str">
        <f>tbl_Companys!D81</f>
        <v>Arkitekt Bengt Michaelsen</v>
      </c>
      <c r="O81" s="102">
        <f>tbl_Companys!C81</f>
        <v>242869</v>
      </c>
      <c r="P81" s="102" t="str">
        <f t="shared" si="4"/>
        <v>Arkitekt Bengt Michaelsen</v>
      </c>
      <c r="Q81" s="102" t="str">
        <f>tbl_ConsultingCompanys!D81</f>
        <v>Bravida</v>
      </c>
      <c r="R81" s="102">
        <f>tbl_ConsultingCompanys!C81</f>
        <v>178585</v>
      </c>
      <c r="S81" s="102" t="str">
        <f t="shared" si="5"/>
        <v>Bravida</v>
      </c>
    </row>
    <row r="82" spans="11:19" x14ac:dyDescent="0.15">
      <c r="K82" s="102" t="str">
        <f>tbl_ArchitectureOffices!D82</f>
        <v>Arkitekturverkstedet i Oslo/Asplan viak</v>
      </c>
      <c r="L82" s="102">
        <f>tbl_ArchitectureOffices!C82</f>
        <v>220271</v>
      </c>
      <c r="M82" s="102" t="str">
        <f t="shared" si="3"/>
        <v>Arkitekturverkstedet i Oslo/Asplan viak</v>
      </c>
      <c r="N82" s="102" t="str">
        <f>tbl_Companys!D82</f>
        <v>Arkitekt Ludvig Hoddø MNAL</v>
      </c>
      <c r="O82" s="102">
        <f>tbl_Companys!C82</f>
        <v>244046</v>
      </c>
      <c r="P82" s="102" t="str">
        <f t="shared" si="4"/>
        <v>Arkitekt Ludvig Hoddø MNAL</v>
      </c>
      <c r="Q82" s="102" t="str">
        <f>tbl_ConsultingCompanys!D82</f>
        <v>Bravida Norge AS (El, IT og VVS teknikk)</v>
      </c>
      <c r="R82" s="102">
        <f>tbl_ConsultingCompanys!C82</f>
        <v>157574</v>
      </c>
      <c r="S82" s="102" t="str">
        <f t="shared" si="5"/>
        <v>Bravida Norge AS (El, IT og VVS teknikk)</v>
      </c>
    </row>
    <row r="83" spans="11:19" x14ac:dyDescent="0.15">
      <c r="K83" s="102" t="str">
        <f>tbl_ArchitectureOffices!D83</f>
        <v>Arkplan</v>
      </c>
      <c r="L83" s="102">
        <f>tbl_ArchitectureOffices!C83</f>
        <v>236749</v>
      </c>
      <c r="M83" s="102" t="str">
        <f t="shared" si="3"/>
        <v>Arkplan</v>
      </c>
      <c r="N83" s="102" t="str">
        <f>tbl_Companys!D83</f>
        <v>Arkitekt MNAL Håvard Holm Endresen</v>
      </c>
      <c r="O83" s="102">
        <f>tbl_Companys!C83</f>
        <v>232534</v>
      </c>
      <c r="P83" s="102" t="str">
        <f t="shared" si="4"/>
        <v>Arkitekt MNAL Håvard Holm Endresen</v>
      </c>
      <c r="Q83" s="102" t="str">
        <f>tbl_ConsultingCompanys!D83</f>
        <v>Brekke &amp; Strand Akustikk AS</v>
      </c>
      <c r="R83" s="102">
        <f>tbl_ConsultingCompanys!C83</f>
        <v>209556</v>
      </c>
      <c r="S83" s="102" t="str">
        <f t="shared" si="5"/>
        <v>Brekke &amp; Strand Akustikk AS</v>
      </c>
    </row>
    <row r="84" spans="11:19" x14ac:dyDescent="0.15">
      <c r="K84" s="102" t="str">
        <f>tbl_ArchitectureOffices!D84</f>
        <v>Arktos Arkitektur AS</v>
      </c>
      <c r="L84" s="102">
        <f>tbl_ArchitectureOffices!C84</f>
        <v>172781</v>
      </c>
      <c r="M84" s="102" t="str">
        <f t="shared" si="3"/>
        <v>Arktos Arkitektur AS</v>
      </c>
      <c r="N84" s="102" t="str">
        <f>tbl_Companys!D84</f>
        <v xml:space="preserve">Arkitektarna Krook &amp; Tjäder A </v>
      </c>
      <c r="O84" s="102">
        <f>tbl_Companys!C84</f>
        <v>228619</v>
      </c>
      <c r="P84" s="102" t="str">
        <f t="shared" si="4"/>
        <v>Arkitektarna Krook &amp; Tjäder A</v>
      </c>
      <c r="Q84" s="102" t="str">
        <f>tbl_ConsultingCompanys!D84</f>
        <v>Bright elektro</v>
      </c>
      <c r="R84" s="102">
        <f>tbl_ConsultingCompanys!C84</f>
        <v>204394</v>
      </c>
      <c r="S84" s="102" t="str">
        <f t="shared" si="5"/>
        <v>Bright elektro</v>
      </c>
    </row>
    <row r="85" spans="11:19" x14ac:dyDescent="0.15">
      <c r="K85" s="102" t="str">
        <f>tbl_ArchitectureOffices!D85</f>
        <v>Arne Eggen Arkitektkontor A/S</v>
      </c>
      <c r="L85" s="102">
        <f>tbl_ArchitectureOffices!C85</f>
        <v>201319</v>
      </c>
      <c r="M85" s="102" t="str">
        <f t="shared" si="3"/>
        <v>Arne Eggen Arkitektkontor A/S</v>
      </c>
      <c r="N85" s="102" t="str">
        <f>tbl_Companys!D85</f>
        <v>Arkitektbua A/S</v>
      </c>
      <c r="O85" s="102">
        <f>tbl_Companys!C85</f>
        <v>166496</v>
      </c>
      <c r="P85" s="102" t="str">
        <f t="shared" si="4"/>
        <v>Arkitektbua A/S</v>
      </c>
      <c r="Q85" s="102" t="str">
        <f>tbl_ConsultingCompanys!D85</f>
        <v>Bright VVS</v>
      </c>
      <c r="R85" s="102">
        <f>tbl_ConsultingCompanys!C85</f>
        <v>204393</v>
      </c>
      <c r="S85" s="102" t="str">
        <f t="shared" si="5"/>
        <v>Bright VVS</v>
      </c>
    </row>
    <row r="86" spans="11:19" x14ac:dyDescent="0.15">
      <c r="K86" s="102" t="str">
        <f>tbl_ArchitectureOffices!D86</f>
        <v>Arstad arkitekter AS</v>
      </c>
      <c r="L86" s="102">
        <f>tbl_ArchitectureOffices!C86</f>
        <v>178009</v>
      </c>
      <c r="M86" s="102" t="str">
        <f t="shared" si="3"/>
        <v>Arstad arkitekter AS</v>
      </c>
      <c r="N86" s="102" t="str">
        <f>tbl_Companys!D86</f>
        <v>Arkitektene AS - Arkitekt MNAL NPA Espen Eskeland</v>
      </c>
      <c r="O86" s="102">
        <f>tbl_Companys!C86</f>
        <v>166497</v>
      </c>
      <c r="P86" s="102" t="str">
        <f t="shared" si="4"/>
        <v>Arkitektene AS - Arkitekt MNAL NPA Espen Eskeland</v>
      </c>
      <c r="Q86" s="102" t="str">
        <f>tbl_ConsultingCompanys!D86</f>
        <v>Brucon v/Ottar langehaug</v>
      </c>
      <c r="R86" s="102">
        <f>tbl_ConsultingCompanys!C86</f>
        <v>193871</v>
      </c>
      <c r="S86" s="102" t="str">
        <f t="shared" si="5"/>
        <v>Brucon v/Ottar langehaug</v>
      </c>
    </row>
    <row r="87" spans="11:19" x14ac:dyDescent="0.15">
      <c r="K87" s="102" t="str">
        <f>tbl_ArchitectureOffices!D87</f>
        <v>ART arkitekter og ingeniører AS</v>
      </c>
      <c r="L87" s="102">
        <f>tbl_ArchitectureOffices!C87</f>
        <v>241584</v>
      </c>
      <c r="M87" s="102" t="str">
        <f t="shared" si="3"/>
        <v>ART arkitekter og ingeniører AS</v>
      </c>
      <c r="N87" s="102" t="str">
        <f>tbl_Companys!D87</f>
        <v>Arkitektene Astrup og Hellern AS</v>
      </c>
      <c r="O87" s="102">
        <f>tbl_Companys!C87</f>
        <v>172846</v>
      </c>
      <c r="P87" s="102" t="str">
        <f t="shared" si="4"/>
        <v>Arkitektene Astrup og Hellern AS</v>
      </c>
      <c r="Q87" s="102" t="str">
        <f>tbl_ConsultingCompanys!D87</f>
        <v>Bryggeriparken AS</v>
      </c>
      <c r="R87" s="102">
        <f>tbl_ConsultingCompanys!C87</f>
        <v>229555</v>
      </c>
      <c r="S87" s="102" t="str">
        <f t="shared" si="5"/>
        <v>Bryggeriparken AS</v>
      </c>
    </row>
    <row r="88" spans="11:19" x14ac:dyDescent="0.15">
      <c r="K88" s="102" t="str">
        <f>tbl_ArchitectureOffices!D88</f>
        <v>ARTEC Prosjekt Team AS</v>
      </c>
      <c r="L88" s="102">
        <f>tbl_ArchitectureOffices!C88</f>
        <v>191891</v>
      </c>
      <c r="M88" s="102" t="str">
        <f t="shared" si="3"/>
        <v>ARTEC Prosjekt Team AS</v>
      </c>
      <c r="N88" s="102" t="str">
        <f>tbl_Companys!D88</f>
        <v>Arkitektfirma Jon Vikøren AS</v>
      </c>
      <c r="O88" s="102">
        <f>tbl_Companys!C88</f>
        <v>217913</v>
      </c>
      <c r="P88" s="102" t="str">
        <f t="shared" si="4"/>
        <v>Arkitektfirma Jon Vikøren AS</v>
      </c>
      <c r="Q88" s="102" t="str">
        <f>tbl_ConsultingCompanys!D88</f>
        <v>Brødrene Holstad AS</v>
      </c>
      <c r="R88" s="102">
        <f>tbl_ConsultingCompanys!C88</f>
        <v>243860</v>
      </c>
      <c r="S88" s="102" t="str">
        <f t="shared" si="5"/>
        <v>Brødrene Holstad AS</v>
      </c>
    </row>
    <row r="89" spans="11:19" x14ac:dyDescent="0.15">
      <c r="K89" s="102" t="str">
        <f>tbl_ArchitectureOffices!D89</f>
        <v>Askim/Lantto Arkitekter AS</v>
      </c>
      <c r="L89" s="102">
        <f>tbl_ArchitectureOffices!C89</f>
        <v>172659</v>
      </c>
      <c r="M89" s="102" t="str">
        <f t="shared" si="3"/>
        <v>Askim/Lantto Arkitekter AS</v>
      </c>
      <c r="N89" s="102" t="str">
        <f>tbl_Companys!D89</f>
        <v>Arkitektformidling</v>
      </c>
      <c r="O89" s="102">
        <f>tbl_Companys!C89</f>
        <v>181447</v>
      </c>
      <c r="P89" s="102" t="str">
        <f t="shared" si="4"/>
        <v>Arkitektformidling</v>
      </c>
      <c r="Q89" s="102" t="str">
        <f>tbl_ConsultingCompanys!D89</f>
        <v>Brødrene Jørmeland (grunn)</v>
      </c>
      <c r="R89" s="102">
        <f>tbl_ConsultingCompanys!C89</f>
        <v>162880</v>
      </c>
      <c r="S89" s="102" t="str">
        <f t="shared" si="5"/>
        <v>Brødrene Jørmeland (grunn)</v>
      </c>
    </row>
    <row r="90" spans="11:19" x14ac:dyDescent="0.15">
      <c r="K90" s="102" t="str">
        <f>tbl_ArchitectureOffices!D90</f>
        <v>Asplan Viak AS</v>
      </c>
      <c r="L90" s="102">
        <f>tbl_ArchitectureOffices!C90</f>
        <v>172914</v>
      </c>
      <c r="M90" s="102" t="str">
        <f t="shared" si="3"/>
        <v>Asplan Viak AS</v>
      </c>
      <c r="N90" s="102" t="str">
        <f>tbl_Companys!D90</f>
        <v>Arkitektgruppen Cubus AS</v>
      </c>
      <c r="O90" s="102">
        <f>tbl_Companys!C90</f>
        <v>248888</v>
      </c>
      <c r="P90" s="102" t="str">
        <f t="shared" si="4"/>
        <v>Arkitektgruppen Cubus AS</v>
      </c>
      <c r="Q90" s="102" t="str">
        <f>tbl_ConsultingCompanys!D90</f>
        <v>Brødrene Olstad AS</v>
      </c>
      <c r="R90" s="102">
        <f>tbl_ConsultingCompanys!C90</f>
        <v>103261</v>
      </c>
      <c r="S90" s="102" t="str">
        <f t="shared" si="5"/>
        <v>Brødrene Olstad AS</v>
      </c>
    </row>
    <row r="91" spans="11:19" x14ac:dyDescent="0.15">
      <c r="K91" s="102" t="str">
        <f>tbl_ArchitectureOffices!D91</f>
        <v>Astad Arkitektur</v>
      </c>
      <c r="L91" s="102">
        <f>tbl_ArchitectureOffices!C91</f>
        <v>192806</v>
      </c>
      <c r="M91" s="102" t="str">
        <f t="shared" si="3"/>
        <v>Astad Arkitektur</v>
      </c>
      <c r="N91" s="102" t="str">
        <f>tbl_Companys!D91</f>
        <v xml:space="preserve">Arkitektgruppen Cubus AS </v>
      </c>
      <c r="O91" s="102">
        <f>tbl_Companys!C91</f>
        <v>166499</v>
      </c>
      <c r="P91" s="102" t="str">
        <f t="shared" si="4"/>
        <v>Arkitektgruppen Cubus AS</v>
      </c>
      <c r="Q91" s="102" t="str">
        <f>tbl_ConsultingCompanys!D91</f>
        <v>Brødrene Ulveseth AS</v>
      </c>
      <c r="R91" s="102">
        <f>tbl_ConsultingCompanys!C91</f>
        <v>248741</v>
      </c>
      <c r="S91" s="102" t="str">
        <f t="shared" si="5"/>
        <v>Brødrene Ulveseth AS</v>
      </c>
    </row>
    <row r="92" spans="11:19" x14ac:dyDescent="0.15">
      <c r="K92" s="102" t="str">
        <f>tbl_ArchitectureOffices!D92</f>
        <v>Atelier Oslo</v>
      </c>
      <c r="L92" s="102">
        <f>tbl_ArchitectureOffices!C92</f>
        <v>172236</v>
      </c>
      <c r="M92" s="102" t="str">
        <f t="shared" si="3"/>
        <v>Atelier Oslo</v>
      </c>
      <c r="N92" s="102" t="str">
        <f>tbl_Companys!D92</f>
        <v>Arkitektgruppen Drammen AS</v>
      </c>
      <c r="O92" s="102">
        <f>tbl_Companys!C92</f>
        <v>214402</v>
      </c>
      <c r="P92" s="102" t="str">
        <f t="shared" si="4"/>
        <v>Arkitektgruppen Drammen AS</v>
      </c>
      <c r="Q92" s="102" t="str">
        <f>tbl_ConsultingCompanys!D92</f>
        <v>BS Akustikk AS</v>
      </c>
      <c r="R92" s="102">
        <f>tbl_ConsultingCompanys!C92</f>
        <v>103148</v>
      </c>
      <c r="S92" s="102" t="str">
        <f t="shared" si="5"/>
        <v>BS Akustikk AS</v>
      </c>
    </row>
    <row r="93" spans="11:19" x14ac:dyDescent="0.15">
      <c r="K93" s="102" t="str">
        <f>tbl_ArchitectureOffices!D93</f>
        <v>A-tract AS</v>
      </c>
      <c r="L93" s="102">
        <f>tbl_ArchitectureOffices!C93</f>
        <v>172717</v>
      </c>
      <c r="M93" s="102" t="str">
        <f t="shared" si="3"/>
        <v>A-tract AS</v>
      </c>
      <c r="N93" s="102" t="str">
        <f>tbl_Companys!D93</f>
        <v>Arkitekthuset Amlie - Strandgata 22 A/S</v>
      </c>
      <c r="O93" s="102">
        <f>tbl_Companys!C93</f>
        <v>166463</v>
      </c>
      <c r="P93" s="102" t="str">
        <f t="shared" si="4"/>
        <v>Arkitekthuset Amlie - Strandgata 22 A/S</v>
      </c>
      <c r="Q93" s="102" t="str">
        <f>tbl_ConsultingCompanys!D93</f>
        <v>BSH Husholdningsapparater AS (hvitevarer)</v>
      </c>
      <c r="R93" s="102">
        <f>tbl_ConsultingCompanys!C93</f>
        <v>198979</v>
      </c>
      <c r="S93" s="102" t="str">
        <f t="shared" si="5"/>
        <v>BSH Husholdningsapparater AS (hvitevarer)</v>
      </c>
    </row>
    <row r="94" spans="11:19" x14ac:dyDescent="0.15">
      <c r="K94" s="102" t="str">
        <f>tbl_ArchitectureOffices!D94</f>
        <v>Atsite</v>
      </c>
      <c r="L94" s="102">
        <f>tbl_ArchitectureOffices!C94</f>
        <v>235781</v>
      </c>
      <c r="M94" s="102" t="str">
        <f t="shared" si="3"/>
        <v>Atsite</v>
      </c>
      <c r="N94" s="102" t="str">
        <f>tbl_Companys!D94</f>
        <v xml:space="preserve">Arkitekthuset Lunøe &amp; Løffler </v>
      </c>
      <c r="O94" s="102">
        <f>tbl_Companys!C94</f>
        <v>166501</v>
      </c>
      <c r="P94" s="102" t="str">
        <f t="shared" si="4"/>
        <v>Arkitekthuset Lunøe &amp; Løffler</v>
      </c>
      <c r="Q94" s="102" t="str">
        <f>tbl_ConsultingCompanys!D94</f>
        <v>BundeBygg AS</v>
      </c>
      <c r="R94" s="102">
        <f>tbl_ConsultingCompanys!C94</f>
        <v>102857</v>
      </c>
      <c r="S94" s="102" t="str">
        <f t="shared" si="5"/>
        <v>BundeBygg AS</v>
      </c>
    </row>
    <row r="95" spans="11:19" x14ac:dyDescent="0.15">
      <c r="K95" s="102" t="str">
        <f>tbl_ArchitectureOffices!D95</f>
        <v xml:space="preserve">Aursand Arkitektkontor AS, Espen </v>
      </c>
      <c r="L95" s="102">
        <f>tbl_ArchitectureOffices!C95</f>
        <v>185123</v>
      </c>
      <c r="M95" s="102" t="str">
        <f t="shared" si="3"/>
        <v>Aursand Arkitektkontor AS, Espen</v>
      </c>
      <c r="N95" s="102" t="str">
        <f>tbl_Companys!D95</f>
        <v>Arkitektkompaniet AS</v>
      </c>
      <c r="O95" s="102">
        <f>tbl_Companys!C95</f>
        <v>232980</v>
      </c>
      <c r="P95" s="102" t="str">
        <f t="shared" si="4"/>
        <v>Arkitektkompaniet AS</v>
      </c>
      <c r="Q95" s="102" t="str">
        <f>tbl_ConsultingCompanys!D95</f>
        <v>Byberg Maskin AS (gravearbeider)</v>
      </c>
      <c r="R95" s="102">
        <f>tbl_ConsultingCompanys!C95</f>
        <v>172924</v>
      </c>
      <c r="S95" s="102" t="str">
        <f t="shared" si="5"/>
        <v>Byberg Maskin AS (gravearbeider)</v>
      </c>
    </row>
    <row r="96" spans="11:19" x14ac:dyDescent="0.15">
      <c r="K96" s="102" t="str">
        <f>tbl_ArchitectureOffices!D96</f>
        <v>Aursand og Spangen AS Sivilarkitekter</v>
      </c>
      <c r="L96" s="102">
        <f>tbl_ArchitectureOffices!C96</f>
        <v>172601</v>
      </c>
      <c r="M96" s="102" t="str">
        <f t="shared" si="3"/>
        <v>Aursand og Spangen AS Sivilarkitekter</v>
      </c>
      <c r="N96" s="102" t="str">
        <f>tbl_Companys!D96</f>
        <v>Arkitektkontor</v>
      </c>
      <c r="O96" s="102">
        <f>tbl_Companys!C96</f>
        <v>241583</v>
      </c>
      <c r="P96" s="102" t="str">
        <f t="shared" si="4"/>
        <v>Arkitektkontor</v>
      </c>
      <c r="Q96" s="102" t="str">
        <f>tbl_ConsultingCompanys!D96</f>
        <v>ByBo AS</v>
      </c>
      <c r="R96" s="102">
        <f>tbl_ConsultingCompanys!C96</f>
        <v>166301</v>
      </c>
      <c r="S96" s="102" t="str">
        <f t="shared" si="5"/>
        <v>ByBo AS</v>
      </c>
    </row>
    <row r="97" spans="11:19" x14ac:dyDescent="0.15">
      <c r="K97" s="102" t="str">
        <f>tbl_ArchitectureOffices!D97</f>
        <v>AWP (Frankrike)</v>
      </c>
      <c r="L97" s="102">
        <f>tbl_ArchitectureOffices!C97</f>
        <v>245867</v>
      </c>
      <c r="M97" s="102" t="str">
        <f t="shared" si="3"/>
        <v>AWP (Frankrike)</v>
      </c>
      <c r="N97" s="102" t="str">
        <f>tbl_Companys!D97</f>
        <v>Arkitektkontor</v>
      </c>
      <c r="O97" s="102">
        <f>tbl_Companys!C97</f>
        <v>247814</v>
      </c>
      <c r="P97" s="102" t="str">
        <f t="shared" si="4"/>
        <v>Arkitektkontor</v>
      </c>
      <c r="Q97" s="102" t="str">
        <f>tbl_ConsultingCompanys!D97</f>
        <v>Bygganalyse AS</v>
      </c>
      <c r="R97" s="102">
        <f>tbl_ConsultingCompanys!C97</f>
        <v>103151</v>
      </c>
      <c r="S97" s="102" t="str">
        <f t="shared" si="5"/>
        <v>Bygganalyse AS</v>
      </c>
    </row>
    <row r="98" spans="11:19" x14ac:dyDescent="0.15">
      <c r="K98" s="102" t="str">
        <f>tbl_ArchitectureOffices!D98</f>
        <v>b+b arkitekter as</v>
      </c>
      <c r="L98" s="102">
        <f>tbl_ArchitectureOffices!C98</f>
        <v>166536</v>
      </c>
      <c r="M98" s="102" t="str">
        <f t="shared" si="3"/>
        <v>b+b arkitekter as</v>
      </c>
      <c r="N98" s="102" t="str">
        <f>tbl_Companys!D98</f>
        <v>Arkitektkontor</v>
      </c>
      <c r="O98" s="102">
        <f>tbl_Companys!C98</f>
        <v>247888</v>
      </c>
      <c r="P98" s="102" t="str">
        <f t="shared" si="4"/>
        <v>Arkitektkontor</v>
      </c>
      <c r="Q98" s="102" t="str">
        <f>tbl_ConsultingCompanys!D98</f>
        <v>Byggeadministrasjon AS</v>
      </c>
      <c r="R98" s="102">
        <f>tbl_ConsultingCompanys!C98</f>
        <v>246927</v>
      </c>
      <c r="S98" s="102" t="str">
        <f t="shared" si="5"/>
        <v>Byggeadministrasjon AS</v>
      </c>
    </row>
    <row r="99" spans="11:19" x14ac:dyDescent="0.15">
      <c r="K99" s="102" t="str">
        <f>tbl_ArchitectureOffices!D99</f>
        <v xml:space="preserve">Bar, AS Arkitektgruppen </v>
      </c>
      <c r="L99" s="102">
        <f>tbl_ArchitectureOffices!C99</f>
        <v>172234</v>
      </c>
      <c r="M99" s="102" t="str">
        <f t="shared" si="3"/>
        <v>Bar, AS Arkitektgruppen</v>
      </c>
      <c r="N99" s="102" t="str">
        <f>tbl_Companys!D99</f>
        <v>Arkitektkontor</v>
      </c>
      <c r="O99" s="102">
        <f>tbl_Companys!C99</f>
        <v>249384</v>
      </c>
      <c r="P99" s="102" t="str">
        <f t="shared" si="4"/>
        <v>Arkitektkontor</v>
      </c>
      <c r="Q99" s="102" t="str">
        <f>tbl_ConsultingCompanys!D99</f>
        <v>Byggforsk</v>
      </c>
      <c r="R99" s="102">
        <f>tbl_ConsultingCompanys!C99</f>
        <v>112150</v>
      </c>
      <c r="S99" s="102" t="str">
        <f t="shared" si="5"/>
        <v>Byggforsk</v>
      </c>
    </row>
    <row r="100" spans="11:19" x14ac:dyDescent="0.15">
      <c r="K100" s="102" t="str">
        <f>tbl_ArchitectureOffices!D100</f>
        <v>Bark Arkitekter AS</v>
      </c>
      <c r="L100" s="102">
        <f>tbl_ArchitectureOffices!C100</f>
        <v>181847</v>
      </c>
      <c r="M100" s="102" t="str">
        <f t="shared" si="3"/>
        <v>Bark Arkitekter AS</v>
      </c>
      <c r="N100" s="102" t="str">
        <f>tbl_Companys!D100</f>
        <v>Arkitektkontor</v>
      </c>
      <c r="O100" s="102">
        <f>tbl_Companys!C100</f>
        <v>249654</v>
      </c>
      <c r="P100" s="102" t="str">
        <f t="shared" si="4"/>
        <v>Arkitektkontor</v>
      </c>
      <c r="Q100" s="102" t="str">
        <f>tbl_ConsultingCompanys!D100</f>
        <v>Byggmeister Samson Kjoberg</v>
      </c>
      <c r="R100" s="102">
        <f>tbl_ConsultingCompanys!C100</f>
        <v>224066</v>
      </c>
      <c r="S100" s="102" t="str">
        <f t="shared" si="5"/>
        <v>Byggmeister Samson Kjoberg</v>
      </c>
    </row>
    <row r="101" spans="11:19" x14ac:dyDescent="0.15">
      <c r="K101" s="102" t="str">
        <f>tbl_ArchitectureOffices!D101</f>
        <v>Bas Arkitekter AS</v>
      </c>
      <c r="L101" s="102">
        <f>tbl_ArchitectureOffices!C101</f>
        <v>166527</v>
      </c>
      <c r="M101" s="102" t="str">
        <f t="shared" si="3"/>
        <v>Bas Arkitekter AS</v>
      </c>
      <c r="N101" s="102" t="str">
        <f>tbl_Companys!D101</f>
        <v>Arkitektkontoret IHT</v>
      </c>
      <c r="O101" s="102">
        <f>tbl_Companys!C101</f>
        <v>245838</v>
      </c>
      <c r="P101" s="102" t="str">
        <f t="shared" si="4"/>
        <v>Arkitektkontoret IHT</v>
      </c>
      <c r="Q101" s="102" t="str">
        <f>tbl_ConsultingCompanys!D101</f>
        <v>Byggmester Goa (tømmerarbeider)</v>
      </c>
      <c r="R101" s="102">
        <f>tbl_ConsultingCompanys!C101</f>
        <v>172923</v>
      </c>
      <c r="S101" s="102" t="str">
        <f t="shared" si="5"/>
        <v>Byggmester Goa (tømmerarbeider)</v>
      </c>
    </row>
    <row r="102" spans="11:19" x14ac:dyDescent="0.15">
      <c r="K102" s="102" t="str">
        <f>tbl_ArchitectureOffices!D102</f>
        <v>Base Arkitekter AS</v>
      </c>
      <c r="L102" s="102">
        <f>tbl_ArchitectureOffices!C102</f>
        <v>166528</v>
      </c>
      <c r="M102" s="102" t="str">
        <f t="shared" si="3"/>
        <v>Base Arkitekter AS</v>
      </c>
      <c r="N102" s="102" t="str">
        <f>tbl_Companys!D102</f>
        <v>Arkitektkontoret JoB AS</v>
      </c>
      <c r="O102" s="102">
        <f>tbl_Companys!C102</f>
        <v>247815</v>
      </c>
      <c r="P102" s="102" t="str">
        <f t="shared" si="4"/>
        <v>Arkitektkontoret JoB AS</v>
      </c>
      <c r="Q102" s="102" t="str">
        <f>tbl_ConsultingCompanys!D102</f>
        <v>Byggmester Tom Martinsen</v>
      </c>
      <c r="R102" s="102">
        <f>tbl_ConsultingCompanys!C102</f>
        <v>103367</v>
      </c>
      <c r="S102" s="102" t="str">
        <f t="shared" si="5"/>
        <v>Byggmester Tom Martinsen</v>
      </c>
    </row>
    <row r="103" spans="11:19" x14ac:dyDescent="0.15">
      <c r="K103" s="102" t="str">
        <f>tbl_ArchitectureOffices!D103</f>
        <v>Basis arkitekter as</v>
      </c>
      <c r="L103" s="102">
        <f>tbl_ArchitectureOffices!C103</f>
        <v>246156</v>
      </c>
      <c r="M103" s="102" t="str">
        <f t="shared" si="3"/>
        <v>Basis arkitekter as</v>
      </c>
      <c r="N103" s="102" t="str">
        <f>tbl_Companys!D103</f>
        <v>Arkitektkontoret JoB AS</v>
      </c>
      <c r="O103" s="102">
        <f>tbl_Companys!C103</f>
        <v>248173</v>
      </c>
      <c r="P103" s="102" t="str">
        <f t="shared" si="4"/>
        <v>Arkitektkontoret JoB AS</v>
      </c>
      <c r="Q103" s="102" t="str">
        <f>tbl_ConsultingCompanys!D103</f>
        <v>Byggmester Tom Martinsen</v>
      </c>
      <c r="R103" s="102">
        <f>tbl_ConsultingCompanys!C103</f>
        <v>160584</v>
      </c>
      <c r="S103" s="102" t="str">
        <f t="shared" si="5"/>
        <v>Byggmester Tom Martinsen</v>
      </c>
    </row>
    <row r="104" spans="11:19" x14ac:dyDescent="0.15">
      <c r="K104" s="102" t="str">
        <f>tbl_ArchitectureOffices!D104</f>
        <v>Bauck AS, Arkitektkontoret Jan</v>
      </c>
      <c r="L104" s="102">
        <f>tbl_ArchitectureOffices!C104</f>
        <v>166531</v>
      </c>
      <c r="M104" s="102" t="str">
        <f t="shared" si="3"/>
        <v>Bauck AS, Arkitektkontoret Jan</v>
      </c>
      <c r="N104" s="102" t="str">
        <f>tbl_Companys!D104</f>
        <v>Arkitektkontoret Tellus AS</v>
      </c>
      <c r="O104" s="102">
        <f>tbl_Companys!C104</f>
        <v>231316</v>
      </c>
      <c r="P104" s="102" t="str">
        <f t="shared" si="4"/>
        <v>Arkitektkontoret Tellus AS</v>
      </c>
      <c r="Q104" s="102" t="str">
        <f>tbl_ConsultingCompanys!D104</f>
        <v>ByggMester VEST</v>
      </c>
      <c r="R104" s="102">
        <f>tbl_ConsultingCompanys!C104</f>
        <v>166296</v>
      </c>
      <c r="S104" s="102" t="str">
        <f t="shared" si="5"/>
        <v>ByggMester VEST</v>
      </c>
    </row>
    <row r="105" spans="11:19" x14ac:dyDescent="0.15">
      <c r="K105" s="102" t="str">
        <f>tbl_ArchitectureOffices!D105</f>
        <v xml:space="preserve">BBW AS, Arkitektkontoret </v>
      </c>
      <c r="L105" s="102">
        <f>tbl_ArchitectureOffices!C105</f>
        <v>166526</v>
      </c>
      <c r="M105" s="102" t="str">
        <f t="shared" si="3"/>
        <v>BBW AS, Arkitektkontoret</v>
      </c>
      <c r="N105" s="102" t="str">
        <f>tbl_Companys!D105</f>
        <v>Arkitektkontoret Tellus AS</v>
      </c>
      <c r="O105" s="102">
        <f>tbl_Companys!C105</f>
        <v>232821</v>
      </c>
      <c r="P105" s="102" t="str">
        <f t="shared" si="4"/>
        <v>Arkitektkontoret Tellus AS</v>
      </c>
      <c r="Q105" s="102" t="str">
        <f>tbl_ConsultingCompanys!D105</f>
        <v>Byggmester Vest as (arkitektfag)</v>
      </c>
      <c r="R105" s="102">
        <f>tbl_ConsultingCompanys!C105</f>
        <v>215432</v>
      </c>
      <c r="S105" s="102" t="str">
        <f t="shared" si="5"/>
        <v>Byggmester Vest as (arkitektfag)</v>
      </c>
    </row>
    <row r="106" spans="11:19" x14ac:dyDescent="0.15">
      <c r="K106" s="102" t="str">
        <f>tbl_ArchitectureOffices!D106</f>
        <v>Beate Ellingsen AS</v>
      </c>
      <c r="L106" s="102">
        <f>tbl_ArchitectureOffices!C106</f>
        <v>228641</v>
      </c>
      <c r="M106" s="102" t="str">
        <f t="shared" si="3"/>
        <v>Beate Ellingsen AS</v>
      </c>
      <c r="N106" s="102" t="str">
        <f>tbl_Companys!D106</f>
        <v>Arkitektkontoret Tellus AS</v>
      </c>
      <c r="O106" s="102">
        <f>tbl_Companys!C106</f>
        <v>235528</v>
      </c>
      <c r="P106" s="102" t="str">
        <f t="shared" si="4"/>
        <v>Arkitektkontoret Tellus AS</v>
      </c>
      <c r="Q106" s="102" t="str">
        <f>tbl_ConsultingCompanys!D106</f>
        <v>Byggmesterfirma Hansen og Lauritsen AS</v>
      </c>
      <c r="R106" s="102">
        <f>tbl_ConsultingCompanys!C106</f>
        <v>200080</v>
      </c>
      <c r="S106" s="102" t="str">
        <f t="shared" si="5"/>
        <v>Byggmesterfirma Hansen og Lauritsen AS</v>
      </c>
    </row>
    <row r="107" spans="11:19" x14ac:dyDescent="0.15">
      <c r="K107" s="102" t="str">
        <f>tbl_ArchitectureOffices!D107</f>
        <v>Bente Rødahl Arkitekter AS</v>
      </c>
      <c r="L107" s="102">
        <f>tbl_ArchitectureOffices!C107</f>
        <v>234990</v>
      </c>
      <c r="M107" s="102" t="str">
        <f t="shared" si="3"/>
        <v>Bente Rødahl Arkitekter AS</v>
      </c>
      <c r="N107" s="102" t="str">
        <f>tbl_Companys!D107</f>
        <v>Arkitektskap AS</v>
      </c>
      <c r="O107" s="102">
        <f>tbl_Companys!C107</f>
        <v>166514</v>
      </c>
      <c r="P107" s="102" t="str">
        <f t="shared" si="4"/>
        <v>Arkitektskap AS</v>
      </c>
      <c r="Q107" s="102" t="str">
        <f>tbl_ConsultingCompanys!D107</f>
        <v>Byggplan AS</v>
      </c>
      <c r="R107" s="102">
        <f>tbl_ConsultingCompanys!C107</f>
        <v>243865</v>
      </c>
      <c r="S107" s="102" t="str">
        <f t="shared" si="5"/>
        <v>Byggplan AS</v>
      </c>
    </row>
    <row r="108" spans="11:19" x14ac:dyDescent="0.15">
      <c r="K108" s="102" t="str">
        <f>tbl_ArchitectureOffices!D108</f>
        <v>Berg og Østvang AS, Arkitektene</v>
      </c>
      <c r="L108" s="102">
        <f>tbl_ArchitectureOffices!C108</f>
        <v>166498</v>
      </c>
      <c r="M108" s="102" t="str">
        <f t="shared" si="3"/>
        <v>Berg og Østvang AS, Arkitektene</v>
      </c>
      <c r="N108" s="102" t="str">
        <f>tbl_Companys!D108</f>
        <v>Arkitektstudio as</v>
      </c>
      <c r="O108" s="102">
        <f>tbl_Companys!C108</f>
        <v>166522</v>
      </c>
      <c r="P108" s="102" t="str">
        <f t="shared" si="4"/>
        <v>Arkitektstudio as</v>
      </c>
      <c r="Q108" s="102" t="str">
        <f>tbl_ConsultingCompanys!D108</f>
        <v>Bærum Kommune</v>
      </c>
      <c r="R108" s="102">
        <f>tbl_ConsultingCompanys!C108</f>
        <v>157567</v>
      </c>
      <c r="S108" s="102" t="str">
        <f t="shared" si="5"/>
        <v>Bærum Kommune</v>
      </c>
    </row>
    <row r="109" spans="11:19" x14ac:dyDescent="0.15">
      <c r="K109" s="102" t="str">
        <f>tbl_ArchitectureOffices!D109</f>
        <v>Bergersen Arkitekter AS</v>
      </c>
      <c r="L109" s="102">
        <f>tbl_ArchitectureOffices!C109</f>
        <v>249501</v>
      </c>
      <c r="M109" s="102" t="str">
        <f t="shared" si="3"/>
        <v>Bergersen Arkitekter AS</v>
      </c>
      <c r="N109" s="102" t="str">
        <f>tbl_Companys!D109</f>
        <v>Arkitektstudio Hamar AS</v>
      </c>
      <c r="O109" s="102">
        <f>tbl_Companys!C109</f>
        <v>166519</v>
      </c>
      <c r="P109" s="102" t="str">
        <f t="shared" si="4"/>
        <v>Arkitektstudio Hamar AS</v>
      </c>
      <c r="Q109" s="102" t="str">
        <f>tbl_ConsultingCompanys!D109</f>
        <v>Bøhmer entreprenør AS</v>
      </c>
      <c r="R109" s="102">
        <f>tbl_ConsultingCompanys!C109</f>
        <v>103209</v>
      </c>
      <c r="S109" s="102" t="str">
        <f t="shared" si="5"/>
        <v>Bøhmer entreprenør AS</v>
      </c>
    </row>
    <row r="110" spans="11:19" x14ac:dyDescent="0.15">
      <c r="K110" s="102" t="str">
        <f>tbl_ArchitectureOffices!D110</f>
        <v>Bergersen Gromholt Ottar Arkitekter AS</v>
      </c>
      <c r="L110" s="102">
        <f>tbl_ArchitectureOffices!C110</f>
        <v>166532</v>
      </c>
      <c r="M110" s="102" t="str">
        <f t="shared" si="3"/>
        <v>Bergersen Gromholt Ottar Arkitekter AS</v>
      </c>
      <c r="N110" s="102" t="str">
        <f>tbl_Companys!D110</f>
        <v>Arkitektteam AS</v>
      </c>
      <c r="O110" s="102">
        <f>tbl_Companys!C110</f>
        <v>172649</v>
      </c>
      <c r="P110" s="102" t="str">
        <f t="shared" si="4"/>
        <v>Arkitektteam AS</v>
      </c>
      <c r="Q110" s="102" t="str">
        <f>tbl_ConsultingCompanys!D110</f>
        <v>Børre Svindal Larsen as</v>
      </c>
      <c r="R110" s="102">
        <f>tbl_ConsultingCompanys!C110</f>
        <v>119976</v>
      </c>
      <c r="S110" s="102" t="str">
        <f t="shared" si="5"/>
        <v>Børre Svindal Larsen as</v>
      </c>
    </row>
    <row r="111" spans="11:19" x14ac:dyDescent="0.15">
      <c r="K111" s="102" t="str">
        <f>tbl_ArchitectureOffices!D111</f>
        <v xml:space="preserve">Bergseth sivilarkitekt MNAL, Magne </v>
      </c>
      <c r="L111" s="102">
        <f>tbl_ArchitectureOffices!C111</f>
        <v>166533</v>
      </c>
      <c r="M111" s="102" t="str">
        <f t="shared" si="3"/>
        <v>Bergseth sivilarkitekt MNAL, Magne</v>
      </c>
      <c r="N111" s="102" t="str">
        <f>tbl_Companys!D111</f>
        <v>Arkitektur EW verksted</v>
      </c>
      <c r="O111" s="102">
        <f>tbl_Companys!C111</f>
        <v>217475</v>
      </c>
      <c r="P111" s="102" t="str">
        <f t="shared" si="4"/>
        <v>Arkitektur EW verksted</v>
      </c>
      <c r="Q111" s="102" t="str">
        <f>tbl_ConsultingCompanys!D111</f>
        <v>C. Svenkerud</v>
      </c>
      <c r="R111" s="102">
        <f>tbl_ConsultingCompanys!C111</f>
        <v>101064</v>
      </c>
      <c r="S111" s="102" t="str">
        <f t="shared" si="5"/>
        <v>C. Svenkerud</v>
      </c>
    </row>
    <row r="112" spans="11:19" x14ac:dyDescent="0.15">
      <c r="K112" s="102" t="str">
        <f>tbl_ArchitectureOffices!D112</f>
        <v xml:space="preserve">Biesel Arkitekter AS, Eder </v>
      </c>
      <c r="L112" s="102">
        <f>tbl_ArchitectureOffices!C112</f>
        <v>172725</v>
      </c>
      <c r="M112" s="102" t="str">
        <f t="shared" si="3"/>
        <v>Biesel Arkitekter AS, Eder</v>
      </c>
      <c r="N112" s="102" t="str">
        <f>tbl_Companys!D112</f>
        <v>Arkitekturverket AS</v>
      </c>
      <c r="O112" s="102">
        <f>tbl_Companys!C112</f>
        <v>249377</v>
      </c>
      <c r="P112" s="102" t="str">
        <f t="shared" si="4"/>
        <v>Arkitekturverket AS</v>
      </c>
      <c r="Q112" s="102" t="str">
        <f>tbl_ConsultingCompanys!D112</f>
        <v>Chem - Con AS (mur og gulv)</v>
      </c>
      <c r="R112" s="102">
        <f>tbl_ConsultingCompanys!C112</f>
        <v>162879</v>
      </c>
      <c r="S112" s="102" t="str">
        <f t="shared" si="5"/>
        <v>Chem - Con AS (mur og gulv)</v>
      </c>
    </row>
    <row r="113" spans="11:19" x14ac:dyDescent="0.15">
      <c r="K113" s="102" t="str">
        <f>tbl_ArchitectureOffices!D113</f>
        <v>Bifokal Zednik</v>
      </c>
      <c r="L113" s="102">
        <f>tbl_ArchitectureOffices!C113</f>
        <v>194016</v>
      </c>
      <c r="M113" s="102" t="str">
        <f t="shared" si="3"/>
        <v>Bifokal Zednik</v>
      </c>
      <c r="N113" s="102" t="str">
        <f>tbl_Companys!D113</f>
        <v>Arkitekturverkstedet i Oslo/Asplan viak</v>
      </c>
      <c r="O113" s="102">
        <f>tbl_Companys!C113</f>
        <v>220271</v>
      </c>
      <c r="P113" s="102" t="str">
        <f t="shared" si="4"/>
        <v>Arkitekturverkstedet i Oslo/Asplan viak</v>
      </c>
      <c r="Q113" s="102" t="str">
        <f>tbl_ConsultingCompanys!D113</f>
        <v>Christiansen og Roberg AS</v>
      </c>
      <c r="R113" s="102">
        <f>tbl_ConsultingCompanys!C113</f>
        <v>213753</v>
      </c>
      <c r="S113" s="102" t="str">
        <f t="shared" si="5"/>
        <v>Christiansen og Roberg AS</v>
      </c>
    </row>
    <row r="114" spans="11:19" x14ac:dyDescent="0.15">
      <c r="K114" s="102" t="str">
        <f>tbl_ArchitectureOffices!D114</f>
        <v>Biong Arkitekter AS</v>
      </c>
      <c r="L114" s="102">
        <f>tbl_ArchitectureOffices!C114</f>
        <v>172658</v>
      </c>
      <c r="M114" s="102" t="str">
        <f t="shared" si="3"/>
        <v>Biong Arkitekter AS</v>
      </c>
      <c r="N114" s="102" t="str">
        <f>tbl_Companys!D114</f>
        <v>Arkplan</v>
      </c>
      <c r="O114" s="102">
        <f>tbl_Companys!C114</f>
        <v>236749</v>
      </c>
      <c r="P114" s="102" t="str">
        <f t="shared" si="4"/>
        <v>Arkplan</v>
      </c>
      <c r="Q114" s="102" t="str">
        <f>tbl_ConsultingCompanys!D114</f>
        <v>Claudio Trovanelli (Hypokausten og peiser)</v>
      </c>
      <c r="R114" s="102">
        <f>tbl_ConsultingCompanys!C114</f>
        <v>162876</v>
      </c>
      <c r="S114" s="102" t="str">
        <f t="shared" si="5"/>
        <v>Claudio Trovanelli (Hypokausten og peiser)</v>
      </c>
    </row>
    <row r="115" spans="11:19" x14ac:dyDescent="0.15">
      <c r="K115" s="102" t="str">
        <f>tbl_ArchitectureOffices!D115</f>
        <v>Bios Arkitekter AS</v>
      </c>
      <c r="L115" s="102">
        <f>tbl_ArchitectureOffices!C115</f>
        <v>203536</v>
      </c>
      <c r="M115" s="102" t="str">
        <f t="shared" si="3"/>
        <v>Bios Arkitekter AS</v>
      </c>
      <c r="N115" s="102" t="str">
        <f>tbl_Companys!D115</f>
        <v>Arktos Arkitektur AS</v>
      </c>
      <c r="O115" s="102">
        <f>tbl_Companys!C115</f>
        <v>172781</v>
      </c>
      <c r="P115" s="102" t="str">
        <f t="shared" si="4"/>
        <v>Arktos Arkitektur AS</v>
      </c>
      <c r="Q115" s="102" t="str">
        <f>tbl_ConsultingCompanys!D115</f>
        <v>Colt AS</v>
      </c>
      <c r="R115" s="102">
        <f>tbl_ConsultingCompanys!C115</f>
        <v>202454</v>
      </c>
      <c r="S115" s="102" t="str">
        <f t="shared" si="5"/>
        <v>Colt AS</v>
      </c>
    </row>
    <row r="116" spans="11:19" x14ac:dyDescent="0.15">
      <c r="K116" s="102" t="str">
        <f>tbl_ArchitectureOffices!D116</f>
        <v>Bjerke arkitektkontor</v>
      </c>
      <c r="L116" s="102">
        <f>tbl_ArchitectureOffices!C116</f>
        <v>166537</v>
      </c>
      <c r="M116" s="102" t="str">
        <f t="shared" si="3"/>
        <v>Bjerke arkitektkontor</v>
      </c>
      <c r="N116" s="102" t="str">
        <f>tbl_Companys!D116</f>
        <v>Arne Aakermann</v>
      </c>
      <c r="O116" s="102">
        <f>tbl_Companys!C116</f>
        <v>160605</v>
      </c>
      <c r="P116" s="102" t="str">
        <f t="shared" si="4"/>
        <v>Arne Aakermann</v>
      </c>
      <c r="Q116" s="102" t="str">
        <f>tbl_ConsultingCompanys!D116</f>
        <v xml:space="preserve">Comfort consult AS </v>
      </c>
      <c r="R116" s="102">
        <f>tbl_ConsultingCompanys!C116</f>
        <v>110994</v>
      </c>
      <c r="S116" s="102" t="str">
        <f t="shared" si="5"/>
        <v>Comfort consult AS</v>
      </c>
    </row>
    <row r="117" spans="11:19" x14ac:dyDescent="0.15">
      <c r="K117" s="102" t="str">
        <f>tbl_ArchitectureOffices!D117</f>
        <v>Bjørbekk og Lindheim</v>
      </c>
      <c r="L117" s="102">
        <f>tbl_ArchitectureOffices!C117</f>
        <v>236408</v>
      </c>
      <c r="M117" s="102" t="str">
        <f t="shared" si="3"/>
        <v>Bjørbekk og Lindheim</v>
      </c>
      <c r="N117" s="102" t="str">
        <f>tbl_Companys!D117</f>
        <v>Arne Eggen Arkitektkontor A/S</v>
      </c>
      <c r="O117" s="102">
        <f>tbl_Companys!C117</f>
        <v>201319</v>
      </c>
      <c r="P117" s="102" t="str">
        <f t="shared" si="4"/>
        <v>Arne Eggen Arkitektkontor A/S</v>
      </c>
      <c r="Q117" s="102" t="str">
        <f>tbl_ConsultingCompanys!D117</f>
        <v xml:space="preserve">Conradi AS </v>
      </c>
      <c r="R117" s="102">
        <f>tbl_ConsultingCompanys!C117</f>
        <v>217516</v>
      </c>
      <c r="S117" s="102" t="str">
        <f t="shared" si="5"/>
        <v>Conradi AS</v>
      </c>
    </row>
    <row r="118" spans="11:19" x14ac:dyDescent="0.15">
      <c r="K118" s="102" t="str">
        <f>tbl_ArchitectureOffices!D118</f>
        <v>Bjørn Haugstad Arkitekt MNAL</v>
      </c>
      <c r="L118" s="102">
        <f>tbl_ArchitectureOffices!C118</f>
        <v>227536</v>
      </c>
      <c r="M118" s="102" t="str">
        <f t="shared" si="3"/>
        <v>Bjørn Haugstad Arkitekt MNAL</v>
      </c>
      <c r="N118" s="102" t="str">
        <f>tbl_Companys!D118</f>
        <v>Arne Vidar Hegni</v>
      </c>
      <c r="O118" s="102">
        <f>tbl_Companys!C118</f>
        <v>112497</v>
      </c>
      <c r="P118" s="102" t="str">
        <f t="shared" si="4"/>
        <v>Arne Vidar Hegni</v>
      </c>
      <c r="Q118" s="102" t="str">
        <f>tbl_ConsultingCompanys!D118</f>
        <v>Corebis as</v>
      </c>
      <c r="R118" s="102">
        <f>tbl_ConsultingCompanys!C118</f>
        <v>155654</v>
      </c>
      <c r="S118" s="102" t="str">
        <f t="shared" si="5"/>
        <v>Corebis as</v>
      </c>
    </row>
    <row r="119" spans="11:19" x14ac:dyDescent="0.15">
      <c r="K119" s="102" t="str">
        <f>tbl_ArchitectureOffices!D119</f>
        <v xml:space="preserve">Bjørnstad Prosjektering AS, Bjørn </v>
      </c>
      <c r="L119" s="102">
        <f>tbl_ArchitectureOffices!C119</f>
        <v>166538</v>
      </c>
      <c r="M119" s="102" t="str">
        <f t="shared" si="3"/>
        <v>Bjørnstad Prosjektering AS, Bjørn</v>
      </c>
      <c r="N119" s="102" t="str">
        <f>tbl_Companys!D119</f>
        <v>Arne Wikholm AS</v>
      </c>
      <c r="O119" s="102">
        <f>tbl_Companys!C119</f>
        <v>110769</v>
      </c>
      <c r="P119" s="102" t="str">
        <f t="shared" si="4"/>
        <v>Arne Wikholm AS</v>
      </c>
      <c r="Q119" s="102" t="str">
        <f>tbl_ConsultingCompanys!D119</f>
        <v>Cowi as</v>
      </c>
      <c r="R119" s="102">
        <f>tbl_ConsultingCompanys!C119</f>
        <v>217298</v>
      </c>
      <c r="S119" s="102" t="str">
        <f t="shared" si="5"/>
        <v>Cowi as</v>
      </c>
    </row>
    <row r="120" spans="11:19" x14ac:dyDescent="0.15">
      <c r="K120" s="102" t="str">
        <f>tbl_ArchitectureOffices!D120</f>
        <v>blå arkitektur landskab ab</v>
      </c>
      <c r="L120" s="102">
        <f>tbl_ArchitectureOffices!C120</f>
        <v>166539</v>
      </c>
      <c r="M120" s="102" t="str">
        <f t="shared" si="3"/>
        <v>blå arkitektur landskab ab</v>
      </c>
      <c r="N120" s="102" t="str">
        <f>tbl_Companys!D120</f>
        <v>Arstad arkitekter AS</v>
      </c>
      <c r="O120" s="102">
        <f>tbl_Companys!C120</f>
        <v>178009</v>
      </c>
      <c r="P120" s="102" t="str">
        <f t="shared" si="4"/>
        <v>Arstad arkitekter AS</v>
      </c>
      <c r="Q120" s="102" t="str">
        <f>tbl_ConsultingCompanys!D120</f>
        <v>CTM AS</v>
      </c>
      <c r="R120" s="102">
        <f>tbl_ConsultingCompanys!C120</f>
        <v>111930</v>
      </c>
      <c r="S120" s="102" t="str">
        <f t="shared" si="5"/>
        <v>CTM AS</v>
      </c>
    </row>
    <row r="121" spans="11:19" x14ac:dyDescent="0.15">
      <c r="K121" s="102" t="str">
        <f>tbl_ArchitectureOffices!D121</f>
        <v>Bo arkitekter as</v>
      </c>
      <c r="L121" s="102">
        <f>tbl_ArchitectureOffices!C121</f>
        <v>226513</v>
      </c>
      <c r="M121" s="102" t="str">
        <f t="shared" si="3"/>
        <v>Bo arkitekter as</v>
      </c>
      <c r="N121" s="102" t="str">
        <f>tbl_Companys!D121</f>
        <v>ART arkitekter og ingeniører AS</v>
      </c>
      <c r="O121" s="102">
        <f>tbl_Companys!C121</f>
        <v>241584</v>
      </c>
      <c r="P121" s="102" t="str">
        <f t="shared" si="4"/>
        <v>ART arkitekter og ingeniører AS</v>
      </c>
      <c r="Q121" s="102" t="str">
        <f>tbl_ConsultingCompanys!D121</f>
        <v>Czelusta Trebygg og Takteknikk</v>
      </c>
      <c r="R121" s="102">
        <f>tbl_ConsultingCompanys!C121</f>
        <v>223524</v>
      </c>
      <c r="S121" s="102" t="str">
        <f t="shared" si="5"/>
        <v>Czelusta Trebygg og Takteknikk</v>
      </c>
    </row>
    <row r="122" spans="11:19" x14ac:dyDescent="0.15">
      <c r="K122" s="102" t="str">
        <f>tbl_ArchitectureOffices!D122</f>
        <v>Boarch arkitekter as</v>
      </c>
      <c r="L122" s="102">
        <f>tbl_ArchitectureOffices!C122</f>
        <v>166543</v>
      </c>
      <c r="M122" s="102" t="str">
        <f t="shared" si="3"/>
        <v>Boarch arkitekter as</v>
      </c>
      <c r="N122" s="102" t="str">
        <f>tbl_Companys!D122</f>
        <v>Artec AS</v>
      </c>
      <c r="O122" s="102">
        <f>tbl_Companys!C122</f>
        <v>247296</v>
      </c>
      <c r="P122" s="102" t="str">
        <f t="shared" si="4"/>
        <v>Artec AS</v>
      </c>
      <c r="Q122" s="102" t="str">
        <f>tbl_ConsultingCompanys!D122</f>
        <v>D. Nysted AS (interiør)</v>
      </c>
      <c r="R122" s="102">
        <f>tbl_ConsultingCompanys!C122</f>
        <v>155842</v>
      </c>
      <c r="S122" s="102" t="str">
        <f t="shared" si="5"/>
        <v>D. Nysted AS (interiør)</v>
      </c>
    </row>
    <row r="123" spans="11:19" x14ac:dyDescent="0.15">
      <c r="K123" s="102" t="str">
        <f>tbl_ArchitectureOffices!D123</f>
        <v xml:space="preserve">Bogen Arkitektkontor AS, Petter </v>
      </c>
      <c r="L123" s="102">
        <f>tbl_ArchitectureOffices!C123</f>
        <v>166544</v>
      </c>
      <c r="M123" s="102" t="str">
        <f t="shared" si="3"/>
        <v>Bogen Arkitektkontor AS, Petter</v>
      </c>
      <c r="N123" s="102" t="str">
        <f>tbl_Companys!D123</f>
        <v>ARTEC Prosjekt Team AS</v>
      </c>
      <c r="O123" s="102">
        <f>tbl_Companys!C123</f>
        <v>191891</v>
      </c>
      <c r="P123" s="102" t="str">
        <f t="shared" si="4"/>
        <v>ARTEC Prosjekt Team AS</v>
      </c>
      <c r="Q123" s="102" t="str">
        <f>tbl_ConsultingCompanys!D123</f>
        <v>Dagfinn H. Jørgensen AS</v>
      </c>
      <c r="R123" s="102">
        <f>tbl_ConsultingCompanys!C123</f>
        <v>98460</v>
      </c>
      <c r="S123" s="102" t="str">
        <f t="shared" si="5"/>
        <v>Dagfinn H. Jørgensen AS</v>
      </c>
    </row>
    <row r="124" spans="11:19" x14ac:dyDescent="0.15">
      <c r="K124" s="102" t="str">
        <f>tbl_ArchitectureOffices!D124</f>
        <v>Borealis Arkitekter as</v>
      </c>
      <c r="L124" s="102">
        <f>tbl_ArchitectureOffices!C124</f>
        <v>166545</v>
      </c>
      <c r="M124" s="102" t="str">
        <f t="shared" si="3"/>
        <v>Borealis Arkitekter as</v>
      </c>
      <c r="N124" s="102" t="str">
        <f>tbl_Companys!D124</f>
        <v>AS Anlegg</v>
      </c>
      <c r="O124" s="102">
        <f>tbl_Companys!C124</f>
        <v>110996</v>
      </c>
      <c r="P124" s="102" t="str">
        <f t="shared" si="4"/>
        <v>AS Anlegg</v>
      </c>
      <c r="Q124" s="102" t="str">
        <f>tbl_ConsultingCompanys!D124</f>
        <v>DBC Elprosjekt as</v>
      </c>
      <c r="R124" s="102">
        <f>tbl_ConsultingCompanys!C124</f>
        <v>245542</v>
      </c>
      <c r="S124" s="102" t="str">
        <f t="shared" si="5"/>
        <v>DBC Elprosjekt as</v>
      </c>
    </row>
    <row r="125" spans="11:19" x14ac:dyDescent="0.15">
      <c r="K125" s="102" t="str">
        <f>tbl_ArchitectureOffices!D125</f>
        <v xml:space="preserve">Borsheim, Paal </v>
      </c>
      <c r="L125" s="102">
        <f>tbl_ArchitectureOffices!C125</f>
        <v>166547</v>
      </c>
      <c r="M125" s="102" t="str">
        <f t="shared" si="3"/>
        <v>Borsheim, Paal</v>
      </c>
      <c r="N125" s="102" t="str">
        <f>tbl_Companys!D125</f>
        <v>AS Frederiksen</v>
      </c>
      <c r="O125" s="102">
        <f>tbl_Companys!C125</f>
        <v>98695</v>
      </c>
      <c r="P125" s="102" t="str">
        <f t="shared" si="4"/>
        <v>AS Frederiksen</v>
      </c>
      <c r="Q125" s="102" t="str">
        <f>tbl_ConsultingCompanys!D125</f>
        <v>DeltaTe (RIV)</v>
      </c>
      <c r="R125" s="102">
        <f>tbl_ConsultingCompanys!C125</f>
        <v>207494</v>
      </c>
      <c r="S125" s="102" t="str">
        <f t="shared" si="5"/>
        <v>DeltaTe (RIV)</v>
      </c>
    </row>
    <row r="126" spans="11:19" x14ac:dyDescent="0.15">
      <c r="K126" s="102" t="str">
        <f>tbl_ArchitectureOffices!D126</f>
        <v>Boxs arkitektstudio as</v>
      </c>
      <c r="L126" s="102">
        <f>tbl_ArchitectureOffices!C126</f>
        <v>226954</v>
      </c>
      <c r="M126" s="102" t="str">
        <f t="shared" si="3"/>
        <v>Boxs arkitektstudio as</v>
      </c>
      <c r="N126" s="102" t="str">
        <f>tbl_Companys!D126</f>
        <v>As Luft Miljø (RIV)</v>
      </c>
      <c r="O126" s="102">
        <f>tbl_Companys!C126</f>
        <v>215426</v>
      </c>
      <c r="P126" s="102" t="str">
        <f t="shared" si="4"/>
        <v>As Luft Miljø (RIV)</v>
      </c>
      <c r="Q126" s="102" t="str">
        <f>tbl_ConsultingCompanys!D126</f>
        <v>Deltatek AS</v>
      </c>
      <c r="R126" s="102">
        <f>tbl_ConsultingCompanys!C126</f>
        <v>202314</v>
      </c>
      <c r="S126" s="102" t="str">
        <f t="shared" si="5"/>
        <v>Deltatek AS</v>
      </c>
    </row>
    <row r="127" spans="11:19" x14ac:dyDescent="0.15">
      <c r="K127" s="102" t="str">
        <f>tbl_ArchitectureOffices!D127</f>
        <v>Brandsberg-Dahls Arkitektkontor AS</v>
      </c>
      <c r="L127" s="102">
        <f>tbl_ArchitectureOffices!C127</f>
        <v>166548</v>
      </c>
      <c r="M127" s="102" t="str">
        <f t="shared" si="3"/>
        <v>Brandsberg-Dahls Arkitektkontor AS</v>
      </c>
      <c r="N127" s="102" t="str">
        <f>tbl_Companys!D127</f>
        <v>AS Olaussen Rådg. Ingeniørkontor</v>
      </c>
      <c r="O127" s="102">
        <f>tbl_Companys!C127</f>
        <v>112298</v>
      </c>
      <c r="P127" s="102" t="str">
        <f t="shared" si="4"/>
        <v>AS Olaussen Rådg. Ingeniørkontor</v>
      </c>
      <c r="Q127" s="102" t="str">
        <f>tbl_ConsultingCompanys!D127</f>
        <v>Dimensjon Rådgiving AS</v>
      </c>
      <c r="R127" s="102">
        <f>tbl_ConsultingCompanys!C127</f>
        <v>172754</v>
      </c>
      <c r="S127" s="102" t="str">
        <f t="shared" si="5"/>
        <v>Dimensjon Rådgiving AS</v>
      </c>
    </row>
    <row r="128" spans="11:19" x14ac:dyDescent="0.15">
      <c r="K128" s="102" t="str">
        <f>tbl_ArchitectureOffices!D128</f>
        <v>Brendeland &amp; Kristoffersen arkitekter A/S</v>
      </c>
      <c r="L128" s="102">
        <f>tbl_ArchitectureOffices!C128</f>
        <v>166549</v>
      </c>
      <c r="M128" s="102" t="str">
        <f t="shared" si="3"/>
        <v>Brendeland &amp; Kristoffersen arkitekter A/S</v>
      </c>
      <c r="N128" s="102" t="str">
        <f>tbl_Companys!D128</f>
        <v>Asker kommune</v>
      </c>
      <c r="O128" s="102">
        <f>tbl_Companys!C128</f>
        <v>160579</v>
      </c>
      <c r="P128" s="102" t="str">
        <f t="shared" si="4"/>
        <v>Asker kommune</v>
      </c>
      <c r="Q128" s="102" t="str">
        <f>tbl_ConsultingCompanys!D128</f>
        <v>Djupevik Båtbyggeri AS (hovedkonstruksjon eik)</v>
      </c>
      <c r="R128" s="102">
        <f>tbl_ConsultingCompanys!C128</f>
        <v>162860</v>
      </c>
      <c r="S128" s="102" t="str">
        <f t="shared" si="5"/>
        <v>Djupevik Båtbyggeri AS (hovedkonstruksjon eik)</v>
      </c>
    </row>
    <row r="129" spans="11:19" x14ac:dyDescent="0.15">
      <c r="K129" s="102" t="str">
        <f>tbl_ArchitectureOffices!D129</f>
        <v>Bris arkitekter</v>
      </c>
      <c r="L129" s="102">
        <f>tbl_ArchitectureOffices!C129</f>
        <v>247054</v>
      </c>
      <c r="M129" s="102" t="str">
        <f t="shared" si="3"/>
        <v>Bris arkitekter</v>
      </c>
      <c r="N129" s="102" t="str">
        <f>tbl_Companys!D129</f>
        <v>Askim/Lantto Arkitekter AS</v>
      </c>
      <c r="O129" s="102">
        <f>tbl_Companys!C129</f>
        <v>172659</v>
      </c>
      <c r="P129" s="102" t="str">
        <f t="shared" si="4"/>
        <v>Askim/Lantto Arkitekter AS</v>
      </c>
      <c r="Q129" s="102" t="str">
        <f>tbl_ConsultingCompanys!D129</f>
        <v>DNF AS</v>
      </c>
      <c r="R129" s="102">
        <f>tbl_ConsultingCompanys!C129</f>
        <v>115447</v>
      </c>
      <c r="S129" s="102" t="str">
        <f t="shared" si="5"/>
        <v>DNF AS</v>
      </c>
    </row>
    <row r="130" spans="11:19" x14ac:dyDescent="0.15">
      <c r="K130" s="102" t="str">
        <f>tbl_ArchitectureOffices!D130</f>
        <v>Britt Krokene Sivilarkitekt MNAL AS</v>
      </c>
      <c r="L130" s="102">
        <f>tbl_ArchitectureOffices!C130</f>
        <v>248135</v>
      </c>
      <c r="M130" s="102" t="str">
        <f t="shared" si="3"/>
        <v>Britt Krokene Sivilarkitekt MNAL AS</v>
      </c>
      <c r="N130" s="102" t="str">
        <f>tbl_Companys!D130</f>
        <v>Aso (Arne Olaussen)</v>
      </c>
      <c r="O130" s="102">
        <f>tbl_Companys!C130</f>
        <v>162893</v>
      </c>
      <c r="P130" s="102" t="str">
        <f t="shared" si="4"/>
        <v>Aso (Arne Olaussen)</v>
      </c>
      <c r="Q130" s="102" t="str">
        <f>tbl_ConsultingCompanys!D130</f>
        <v>Dokken AS</v>
      </c>
      <c r="R130" s="102">
        <f>tbl_ConsultingCompanys!C130</f>
        <v>110473</v>
      </c>
      <c r="S130" s="102" t="str">
        <f t="shared" si="5"/>
        <v>Dokken AS</v>
      </c>
    </row>
    <row r="131" spans="11:19" x14ac:dyDescent="0.15">
      <c r="K131" s="102" t="str">
        <f>tbl_ArchitectureOffices!D131</f>
        <v>Britt Krokene Sivilarkitekt MNAL AS</v>
      </c>
      <c r="L131" s="102">
        <f>tbl_ArchitectureOffices!C131</f>
        <v>248137</v>
      </c>
      <c r="M131" s="102" t="str">
        <f t="shared" ref="M131:M194" si="6">IFERROR(REPLACE(K131,FIND(" ",K131,LEN(K131)),1,""),K131)</f>
        <v>Britt Krokene Sivilarkitekt MNAL AS</v>
      </c>
      <c r="N131" s="102" t="str">
        <f>tbl_Companys!D131</f>
        <v>Aspelin Ramm</v>
      </c>
      <c r="O131" s="102">
        <f>tbl_Companys!C131</f>
        <v>205922</v>
      </c>
      <c r="P131" s="102" t="str">
        <f t="shared" ref="P131:P194" si="7">IFERROR(REPLACE(N131,FIND(" ",N131,LEN(N131)),1,""),N131)</f>
        <v>Aspelin Ramm</v>
      </c>
      <c r="Q131" s="102" t="str">
        <f>tbl_ConsultingCompanys!D131</f>
        <v>Dr. techn. Kristoffer Apeland AS</v>
      </c>
      <c r="R131" s="102">
        <f>tbl_ConsultingCompanys!C131</f>
        <v>119829</v>
      </c>
      <c r="S131" s="102" t="str">
        <f t="shared" ref="S131:S194" si="8">IFERROR(REPLACE(Q131,FIND(" ",Q131,LEN(Q131)),1,""),Q131)</f>
        <v>Dr. techn. Kristoffer Apeland AS</v>
      </c>
    </row>
    <row r="132" spans="11:19" x14ac:dyDescent="0.15">
      <c r="K132" s="102" t="str">
        <f>tbl_ArchitectureOffices!D132</f>
        <v xml:space="preserve">Brodtkorb AS, Arkitektkontoret Kari Nissen </v>
      </c>
      <c r="L132" s="102">
        <f>tbl_ArchitectureOffices!C132</f>
        <v>171799</v>
      </c>
      <c r="M132" s="102" t="str">
        <f t="shared" si="6"/>
        <v>Brodtkorb AS, Arkitektkontoret Kari Nissen</v>
      </c>
      <c r="N132" s="102" t="str">
        <f>tbl_Companys!D132</f>
        <v>Asplan Viak</v>
      </c>
      <c r="O132" s="102">
        <f>tbl_Companys!C132</f>
        <v>103330</v>
      </c>
      <c r="P132" s="102" t="str">
        <f t="shared" si="7"/>
        <v>Asplan Viak</v>
      </c>
      <c r="Q132" s="102" t="str">
        <f>tbl_ConsultingCompanys!D132</f>
        <v>Drammen Eiendom KF</v>
      </c>
      <c r="R132" s="102">
        <f>tbl_ConsultingCompanys!C132</f>
        <v>204308</v>
      </c>
      <c r="S132" s="102" t="str">
        <f t="shared" si="8"/>
        <v>Drammen Eiendom KF</v>
      </c>
    </row>
    <row r="133" spans="11:19" x14ac:dyDescent="0.15">
      <c r="K133" s="102" t="str">
        <f>tbl_ArchitectureOffices!D133</f>
        <v>Bruvoll arkitektur as</v>
      </c>
      <c r="L133" s="102">
        <f>tbl_ArchitectureOffices!C133</f>
        <v>246132</v>
      </c>
      <c r="M133" s="102" t="str">
        <f t="shared" si="6"/>
        <v>Bruvoll arkitektur as</v>
      </c>
      <c r="N133" s="102" t="str">
        <f>tbl_Companys!D133</f>
        <v>Asplan Viak AS</v>
      </c>
      <c r="O133" s="102">
        <f>tbl_Companys!C133</f>
        <v>172914</v>
      </c>
      <c r="P133" s="102" t="str">
        <f t="shared" si="7"/>
        <v>Asplan Viak AS</v>
      </c>
      <c r="Q133" s="102" t="str">
        <f>tbl_ConsultingCompanys!D133</f>
        <v>Drammen kommune</v>
      </c>
      <c r="R133" s="102">
        <f>tbl_ConsultingCompanys!C133</f>
        <v>162580</v>
      </c>
      <c r="S133" s="102" t="str">
        <f t="shared" si="8"/>
        <v>Drammen kommune</v>
      </c>
    </row>
    <row r="134" spans="11:19" x14ac:dyDescent="0.15">
      <c r="K134" s="102" t="str">
        <f>tbl_ArchitectureOffices!D134</f>
        <v xml:space="preserve">Brækkan sivilarkitekt MNAL, Gudrun </v>
      </c>
      <c r="L134" s="102">
        <f>tbl_ArchitectureOffices!C134</f>
        <v>166550</v>
      </c>
      <c r="M134" s="102" t="str">
        <f t="shared" si="6"/>
        <v>Brækkan sivilarkitekt MNAL, Gudrun</v>
      </c>
      <c r="N134" s="102" t="str">
        <f>tbl_Companys!D134</f>
        <v>Asplan Viak as - KanEnergi</v>
      </c>
      <c r="O134" s="102">
        <f>tbl_Companys!C134</f>
        <v>217374</v>
      </c>
      <c r="P134" s="102" t="str">
        <f t="shared" si="7"/>
        <v>Asplan Viak as - KanEnergi</v>
      </c>
      <c r="Q134" s="102" t="str">
        <f>tbl_ConsultingCompanys!D134</f>
        <v>Drange Maskin AS</v>
      </c>
      <c r="R134" s="102">
        <f>tbl_ConsultingCompanys!C134</f>
        <v>248740</v>
      </c>
      <c r="S134" s="102" t="str">
        <f t="shared" si="8"/>
        <v>Drange Maskin AS</v>
      </c>
    </row>
    <row r="135" spans="11:19" x14ac:dyDescent="0.15">
      <c r="K135" s="102" t="str">
        <f>tbl_ArchitectureOffices!D135</f>
        <v>Buck og Beyer arkitekter AS</v>
      </c>
      <c r="L135" s="102">
        <f>tbl_ArchitectureOffices!C135</f>
        <v>166551</v>
      </c>
      <c r="M135" s="102" t="str">
        <f t="shared" si="6"/>
        <v>Buck og Beyer arkitekter AS</v>
      </c>
      <c r="N135" s="102" t="str">
        <f>tbl_Companys!D135</f>
        <v>Astad Arkitektur</v>
      </c>
      <c r="O135" s="102">
        <f>tbl_Companys!C135</f>
        <v>192806</v>
      </c>
      <c r="P135" s="102" t="str">
        <f t="shared" si="7"/>
        <v>Astad Arkitektur</v>
      </c>
      <c r="Q135" s="102" t="str">
        <f>tbl_ConsultingCompanys!D135</f>
        <v>dyAna GmbH (Tyskland)</v>
      </c>
      <c r="R135" s="102">
        <f>tbl_ConsultingCompanys!C135</f>
        <v>245788</v>
      </c>
      <c r="S135" s="102" t="str">
        <f t="shared" si="8"/>
        <v>dyAna GmbH (Tyskland)</v>
      </c>
    </row>
    <row r="136" spans="11:19" x14ac:dyDescent="0.15">
      <c r="K136" s="102" t="str">
        <f>tbl_ArchitectureOffices!D136</f>
        <v xml:space="preserve">Bødtker sivilarkitekt MNAL, Brit Sejersted </v>
      </c>
      <c r="L136" s="102">
        <f>tbl_ArchitectureOffices!C136</f>
        <v>166553</v>
      </c>
      <c r="M136" s="102" t="str">
        <f t="shared" si="6"/>
        <v>Bødtker sivilarkitekt MNAL, Brit Sejersted</v>
      </c>
      <c r="N136" s="102" t="str">
        <f>tbl_Companys!D136</f>
        <v>Atelier Dreiseitl</v>
      </c>
      <c r="O136" s="102">
        <f>tbl_Companys!C136</f>
        <v>193820</v>
      </c>
      <c r="P136" s="102" t="str">
        <f t="shared" si="7"/>
        <v>Atelier Dreiseitl</v>
      </c>
      <c r="Q136" s="102" t="str">
        <f>tbl_ConsultingCompanys!D136</f>
        <v>ECT AS</v>
      </c>
      <c r="R136" s="102">
        <f>tbl_ConsultingCompanys!C136</f>
        <v>98463</v>
      </c>
      <c r="S136" s="102" t="str">
        <f t="shared" si="8"/>
        <v>ECT AS</v>
      </c>
    </row>
    <row r="137" spans="11:19" x14ac:dyDescent="0.15">
      <c r="K137" s="102" t="str">
        <f>tbl_ArchitectureOffices!D137</f>
        <v xml:space="preserve">Børve og Borchsenius as, Arkitektkontoret </v>
      </c>
      <c r="L137" s="102">
        <f>tbl_ArchitectureOffices!C137</f>
        <v>166554</v>
      </c>
      <c r="M137" s="102" t="str">
        <f t="shared" si="6"/>
        <v>Børve og Borchsenius as, Arkitektkontoret</v>
      </c>
      <c r="N137" s="102" t="str">
        <f>tbl_Companys!D137</f>
        <v>Atelier Oslo</v>
      </c>
      <c r="O137" s="102">
        <f>tbl_Companys!C137</f>
        <v>172236</v>
      </c>
      <c r="P137" s="102" t="str">
        <f t="shared" si="7"/>
        <v>Atelier Oslo</v>
      </c>
      <c r="Q137" s="102" t="str">
        <f>tbl_ConsultingCompanys!D137</f>
        <v>Effecta</v>
      </c>
      <c r="R137" s="102">
        <f>tbl_ConsultingCompanys!C137</f>
        <v>181821</v>
      </c>
      <c r="S137" s="102" t="str">
        <f t="shared" si="8"/>
        <v>Effecta</v>
      </c>
    </row>
    <row r="138" spans="11:19" x14ac:dyDescent="0.15">
      <c r="K138" s="102" t="str">
        <f>tbl_ArchitectureOffices!D138</f>
        <v>Cadi AS</v>
      </c>
      <c r="L138" s="102">
        <f>tbl_ArchitectureOffices!C138</f>
        <v>166555</v>
      </c>
      <c r="M138" s="102" t="str">
        <f t="shared" si="6"/>
        <v>Cadi AS</v>
      </c>
      <c r="N138" s="102" t="str">
        <f>tbl_Companys!D138</f>
        <v>Atlant Entreprenør AS</v>
      </c>
      <c r="O138" s="102">
        <f>tbl_Companys!C138</f>
        <v>245544</v>
      </c>
      <c r="P138" s="102" t="str">
        <f t="shared" si="7"/>
        <v>Atlant Entreprenør AS</v>
      </c>
      <c r="Q138" s="102" t="str">
        <f>tbl_ConsultingCompanys!D138</f>
        <v>Egerhei AS</v>
      </c>
      <c r="R138" s="102">
        <f>tbl_ConsultingCompanys!C138</f>
        <v>103333</v>
      </c>
      <c r="S138" s="102" t="str">
        <f t="shared" si="8"/>
        <v>Egerhei AS</v>
      </c>
    </row>
    <row r="139" spans="11:19" x14ac:dyDescent="0.15">
      <c r="K139" s="102" t="str">
        <f>tbl_ArchitectureOffices!D139</f>
        <v>Campbell ink, Scott Campbell</v>
      </c>
      <c r="L139" s="102">
        <f>tbl_ArchitectureOffices!C139</f>
        <v>166557</v>
      </c>
      <c r="M139" s="102" t="str">
        <f t="shared" si="6"/>
        <v>Campbell ink, Scott Campbell</v>
      </c>
      <c r="N139" s="102" t="str">
        <f>tbl_Companys!D139</f>
        <v>A-tract AS</v>
      </c>
      <c r="O139" s="102">
        <f>tbl_Companys!C139</f>
        <v>172717</v>
      </c>
      <c r="P139" s="102" t="str">
        <f t="shared" si="7"/>
        <v>A-tract AS</v>
      </c>
      <c r="Q139" s="102" t="str">
        <f>tbl_ConsultingCompanys!D139</f>
        <v>Egersund Kommune</v>
      </c>
      <c r="R139" s="102">
        <f>tbl_ConsultingCompanys!C139</f>
        <v>158054</v>
      </c>
      <c r="S139" s="102" t="str">
        <f t="shared" si="8"/>
        <v>Egersund Kommune</v>
      </c>
    </row>
    <row r="140" spans="11:19" x14ac:dyDescent="0.15">
      <c r="K140" s="102" t="str">
        <f>tbl_ArchitectureOffices!D140</f>
        <v>Clou arkitektur</v>
      </c>
      <c r="L140" s="102">
        <f>tbl_ArchitectureOffices!C140</f>
        <v>166559</v>
      </c>
      <c r="M140" s="102" t="str">
        <f t="shared" si="6"/>
        <v>Clou arkitektur</v>
      </c>
      <c r="N140" s="102" t="str">
        <f>tbl_Companys!D140</f>
        <v>Atsite</v>
      </c>
      <c r="O140" s="102">
        <f>tbl_Companys!C140</f>
        <v>235781</v>
      </c>
      <c r="P140" s="102" t="str">
        <f t="shared" si="7"/>
        <v>Atsite</v>
      </c>
      <c r="Q140" s="102" t="str">
        <f>tbl_ConsultingCompanys!D140</f>
        <v>Egil Berge AS</v>
      </c>
      <c r="R140" s="102">
        <f>tbl_ConsultingCompanys!C140</f>
        <v>243867</v>
      </c>
      <c r="S140" s="102" t="str">
        <f t="shared" si="8"/>
        <v>Egil Berge AS</v>
      </c>
    </row>
    <row r="141" spans="11:19" x14ac:dyDescent="0.15">
      <c r="K141" s="102" t="str">
        <f>tbl_ArchitectureOffices!D141</f>
        <v>Code: arkitektur as</v>
      </c>
      <c r="L141" s="102">
        <f>tbl_ArchitectureOffices!C141</f>
        <v>166560</v>
      </c>
      <c r="M141" s="102" t="str">
        <f t="shared" si="6"/>
        <v>Code: arkitektur as</v>
      </c>
      <c r="N141" s="102" t="str">
        <f>tbl_Companys!D141</f>
        <v xml:space="preserve">Aursand Arkitektkontor AS, Espen </v>
      </c>
      <c r="O141" s="102">
        <f>tbl_Companys!C141</f>
        <v>185123</v>
      </c>
      <c r="P141" s="102" t="str">
        <f t="shared" si="7"/>
        <v>Aursand Arkitektkontor AS, Espen</v>
      </c>
      <c r="Q141" s="102" t="str">
        <f>tbl_ConsultingCompanys!D141</f>
        <v>Eide entreprenør AS (Årnes)</v>
      </c>
      <c r="R141" s="102">
        <f>tbl_ConsultingCompanys!C141</f>
        <v>216250</v>
      </c>
      <c r="S141" s="102" t="str">
        <f t="shared" si="8"/>
        <v>Eide entreprenør AS (Årnes)</v>
      </c>
    </row>
    <row r="142" spans="11:19" x14ac:dyDescent="0.15">
      <c r="K142" s="102" t="str">
        <f>tbl_ArchitectureOffices!D142</f>
        <v>Context AS</v>
      </c>
      <c r="L142" s="102">
        <f>tbl_ArchitectureOffices!C142</f>
        <v>166561</v>
      </c>
      <c r="M142" s="102" t="str">
        <f t="shared" si="6"/>
        <v>Context AS</v>
      </c>
      <c r="N142" s="102" t="str">
        <f>tbl_Companys!D142</f>
        <v>Aursand og Spangen AS Sivilarkitekter</v>
      </c>
      <c r="O142" s="102">
        <f>tbl_Companys!C142</f>
        <v>172601</v>
      </c>
      <c r="P142" s="102" t="str">
        <f t="shared" si="7"/>
        <v>Aursand og Spangen AS Sivilarkitekter</v>
      </c>
      <c r="Q142" s="102" t="str">
        <f>tbl_ConsultingCompanys!D142</f>
        <v>Eiendomsprosjektering as</v>
      </c>
      <c r="R142" s="102">
        <f>tbl_ConsultingCompanys!C142</f>
        <v>247310</v>
      </c>
      <c r="S142" s="102" t="str">
        <f t="shared" si="8"/>
        <v>Eiendomsprosjektering as</v>
      </c>
    </row>
    <row r="143" spans="11:19" x14ac:dyDescent="0.15">
      <c r="K143" s="102" t="str">
        <f>tbl_ArchitectureOffices!D143</f>
        <v>Contur as - Arkitektur og Design</v>
      </c>
      <c r="L143" s="102">
        <f>tbl_ArchitectureOffices!C143</f>
        <v>172660</v>
      </c>
      <c r="M143" s="102" t="str">
        <f t="shared" si="6"/>
        <v>Contur as - Arkitektur og Design</v>
      </c>
      <c r="N143" s="102" t="str">
        <f>tbl_Companys!D143</f>
        <v>Aust Agder Fylkeskommune / Risør Videregående skole</v>
      </c>
      <c r="O143" s="102">
        <f>tbl_Companys!C143</f>
        <v>203391</v>
      </c>
      <c r="P143" s="102" t="str">
        <f t="shared" si="7"/>
        <v>Aust Agder Fylkeskommune / Risør Videregående skole</v>
      </c>
      <c r="Q143" s="102" t="str">
        <f>tbl_ConsultingCompanys!D143</f>
        <v>Ekrheim Elconsult AS</v>
      </c>
      <c r="R143" s="102">
        <f>tbl_ConsultingCompanys!C143</f>
        <v>162871</v>
      </c>
      <c r="S143" s="102" t="str">
        <f t="shared" si="8"/>
        <v>Ekrheim Elconsult AS</v>
      </c>
    </row>
    <row r="144" spans="11:19" x14ac:dyDescent="0.15">
      <c r="K144" s="102" t="str">
        <f>tbl_ArchitectureOffices!D144</f>
        <v>Cox Strategisk design AS</v>
      </c>
      <c r="L144" s="102">
        <f>tbl_ArchitectureOffices!C144</f>
        <v>246947</v>
      </c>
      <c r="M144" s="102" t="str">
        <f t="shared" si="6"/>
        <v>Cox Strategisk design AS</v>
      </c>
      <c r="N144" s="102" t="str">
        <f>tbl_Companys!D144</f>
        <v>Avanti Ryfylket AS</v>
      </c>
      <c r="O144" s="102">
        <f>tbl_Companys!C144</f>
        <v>172631</v>
      </c>
      <c r="P144" s="102" t="str">
        <f t="shared" si="7"/>
        <v>Avanti Ryfylket AS</v>
      </c>
      <c r="Q144" s="102" t="str">
        <f>tbl_ConsultingCompanys!D144</f>
        <v>El miljø AS</v>
      </c>
      <c r="R144" s="102">
        <f>tbl_ConsultingCompanys!C144</f>
        <v>244638</v>
      </c>
      <c r="S144" s="102" t="str">
        <f t="shared" si="8"/>
        <v>El miljø AS</v>
      </c>
    </row>
    <row r="145" spans="11:19" x14ac:dyDescent="0.15">
      <c r="K145" s="102" t="str">
        <f>tbl_ArchitectureOffices!D145</f>
        <v>ctrl+n arkitektur da</v>
      </c>
      <c r="L145" s="102">
        <f>tbl_ArchitectureOffices!C145</f>
        <v>207276</v>
      </c>
      <c r="M145" s="102" t="str">
        <f t="shared" si="6"/>
        <v>ctrl+n arkitektur da</v>
      </c>
      <c r="N145" s="102" t="str">
        <f>tbl_Companys!D145</f>
        <v>AWP (Frankrike)</v>
      </c>
      <c r="O145" s="102">
        <f>tbl_Companys!C145</f>
        <v>245867</v>
      </c>
      <c r="P145" s="102" t="str">
        <f t="shared" si="7"/>
        <v>AWP (Frankrike)</v>
      </c>
      <c r="Q145" s="102" t="str">
        <f>tbl_ConsultingCompanys!D145</f>
        <v xml:space="preserve">Elconsultteam AS </v>
      </c>
      <c r="R145" s="102">
        <f>tbl_ConsultingCompanys!C145</f>
        <v>103275</v>
      </c>
      <c r="S145" s="102" t="str">
        <f t="shared" si="8"/>
        <v>Elconsultteam AS</v>
      </c>
    </row>
    <row r="146" spans="11:19" x14ac:dyDescent="0.15">
      <c r="K146" s="102" t="str">
        <f>tbl_ArchitectureOffices!D146</f>
        <v>C-V Hølmebakk Arkitektkontor</v>
      </c>
      <c r="L146" s="102">
        <f>tbl_ArchitectureOffices!C146</f>
        <v>221021</v>
      </c>
      <c r="M146" s="102" t="str">
        <f t="shared" si="6"/>
        <v>C-V Hølmebakk Arkitektkontor</v>
      </c>
      <c r="N146" s="102" t="str">
        <f>tbl_Companys!D146</f>
        <v>Axlander &amp; Rosell</v>
      </c>
      <c r="O146" s="102">
        <f>tbl_Companys!C146</f>
        <v>110990</v>
      </c>
      <c r="P146" s="102" t="str">
        <f t="shared" si="7"/>
        <v>Axlander &amp; Rosell</v>
      </c>
      <c r="Q146" s="102" t="str">
        <f>tbl_ConsultingCompanys!D146</f>
        <v>Elconsultteam Sør</v>
      </c>
      <c r="R146" s="102">
        <f>tbl_ConsultingCompanys!C146</f>
        <v>217000</v>
      </c>
      <c r="S146" s="102" t="str">
        <f t="shared" si="8"/>
        <v>Elconsultteam Sør</v>
      </c>
    </row>
    <row r="147" spans="11:19" x14ac:dyDescent="0.15">
      <c r="K147" s="102" t="str">
        <f>tbl_ArchitectureOffices!D147</f>
        <v>DAC architecture</v>
      </c>
      <c r="L147" s="102">
        <f>tbl_ArchitectureOffices!C147</f>
        <v>217474</v>
      </c>
      <c r="M147" s="102" t="str">
        <f t="shared" si="6"/>
        <v>DAC architecture</v>
      </c>
      <c r="N147" s="102" t="str">
        <f>tbl_Companys!D147</f>
        <v>b+b arkitekter as</v>
      </c>
      <c r="O147" s="102">
        <f>tbl_Companys!C147</f>
        <v>166536</v>
      </c>
      <c r="P147" s="102" t="str">
        <f t="shared" si="7"/>
        <v>b+b arkitekter as</v>
      </c>
      <c r="Q147" s="102" t="str">
        <f>tbl_ConsultingCompanys!D147</f>
        <v>Elconsultteam sør (RIE)</v>
      </c>
      <c r="R147" s="102">
        <f>tbl_ConsultingCompanys!C147</f>
        <v>216998</v>
      </c>
      <c r="S147" s="102" t="str">
        <f t="shared" si="8"/>
        <v>Elconsultteam sør (RIE)</v>
      </c>
    </row>
    <row r="148" spans="11:19" x14ac:dyDescent="0.15">
      <c r="K148" s="102" t="str">
        <f>tbl_ArchitectureOffices!D148</f>
        <v xml:space="preserve">Dahl &amp; Myrhol AS, Arkitektene </v>
      </c>
      <c r="L148" s="102">
        <f>tbl_ArchitectureOffices!C148</f>
        <v>166562</v>
      </c>
      <c r="M148" s="102" t="str">
        <f t="shared" si="6"/>
        <v>Dahl &amp; Myrhol AS, Arkitektene</v>
      </c>
      <c r="N148" s="102" t="str">
        <f>tbl_Companys!D148</f>
        <v>Backe prosjekt AS</v>
      </c>
      <c r="O148" s="102">
        <f>tbl_Companys!C148</f>
        <v>160575</v>
      </c>
      <c r="P148" s="102" t="str">
        <f t="shared" si="7"/>
        <v>Backe prosjekt AS</v>
      </c>
      <c r="Q148" s="102" t="str">
        <f>tbl_ConsultingCompanys!D148</f>
        <v>Electronova as</v>
      </c>
      <c r="R148" s="102">
        <f>tbl_ConsultingCompanys!C148</f>
        <v>247311</v>
      </c>
      <c r="S148" s="102" t="str">
        <f t="shared" si="8"/>
        <v>Electronova as</v>
      </c>
    </row>
    <row r="149" spans="11:19" x14ac:dyDescent="0.15">
      <c r="K149" s="102" t="str">
        <f>tbl_ArchitectureOffices!D149</f>
        <v>Dahl &amp; Uhre arkitekter as</v>
      </c>
      <c r="L149" s="102">
        <f>tbl_ArchitectureOffices!C149</f>
        <v>166564</v>
      </c>
      <c r="M149" s="102" t="str">
        <f t="shared" si="6"/>
        <v>Dahl &amp; Uhre arkitekter as</v>
      </c>
      <c r="N149" s="102" t="str">
        <f>tbl_Companys!D149</f>
        <v>Backo AS</v>
      </c>
      <c r="O149" s="102">
        <f>tbl_Companys!C149</f>
        <v>246979</v>
      </c>
      <c r="P149" s="102" t="str">
        <f t="shared" si="7"/>
        <v>Backo AS</v>
      </c>
      <c r="Q149" s="102" t="str">
        <f>tbl_ConsultingCompanys!D149</f>
        <v>Elektro Nord AS</v>
      </c>
      <c r="R149" s="102">
        <f>tbl_ConsultingCompanys!C149</f>
        <v>247733</v>
      </c>
      <c r="S149" s="102" t="str">
        <f t="shared" si="8"/>
        <v>Elektro Nord AS</v>
      </c>
    </row>
    <row r="150" spans="11:19" x14ac:dyDescent="0.15">
      <c r="K150" s="102" t="str">
        <f>tbl_ArchitectureOffices!D150</f>
        <v>Dahle &amp; Breitenstein as</v>
      </c>
      <c r="L150" s="102">
        <f>tbl_ArchitectureOffices!C150</f>
        <v>166565</v>
      </c>
      <c r="M150" s="102" t="str">
        <f t="shared" si="6"/>
        <v>Dahle &amp; Breitenstein as</v>
      </c>
      <c r="N150" s="102" t="str">
        <f>tbl_Companys!D150</f>
        <v>Baneservice AS</v>
      </c>
      <c r="O150" s="102">
        <f>tbl_Companys!C150</f>
        <v>182798</v>
      </c>
      <c r="P150" s="102" t="str">
        <f t="shared" si="7"/>
        <v>Baneservice AS</v>
      </c>
      <c r="Q150" s="102" t="str">
        <f>tbl_ConsultingCompanys!D150</f>
        <v>Elektroeksperten AS</v>
      </c>
      <c r="R150" s="102">
        <f>tbl_ConsultingCompanys!C150</f>
        <v>246980</v>
      </c>
      <c r="S150" s="102" t="str">
        <f t="shared" si="8"/>
        <v>Elektroeksperten AS</v>
      </c>
    </row>
    <row r="151" spans="11:19" x14ac:dyDescent="0.15">
      <c r="K151" s="102" t="str">
        <f>tbl_ArchitectureOffices!D151</f>
        <v>Dark Arkitekter AS</v>
      </c>
      <c r="L151" s="102">
        <f>tbl_ArchitectureOffices!C151</f>
        <v>166566</v>
      </c>
      <c r="M151" s="102" t="str">
        <f t="shared" si="6"/>
        <v>Dark Arkitekter AS</v>
      </c>
      <c r="N151" s="102" t="str">
        <f>tbl_Companys!D151</f>
        <v xml:space="preserve">Bar, AS Arkitektgruppen </v>
      </c>
      <c r="O151" s="102">
        <f>tbl_Companys!C151</f>
        <v>172234</v>
      </c>
      <c r="P151" s="102" t="str">
        <f t="shared" si="7"/>
        <v>Bar, AS Arkitektgruppen</v>
      </c>
      <c r="Q151" s="102" t="str">
        <f>tbl_ConsultingCompanys!D151</f>
        <v>Elektroteam AS (RIE)</v>
      </c>
      <c r="R151" s="102">
        <f>tbl_ConsultingCompanys!C151</f>
        <v>218403</v>
      </c>
      <c r="S151" s="102" t="str">
        <f t="shared" si="8"/>
        <v>Elektroteam AS (RIE)</v>
      </c>
    </row>
    <row r="152" spans="11:19" x14ac:dyDescent="0.15">
      <c r="K152" s="102" t="str">
        <f>tbl_ArchitectureOffices!D152</f>
        <v>DB Arkitektur AS</v>
      </c>
      <c r="L152" s="102">
        <f>tbl_ArchitectureOffices!C152</f>
        <v>206993</v>
      </c>
      <c r="M152" s="102" t="str">
        <f t="shared" si="6"/>
        <v>DB Arkitektur AS</v>
      </c>
      <c r="N152" s="102" t="str">
        <f>tbl_Companys!D152</f>
        <v>Bark Arkitekter AS</v>
      </c>
      <c r="O152" s="102">
        <f>tbl_Companys!C152</f>
        <v>181847</v>
      </c>
      <c r="P152" s="102" t="str">
        <f t="shared" si="7"/>
        <v>Bark Arkitekter AS</v>
      </c>
      <c r="Q152" s="102" t="str">
        <f>tbl_ConsultingCompanys!D152</f>
        <v>Elnan</v>
      </c>
      <c r="R152" s="102">
        <f>tbl_ConsultingCompanys!C152</f>
        <v>164722</v>
      </c>
      <c r="S152" s="102" t="str">
        <f t="shared" si="8"/>
        <v>Elnan</v>
      </c>
    </row>
    <row r="153" spans="11:19" x14ac:dyDescent="0.15">
      <c r="K153" s="102" t="str">
        <f>tbl_ArchitectureOffices!D153</f>
        <v>DBC-arkitektur as</v>
      </c>
      <c r="L153" s="102">
        <f>tbl_ArchitectureOffices!C153</f>
        <v>166567</v>
      </c>
      <c r="M153" s="102" t="str">
        <f t="shared" si="6"/>
        <v>DBC-arkitektur as</v>
      </c>
      <c r="N153" s="102" t="str">
        <f>tbl_Companys!D153</f>
        <v>Barkaleitet Borettslag</v>
      </c>
      <c r="O153" s="102">
        <f>tbl_Companys!C153</f>
        <v>228270</v>
      </c>
      <c r="P153" s="102" t="str">
        <f t="shared" si="7"/>
        <v>Barkaleitet Borettslag</v>
      </c>
      <c r="Q153" s="102" t="str">
        <f>tbl_ConsultingCompanys!D153</f>
        <v>ELNAN AS</v>
      </c>
      <c r="R153" s="102">
        <f>tbl_ConsultingCompanys!C153</f>
        <v>98985</v>
      </c>
      <c r="S153" s="102" t="str">
        <f t="shared" si="8"/>
        <v>ELNAN AS</v>
      </c>
    </row>
    <row r="154" spans="11:19" x14ac:dyDescent="0.15">
      <c r="K154" s="102" t="str">
        <f>tbl_ArchitectureOffices!D154</f>
        <v>Derlick arkitekter as</v>
      </c>
      <c r="L154" s="102">
        <f>tbl_ArchitectureOffices!C154</f>
        <v>166568</v>
      </c>
      <c r="M154" s="102" t="str">
        <f t="shared" si="6"/>
        <v>Derlick arkitekter as</v>
      </c>
      <c r="N154" s="102" t="str">
        <f>tbl_Companys!D154</f>
        <v>Bas Arkitekter AS</v>
      </c>
      <c r="O154" s="102">
        <f>tbl_Companys!C154</f>
        <v>166527</v>
      </c>
      <c r="P154" s="102" t="str">
        <f t="shared" si="7"/>
        <v>Bas Arkitekter AS</v>
      </c>
      <c r="Q154" s="102" t="str">
        <f>tbl_ConsultingCompanys!D154</f>
        <v>Elnan AS</v>
      </c>
      <c r="R154" s="102">
        <f>tbl_ConsultingCompanys!C154</f>
        <v>111928</v>
      </c>
      <c r="S154" s="102" t="str">
        <f t="shared" si="8"/>
        <v>Elnan AS</v>
      </c>
    </row>
    <row r="155" spans="11:19" x14ac:dyDescent="0.15">
      <c r="K155" s="102" t="str">
        <f>tbl_ArchitectureOffices!D155</f>
        <v>div.A arkitekter</v>
      </c>
      <c r="L155" s="102">
        <f>tbl_ArchitectureOffices!C155</f>
        <v>166569</v>
      </c>
      <c r="M155" s="102" t="str">
        <f t="shared" si="6"/>
        <v>div.A arkitekter</v>
      </c>
      <c r="N155" s="102" t="str">
        <f>tbl_Companys!D155</f>
        <v>Base Arkitekter AS</v>
      </c>
      <c r="O155" s="102">
        <f>tbl_Companys!C155</f>
        <v>166528</v>
      </c>
      <c r="P155" s="102" t="str">
        <f t="shared" si="7"/>
        <v>Base Arkitekter AS</v>
      </c>
      <c r="Q155" s="102" t="str">
        <f>tbl_ConsultingCompanys!D155</f>
        <v>Elplan AS</v>
      </c>
      <c r="R155" s="102">
        <f>tbl_ConsultingCompanys!C155</f>
        <v>178153</v>
      </c>
      <c r="S155" s="102" t="str">
        <f t="shared" si="8"/>
        <v>Elplan AS</v>
      </c>
    </row>
    <row r="156" spans="11:19" x14ac:dyDescent="0.15">
      <c r="K156" s="102" t="str">
        <f>tbl_ArchitectureOffices!D156</f>
        <v>Dyrvik Arkitekter AS</v>
      </c>
      <c r="L156" s="102">
        <f>tbl_ArchitectureOffices!C156</f>
        <v>166570</v>
      </c>
      <c r="M156" s="102" t="str">
        <f t="shared" si="6"/>
        <v>Dyrvik Arkitekter AS</v>
      </c>
      <c r="N156" s="102" t="str">
        <f>tbl_Companys!D156</f>
        <v>Base Property AS</v>
      </c>
      <c r="O156" s="102">
        <f>tbl_Companys!C156</f>
        <v>172593</v>
      </c>
      <c r="P156" s="102" t="str">
        <f t="shared" si="7"/>
        <v>Base Property AS</v>
      </c>
      <c r="Q156" s="102" t="str">
        <f>tbl_ConsultingCompanys!D156</f>
        <v>El-prosjekt</v>
      </c>
      <c r="R156" s="102">
        <f>tbl_ConsultingCompanys!C156</f>
        <v>121315</v>
      </c>
      <c r="S156" s="102" t="str">
        <f t="shared" si="8"/>
        <v>El-prosjekt</v>
      </c>
    </row>
    <row r="157" spans="11:19" x14ac:dyDescent="0.15">
      <c r="K157" s="102" t="str">
        <f>tbl_ArchitectureOffices!D157</f>
        <v>Eder Biesel Arkitekter</v>
      </c>
      <c r="L157" s="102">
        <f>tbl_ArchitectureOffices!C157</f>
        <v>247887</v>
      </c>
      <c r="M157" s="102" t="str">
        <f t="shared" si="6"/>
        <v>Eder Biesel Arkitekter</v>
      </c>
      <c r="N157" s="102" t="str">
        <f>tbl_Companys!D157</f>
        <v>Basis arkitekter as</v>
      </c>
      <c r="O157" s="102">
        <f>tbl_Companys!C157</f>
        <v>246156</v>
      </c>
      <c r="P157" s="102" t="str">
        <f t="shared" si="7"/>
        <v>Basis arkitekter as</v>
      </c>
      <c r="Q157" s="102" t="str">
        <f>tbl_ConsultingCompanys!D157</f>
        <v>EM teknikk AS</v>
      </c>
      <c r="R157" s="102">
        <f>tbl_ConsultingCompanys!C157</f>
        <v>120245</v>
      </c>
      <c r="S157" s="102" t="str">
        <f t="shared" si="8"/>
        <v>EM teknikk AS</v>
      </c>
    </row>
    <row r="158" spans="11:19" x14ac:dyDescent="0.15">
      <c r="K158" s="102" t="str">
        <f>tbl_ArchitectureOffices!D158</f>
        <v>Egg arkitekter as</v>
      </c>
      <c r="L158" s="102">
        <f>tbl_ArchitectureOffices!C158</f>
        <v>246134</v>
      </c>
      <c r="M158" s="102" t="str">
        <f t="shared" si="6"/>
        <v>Egg arkitekter as</v>
      </c>
      <c r="N158" s="102" t="str">
        <f>tbl_Companys!D158</f>
        <v>BA-tec AS</v>
      </c>
      <c r="O158" s="102">
        <f>tbl_Companys!C158</f>
        <v>246268</v>
      </c>
      <c r="P158" s="102" t="str">
        <f t="shared" si="7"/>
        <v>BA-tec AS</v>
      </c>
      <c r="Q158" s="102" t="str">
        <f>tbl_ConsultingCompanys!D158</f>
        <v>EMA AS</v>
      </c>
      <c r="R158" s="102">
        <f>tbl_ConsultingCompanys!C158</f>
        <v>202453</v>
      </c>
      <c r="S158" s="102" t="str">
        <f t="shared" si="8"/>
        <v>EMA AS</v>
      </c>
    </row>
    <row r="159" spans="11:19" x14ac:dyDescent="0.15">
      <c r="K159" s="102" t="str">
        <f>tbl_ArchitectureOffices!D159</f>
        <v>Eggen Arkitekter AS</v>
      </c>
      <c r="L159" s="102">
        <f>tbl_ArchitectureOffices!C159</f>
        <v>166578</v>
      </c>
      <c r="M159" s="102" t="str">
        <f t="shared" si="6"/>
        <v>Eggen Arkitekter AS</v>
      </c>
      <c r="N159" s="102" t="str">
        <f>tbl_Companys!D159</f>
        <v>Bauck AS, Arkitektkontoret Jan</v>
      </c>
      <c r="O159" s="102">
        <f>tbl_Companys!C159</f>
        <v>166531</v>
      </c>
      <c r="P159" s="102" t="str">
        <f t="shared" si="7"/>
        <v>Bauck AS, Arkitektkontoret Jan</v>
      </c>
      <c r="Q159" s="102" t="str">
        <f>tbl_ConsultingCompanys!D159</f>
        <v>Endre Tvinnereim</v>
      </c>
      <c r="R159" s="102">
        <f>tbl_ConsultingCompanys!C159</f>
        <v>232981</v>
      </c>
      <c r="S159" s="102" t="str">
        <f t="shared" si="8"/>
        <v>Endre Tvinnereim</v>
      </c>
    </row>
    <row r="160" spans="11:19" x14ac:dyDescent="0.15">
      <c r="K160" s="102" t="str">
        <f>tbl_ArchitectureOffices!D160</f>
        <v xml:space="preserve">Eggen AS, Arkitektkontoret Arne </v>
      </c>
      <c r="L160" s="102">
        <f>tbl_ArchitectureOffices!C160</f>
        <v>166575</v>
      </c>
      <c r="M160" s="102" t="str">
        <f t="shared" si="6"/>
        <v>Eggen AS, Arkitektkontoret Arne</v>
      </c>
      <c r="N160" s="102" t="str">
        <f>tbl_Companys!D160</f>
        <v xml:space="preserve">BBW AS, Arkitektkontoret </v>
      </c>
      <c r="O160" s="102">
        <f>tbl_Companys!C160</f>
        <v>166526</v>
      </c>
      <c r="P160" s="102" t="str">
        <f t="shared" si="7"/>
        <v>BBW AS, Arkitektkontoret</v>
      </c>
      <c r="Q160" s="102" t="str">
        <f>tbl_ConsultingCompanys!D160</f>
        <v>Energetica</v>
      </c>
      <c r="R160" s="102">
        <f>tbl_ConsultingCompanys!C160</f>
        <v>235785</v>
      </c>
      <c r="S160" s="102" t="str">
        <f t="shared" si="8"/>
        <v>Energetica</v>
      </c>
    </row>
    <row r="161" spans="11:19" x14ac:dyDescent="0.15">
      <c r="K161" s="102" t="str">
        <f>tbl_ArchitectureOffices!D161</f>
        <v xml:space="preserve">Eggen Sivilarkitekt MNAL, Kjellaug Sandvik </v>
      </c>
      <c r="L161" s="102">
        <f>tbl_ArchitectureOffices!C161</f>
        <v>172605</v>
      </c>
      <c r="M161" s="102" t="str">
        <f t="shared" si="6"/>
        <v>Eggen Sivilarkitekt MNAL, Kjellaug Sandvik</v>
      </c>
      <c r="N161" s="102" t="str">
        <f>tbl_Companys!D161</f>
        <v>Beate Ellingsen AS</v>
      </c>
      <c r="O161" s="102">
        <f>tbl_Companys!C161</f>
        <v>228641</v>
      </c>
      <c r="P161" s="102" t="str">
        <f t="shared" si="7"/>
        <v>Beate Ellingsen AS</v>
      </c>
      <c r="Q161" s="102" t="str">
        <f>tbl_ConsultingCompanys!D161</f>
        <v>Entra Eiendom AS</v>
      </c>
      <c r="R161" s="102">
        <f>tbl_ConsultingCompanys!C161</f>
        <v>223036</v>
      </c>
      <c r="S161" s="102" t="str">
        <f t="shared" si="8"/>
        <v>Entra Eiendom AS</v>
      </c>
    </row>
    <row r="162" spans="11:19" x14ac:dyDescent="0.15">
      <c r="K162" s="102" t="str">
        <f>tbl_ArchitectureOffices!D162</f>
        <v xml:space="preserve">Eide og Haslestad A/S, Arkitektkontoret </v>
      </c>
      <c r="L162" s="102">
        <f>tbl_ArchitectureOffices!C162</f>
        <v>166630</v>
      </c>
      <c r="M162" s="102" t="str">
        <f t="shared" si="6"/>
        <v>Eide og Haslestad A/S, Arkitektkontoret</v>
      </c>
      <c r="N162" s="102" t="str">
        <f>tbl_Companys!D162</f>
        <v>Bente Rødahl Arkitekter AS</v>
      </c>
      <c r="O162" s="102">
        <f>tbl_Companys!C162</f>
        <v>234990</v>
      </c>
      <c r="P162" s="102" t="str">
        <f t="shared" si="7"/>
        <v>Bente Rødahl Arkitekter AS</v>
      </c>
      <c r="Q162" s="102" t="str">
        <f>tbl_ConsultingCompanys!D162</f>
        <v>Entreprenør Magnar Sivertsen as (grunn og betong)</v>
      </c>
      <c r="R162" s="102">
        <f>tbl_ConsultingCompanys!C162</f>
        <v>215431</v>
      </c>
      <c r="S162" s="102" t="str">
        <f t="shared" si="8"/>
        <v>Entreprenør Magnar Sivertsen as (grunn og betong)</v>
      </c>
    </row>
    <row r="163" spans="11:19" x14ac:dyDescent="0.15">
      <c r="K163" s="102" t="str">
        <f>tbl_ArchitectureOffices!D163</f>
        <v>EIK arkitektur &amp; design as npa</v>
      </c>
      <c r="L163" s="102">
        <f>tbl_ArchitectureOffices!C163</f>
        <v>166632</v>
      </c>
      <c r="M163" s="102" t="str">
        <f t="shared" si="6"/>
        <v>EIK arkitektur &amp; design as npa</v>
      </c>
      <c r="N163" s="102" t="str">
        <f>tbl_Companys!D163</f>
        <v>Berg Knudsen as</v>
      </c>
      <c r="O163" s="102">
        <f>tbl_Companys!C163</f>
        <v>247313</v>
      </c>
      <c r="P163" s="102" t="str">
        <f t="shared" si="7"/>
        <v>Berg Knudsen as</v>
      </c>
      <c r="Q163" s="102" t="str">
        <f>tbl_ConsultingCompanys!D163</f>
        <v>Entro nova AS</v>
      </c>
      <c r="R163" s="102">
        <f>tbl_ConsultingCompanys!C163</f>
        <v>121244</v>
      </c>
      <c r="S163" s="102" t="str">
        <f t="shared" si="8"/>
        <v>Entro nova AS</v>
      </c>
    </row>
    <row r="164" spans="11:19" x14ac:dyDescent="0.15">
      <c r="K164" s="102" t="str">
        <f>tbl_ArchitectureOffices!D164</f>
        <v>Element arkitekter as</v>
      </c>
      <c r="L164" s="102">
        <f>tbl_ArchitectureOffices!C164</f>
        <v>166635</v>
      </c>
      <c r="M164" s="102" t="str">
        <f t="shared" si="6"/>
        <v>Element arkitekter as</v>
      </c>
      <c r="N164" s="102" t="str">
        <f>tbl_Companys!D164</f>
        <v>Berg og Østvang AS, Arkitektene</v>
      </c>
      <c r="O164" s="102">
        <f>tbl_Companys!C164</f>
        <v>166498</v>
      </c>
      <c r="P164" s="102" t="str">
        <f t="shared" si="7"/>
        <v>Berg og Østvang AS, Arkitektene</v>
      </c>
      <c r="Q164" s="102" t="str">
        <f>tbl_ConsultingCompanys!D164</f>
        <v>Enøk-senteret AS</v>
      </c>
      <c r="R164" s="102">
        <f>tbl_ConsultingCompanys!C164</f>
        <v>205125</v>
      </c>
      <c r="S164" s="102" t="str">
        <f t="shared" si="8"/>
        <v>Enøk-senteret AS</v>
      </c>
    </row>
    <row r="165" spans="11:19" x14ac:dyDescent="0.15">
      <c r="K165" s="102" t="str">
        <f>tbl_ArchitectureOffices!D165</f>
        <v>Elfrida Bull Bene AS, Arkitektstudio</v>
      </c>
      <c r="L165" s="102">
        <f>tbl_ArchitectureOffices!C165</f>
        <v>166530</v>
      </c>
      <c r="M165" s="102" t="str">
        <f t="shared" si="6"/>
        <v>Elfrida Bull Bene AS, Arkitektstudio</v>
      </c>
      <c r="N165" s="102" t="str">
        <f>tbl_Companys!D165</f>
        <v>Bergen Bolig og Byfornyelse KF</v>
      </c>
      <c r="O165" s="102">
        <f>tbl_Companys!C165</f>
        <v>218052</v>
      </c>
      <c r="P165" s="102" t="str">
        <f t="shared" si="7"/>
        <v>Bergen Bolig og Byfornyelse KF</v>
      </c>
      <c r="Q165" s="102" t="str">
        <f>tbl_ConsultingCompanys!D165</f>
        <v>Erichsen &amp; Horgen AS</v>
      </c>
      <c r="R165" s="102">
        <f>tbl_ConsultingCompanys!C165</f>
        <v>98872</v>
      </c>
      <c r="S165" s="102" t="str">
        <f t="shared" si="8"/>
        <v>Erichsen &amp; Horgen AS</v>
      </c>
    </row>
    <row r="166" spans="11:19" x14ac:dyDescent="0.15">
      <c r="K166" s="102" t="str">
        <f>tbl_ArchitectureOffices!D166</f>
        <v>Eliassen og Lambertz-Nilssen Arkitekter AS</v>
      </c>
      <c r="L166" s="102">
        <f>tbl_ArchitectureOffices!C166</f>
        <v>166636</v>
      </c>
      <c r="M166" s="102" t="str">
        <f t="shared" si="6"/>
        <v>Eliassen og Lambertz-Nilssen Arkitekter AS</v>
      </c>
      <c r="N166" s="102" t="str">
        <f>tbl_Companys!D166</f>
        <v>Bergen Gulvleggerservice AS</v>
      </c>
      <c r="O166" s="102">
        <f>tbl_Companys!C166</f>
        <v>157876</v>
      </c>
      <c r="P166" s="102" t="str">
        <f t="shared" si="7"/>
        <v>Bergen Gulvleggerservice AS</v>
      </c>
      <c r="Q166" s="102" t="str">
        <f>tbl_ConsultingCompanys!D166</f>
        <v>Eriksen og Thorsvik AS (bygg)</v>
      </c>
      <c r="R166" s="102">
        <f>tbl_ConsultingCompanys!C166</f>
        <v>218404</v>
      </c>
      <c r="S166" s="102" t="str">
        <f t="shared" si="8"/>
        <v>Eriksen og Thorsvik AS (bygg)</v>
      </c>
    </row>
    <row r="167" spans="11:19" x14ac:dyDescent="0.15">
      <c r="K167" s="102" t="str">
        <f>tbl_ArchitectureOffices!D167</f>
        <v>Elisabeth Ekjord AS</v>
      </c>
      <c r="L167" s="102">
        <f>tbl_ArchitectureOffices!C167</f>
        <v>166633</v>
      </c>
      <c r="M167" s="102" t="str">
        <f t="shared" si="6"/>
        <v>Elisabeth Ekjord AS</v>
      </c>
      <c r="N167" s="102" t="str">
        <f>tbl_Companys!D167</f>
        <v>Bergen kommune</v>
      </c>
      <c r="O167" s="102">
        <f>tbl_Companys!C167</f>
        <v>172825</v>
      </c>
      <c r="P167" s="102" t="str">
        <f t="shared" si="7"/>
        <v>Bergen kommune</v>
      </c>
      <c r="Q167" s="102" t="str">
        <f>tbl_ConsultingCompanys!D167</f>
        <v>Erstad &amp; Lekven Bergen as</v>
      </c>
      <c r="R167" s="102">
        <f>tbl_ConsultingCompanys!C167</f>
        <v>224140</v>
      </c>
      <c r="S167" s="102" t="str">
        <f t="shared" si="8"/>
        <v>Erstad &amp; Lekven Bergen as</v>
      </c>
    </row>
    <row r="168" spans="11:19" x14ac:dyDescent="0.15">
      <c r="K168" s="102" t="str">
        <f>tbl_ArchitectureOffices!D168</f>
        <v>Else Dahlseng Arkitekter AS</v>
      </c>
      <c r="L168" s="102">
        <f>tbl_ArchitectureOffices!C168</f>
        <v>166573</v>
      </c>
      <c r="M168" s="102" t="str">
        <f t="shared" si="6"/>
        <v>Else Dahlseng Arkitekter AS</v>
      </c>
      <c r="N168" s="102" t="str">
        <f>tbl_Companys!D168</f>
        <v>Bergen kommune, etat for utbygging</v>
      </c>
      <c r="O168" s="102">
        <f>tbl_Companys!C168</f>
        <v>248739</v>
      </c>
      <c r="P168" s="102" t="str">
        <f t="shared" si="7"/>
        <v>Bergen kommune, etat for utbygging</v>
      </c>
      <c r="Q168" s="102" t="str">
        <f>tbl_ConsultingCompanys!D168</f>
        <v>Erstad &amp; Lekven Oslo AS</v>
      </c>
      <c r="R168" s="102">
        <f>tbl_ConsultingCompanys!C168</f>
        <v>243696</v>
      </c>
      <c r="S168" s="102" t="str">
        <f t="shared" si="8"/>
        <v>Erstad &amp; Lekven Oslo AS</v>
      </c>
    </row>
    <row r="169" spans="11:19" x14ac:dyDescent="0.15">
      <c r="K169" s="102" t="str">
        <f>tbl_ArchitectureOffices!D169</f>
        <v xml:space="preserve">Elverland arkitekt MNAL, Hanne </v>
      </c>
      <c r="L169" s="102">
        <f>tbl_ArchitectureOffices!C169</f>
        <v>166640</v>
      </c>
      <c r="M169" s="102" t="str">
        <f t="shared" si="6"/>
        <v>Elverland arkitekt MNAL, Hanne</v>
      </c>
      <c r="N169" s="102" t="str">
        <f>tbl_Companys!D169</f>
        <v>Bergen og omegn boligbyggelag (BOB)</v>
      </c>
      <c r="O169" s="102">
        <f>tbl_Companys!C169</f>
        <v>160598</v>
      </c>
      <c r="P169" s="102" t="str">
        <f t="shared" si="7"/>
        <v>Bergen og omegn boligbyggelag (BOB)</v>
      </c>
      <c r="Q169" s="102" t="str">
        <f>tbl_ConsultingCompanys!D169</f>
        <v>Esbensen Rådgivende Ingeniører AS</v>
      </c>
      <c r="R169" s="102">
        <f>tbl_ConsultingCompanys!C169</f>
        <v>202457</v>
      </c>
      <c r="S169" s="102" t="str">
        <f t="shared" si="8"/>
        <v>Esbensen Rådgivende Ingeniører AS</v>
      </c>
    </row>
    <row r="170" spans="11:19" x14ac:dyDescent="0.15">
      <c r="K170" s="102" t="str">
        <f>tbl_ArchitectureOffices!D170</f>
        <v>Enerhaugen Arkitektkontor AS</v>
      </c>
      <c r="L170" s="102">
        <f>tbl_ArchitectureOffices!C170</f>
        <v>166641</v>
      </c>
      <c r="M170" s="102" t="str">
        <f t="shared" si="6"/>
        <v>Enerhaugen Arkitektkontor AS</v>
      </c>
      <c r="N170" s="102" t="str">
        <f>tbl_Companys!D170</f>
        <v>Bergen og omegn boligbyggelag (BOB)</v>
      </c>
      <c r="O170" s="102">
        <f>tbl_Companys!C170</f>
        <v>160599</v>
      </c>
      <c r="P170" s="102" t="str">
        <f t="shared" si="7"/>
        <v>Bergen og omegn boligbyggelag (BOB)</v>
      </c>
      <c r="Q170" s="102" t="str">
        <f>tbl_ConsultingCompanys!D170</f>
        <v>eStatikk</v>
      </c>
      <c r="R170" s="102">
        <f>tbl_ConsultingCompanys!C170</f>
        <v>245833</v>
      </c>
      <c r="S170" s="102" t="str">
        <f t="shared" si="8"/>
        <v>eStatikk</v>
      </c>
    </row>
    <row r="171" spans="11:19" x14ac:dyDescent="0.15">
      <c r="K171" s="102" t="str">
        <f>tbl_ArchitectureOffices!D171</f>
        <v xml:space="preserve">Engelbrektson, Sivilarkitekt MNAL Richard </v>
      </c>
      <c r="L171" s="102">
        <f>tbl_ArchitectureOffices!C171</f>
        <v>172790</v>
      </c>
      <c r="M171" s="102" t="str">
        <f t="shared" si="6"/>
        <v>Engelbrektson, Sivilarkitekt MNAL Richard</v>
      </c>
      <c r="N171" s="102" t="str">
        <f>tbl_Companys!D171</f>
        <v>Bergersen Arkitekter AS</v>
      </c>
      <c r="O171" s="102">
        <f>tbl_Companys!C171</f>
        <v>249501</v>
      </c>
      <c r="P171" s="102" t="str">
        <f t="shared" si="7"/>
        <v>Bergersen Arkitekter AS</v>
      </c>
      <c r="Q171" s="102" t="str">
        <f>tbl_ConsultingCompanys!D171</f>
        <v>Evotek AS</v>
      </c>
      <c r="R171" s="102">
        <f>tbl_ConsultingCompanys!C171</f>
        <v>98464</v>
      </c>
      <c r="S171" s="102" t="str">
        <f t="shared" si="8"/>
        <v>Evotek AS</v>
      </c>
    </row>
    <row r="172" spans="11:19" x14ac:dyDescent="0.15">
      <c r="K172" s="102" t="str">
        <f>tbl_ArchitectureOffices!D172</f>
        <v>Erik Møller arkitekter</v>
      </c>
      <c r="L172" s="102">
        <f>tbl_ArchitectureOffices!C172</f>
        <v>228640</v>
      </c>
      <c r="M172" s="102" t="str">
        <f t="shared" si="6"/>
        <v>Erik Møller arkitekter</v>
      </c>
      <c r="N172" s="102" t="str">
        <f>tbl_Companys!D172</f>
        <v>Bergersen Gromholt Ottar Arkitekter AS</v>
      </c>
      <c r="O172" s="102">
        <f>tbl_Companys!C172</f>
        <v>166532</v>
      </c>
      <c r="P172" s="102" t="str">
        <f t="shared" si="7"/>
        <v>Bergersen Gromholt Ottar Arkitekter AS</v>
      </c>
      <c r="Q172" s="102" t="str">
        <f>tbl_ConsultingCompanys!D172</f>
        <v>F. Stensrud AS</v>
      </c>
      <c r="R172" s="102">
        <f>tbl_ConsultingCompanys!C172</f>
        <v>228141</v>
      </c>
      <c r="S172" s="102" t="str">
        <f t="shared" si="8"/>
        <v>F. Stensrud AS</v>
      </c>
    </row>
    <row r="173" spans="11:19" x14ac:dyDescent="0.15">
      <c r="K173" s="102" t="str">
        <f>tbl_ArchitectureOffices!D173</f>
        <v>Eriksen Skajaa Arkitekter</v>
      </c>
      <c r="L173" s="102">
        <f>tbl_ArchitectureOffices!C173</f>
        <v>207043</v>
      </c>
      <c r="M173" s="102" t="str">
        <f t="shared" si="6"/>
        <v>Eriksen Skajaa Arkitekter</v>
      </c>
      <c r="N173" s="102" t="str">
        <f>tbl_Companys!D173</f>
        <v xml:space="preserve">Bergseth sivilarkitekt MNAL, Magne </v>
      </c>
      <c r="O173" s="102">
        <f>tbl_Companys!C173</f>
        <v>166533</v>
      </c>
      <c r="P173" s="102" t="str">
        <f t="shared" si="7"/>
        <v>Bergseth sivilarkitekt MNAL, Magne</v>
      </c>
      <c r="Q173" s="102" t="str">
        <f>tbl_ConsultingCompanys!D173</f>
        <v>Faber bygg AS</v>
      </c>
      <c r="R173" s="102">
        <f>tbl_ConsultingCompanys!C173</f>
        <v>245789</v>
      </c>
      <c r="S173" s="102" t="str">
        <f t="shared" si="8"/>
        <v>Faber bygg AS</v>
      </c>
    </row>
    <row r="174" spans="11:19" x14ac:dyDescent="0.15">
      <c r="K174" s="102" t="str">
        <f>tbl_ArchitectureOffices!D174</f>
        <v>Espen Handegård sivilarkitekt MNAL</v>
      </c>
      <c r="L174" s="102">
        <f>tbl_ArchitectureOffices!C174</f>
        <v>209987</v>
      </c>
      <c r="M174" s="102" t="str">
        <f t="shared" si="6"/>
        <v>Espen Handegård sivilarkitekt MNAL</v>
      </c>
      <c r="N174" s="102" t="str">
        <f>tbl_Companys!D174</f>
        <v>Berit og Helge Sørås</v>
      </c>
      <c r="O174" s="102">
        <f>tbl_Companys!C174</f>
        <v>160600</v>
      </c>
      <c r="P174" s="102" t="str">
        <f t="shared" si="7"/>
        <v>Berit og Helge Sørås</v>
      </c>
      <c r="Q174" s="102" t="str">
        <f>tbl_ConsultingCompanys!D174</f>
        <v>Fagerborg menighet</v>
      </c>
      <c r="R174" s="102">
        <f>tbl_ConsultingCompanys!C174</f>
        <v>243665</v>
      </c>
      <c r="S174" s="102" t="str">
        <f t="shared" si="8"/>
        <v>Fagerborg menighet</v>
      </c>
    </row>
    <row r="175" spans="11:19" x14ac:dyDescent="0.15">
      <c r="K175" s="102" t="str">
        <f>tbl_ArchitectureOffices!D175</f>
        <v>Eva Solheim sivilarkitekt MNAL</v>
      </c>
      <c r="L175" s="102">
        <f>tbl_ArchitectureOffices!C175</f>
        <v>249559</v>
      </c>
      <c r="M175" s="102" t="str">
        <f t="shared" si="6"/>
        <v>Eva Solheim sivilarkitekt MNAL</v>
      </c>
      <c r="N175" s="102" t="str">
        <f>tbl_Companys!D175</f>
        <v>Bermingrud Entreprenør AS</v>
      </c>
      <c r="O175" s="102">
        <f>tbl_Companys!C175</f>
        <v>246269</v>
      </c>
      <c r="P175" s="102" t="str">
        <f t="shared" si="7"/>
        <v>Bermingrud Entreprenør AS</v>
      </c>
      <c r="Q175" s="102" t="str">
        <f>tbl_ConsultingCompanys!D175</f>
        <v>Farsund kommune</v>
      </c>
      <c r="R175" s="102">
        <f>tbl_ConsultingCompanys!C175</f>
        <v>160582</v>
      </c>
      <c r="S175" s="102" t="str">
        <f t="shared" si="8"/>
        <v>Farsund kommune</v>
      </c>
    </row>
    <row r="176" spans="11:19" x14ac:dyDescent="0.15">
      <c r="K176" s="102" t="str">
        <f>tbl_ArchitectureOffices!D176</f>
        <v>F S Platou</v>
      </c>
      <c r="L176" s="102">
        <f>tbl_ArchitectureOffices!C176</f>
        <v>235806</v>
      </c>
      <c r="M176" s="102" t="str">
        <f t="shared" si="6"/>
        <v>F S Platou</v>
      </c>
      <c r="N176" s="102" t="str">
        <f>tbl_Companys!D176</f>
        <v>Bernt Krogh</v>
      </c>
      <c r="O176" s="102">
        <f>tbl_Companys!C176</f>
        <v>162868</v>
      </c>
      <c r="P176" s="102" t="str">
        <f t="shared" si="7"/>
        <v>Bernt Krogh</v>
      </c>
      <c r="Q176" s="102" t="str">
        <f>tbl_ConsultingCompanys!D176</f>
        <v>Faveo Prosjektledelse AS</v>
      </c>
      <c r="R176" s="102">
        <f>tbl_ConsultingCompanys!C176</f>
        <v>233203</v>
      </c>
      <c r="S176" s="102" t="str">
        <f t="shared" si="8"/>
        <v>Faveo Prosjektledelse AS</v>
      </c>
    </row>
    <row r="177" spans="11:19" x14ac:dyDescent="0.15">
      <c r="K177" s="102" t="str">
        <f>tbl_ArchitectureOffices!D177</f>
        <v xml:space="preserve">Falkenberg MNAL, Siv.ark. Thomas </v>
      </c>
      <c r="L177" s="102">
        <f>tbl_ArchitectureOffices!C177</f>
        <v>166717</v>
      </c>
      <c r="M177" s="102" t="str">
        <f t="shared" si="6"/>
        <v>Falkenberg MNAL, Siv.ark. Thomas</v>
      </c>
      <c r="N177" s="102" t="str">
        <f>tbl_Companys!D177</f>
        <v>BGM Arkitekter AS</v>
      </c>
      <c r="O177" s="102">
        <f>tbl_Companys!C177</f>
        <v>247616</v>
      </c>
      <c r="P177" s="102" t="str">
        <f t="shared" si="7"/>
        <v>BGM Arkitekter AS</v>
      </c>
      <c r="Q177" s="102" t="str">
        <f>tbl_ConsultingCompanys!D177</f>
        <v>FAVEO/Grønn byggallianse v/Sverre Tiltnes (Miljøkoordinator)</v>
      </c>
      <c r="R177" s="102">
        <f>tbl_ConsultingCompanys!C177</f>
        <v>214152</v>
      </c>
      <c r="S177" s="102" t="str">
        <f t="shared" si="8"/>
        <v>FAVEO/Grønn byggallianse v/Sverre Tiltnes (Miljøkoordinator)</v>
      </c>
    </row>
    <row r="178" spans="11:19" x14ac:dyDescent="0.15">
      <c r="K178" s="102" t="str">
        <f>tbl_ArchitectureOffices!D178</f>
        <v>Fasting Arkitekter AS</v>
      </c>
      <c r="L178" s="102">
        <f>tbl_ArchitectureOffices!C178</f>
        <v>166718</v>
      </c>
      <c r="M178" s="102" t="str">
        <f t="shared" si="6"/>
        <v>Fasting Arkitekter AS</v>
      </c>
      <c r="N178" s="102" t="str">
        <f>tbl_Companys!D178</f>
        <v>BGM Arkitekter/ Asplan Viak</v>
      </c>
      <c r="O178" s="102">
        <f>tbl_Companys!C178</f>
        <v>247620</v>
      </c>
      <c r="P178" s="102" t="str">
        <f t="shared" si="7"/>
        <v>BGM Arkitekter/ Asplan Viak</v>
      </c>
      <c r="Q178" s="102" t="str">
        <f>tbl_ConsultingCompanys!D178</f>
        <v>FERD K23 AS</v>
      </c>
      <c r="R178" s="102">
        <f>tbl_ConsultingCompanys!C178</f>
        <v>246723</v>
      </c>
      <c r="S178" s="102" t="str">
        <f t="shared" si="8"/>
        <v>FERD K23 AS</v>
      </c>
    </row>
    <row r="179" spans="11:19" x14ac:dyDescent="0.15">
      <c r="K179" s="102" t="str">
        <f>tbl_ArchitectureOffices!D179</f>
        <v>Felix Arkitekter AS</v>
      </c>
      <c r="L179" s="102">
        <f>tbl_ArchitectureOffices!C179</f>
        <v>166720</v>
      </c>
      <c r="M179" s="102" t="str">
        <f t="shared" si="6"/>
        <v>Felix Arkitekter AS</v>
      </c>
      <c r="N179" s="102" t="str">
        <f>tbl_Companys!D179</f>
        <v xml:space="preserve">Biesel Arkitekter AS, Eder </v>
      </c>
      <c r="O179" s="102">
        <f>tbl_Companys!C179</f>
        <v>172725</v>
      </c>
      <c r="P179" s="102" t="str">
        <f t="shared" si="7"/>
        <v>Biesel Arkitekter AS, Eder</v>
      </c>
      <c r="Q179" s="102" t="str">
        <f>tbl_ConsultingCompanys!D179</f>
        <v>Fløibanen</v>
      </c>
      <c r="R179" s="102">
        <f>tbl_ConsultingCompanys!C179</f>
        <v>182799</v>
      </c>
      <c r="S179" s="102" t="str">
        <f t="shared" si="8"/>
        <v>Fløibanen</v>
      </c>
    </row>
    <row r="180" spans="11:19" x14ac:dyDescent="0.15">
      <c r="K180" s="102" t="str">
        <f>tbl_ArchitectureOffices!D180</f>
        <v>Feste AS</v>
      </c>
      <c r="L180" s="102">
        <f>tbl_ArchitectureOffices!C180</f>
        <v>231899</v>
      </c>
      <c r="M180" s="102" t="str">
        <f t="shared" si="6"/>
        <v>Feste AS</v>
      </c>
      <c r="N180" s="102" t="str">
        <f>tbl_Companys!D180</f>
        <v>Bifokal Zednik</v>
      </c>
      <c r="O180" s="102">
        <f>tbl_Companys!C180</f>
        <v>194016</v>
      </c>
      <c r="P180" s="102" t="str">
        <f t="shared" si="7"/>
        <v>Bifokal Zednik</v>
      </c>
      <c r="Q180" s="102" t="str">
        <f>tbl_ConsultingCompanys!D180</f>
        <v>Follo Bygg og Eiendom AS</v>
      </c>
      <c r="R180" s="102">
        <f>tbl_ConsultingCompanys!C180</f>
        <v>243669</v>
      </c>
      <c r="S180" s="102" t="str">
        <f t="shared" si="8"/>
        <v>Follo Bygg og Eiendom AS</v>
      </c>
    </row>
    <row r="181" spans="11:19" x14ac:dyDescent="0.15">
      <c r="K181" s="102" t="str">
        <f>tbl_ArchitectureOffices!D181</f>
        <v>Feste Grenland AS</v>
      </c>
      <c r="L181" s="102">
        <f>tbl_ArchitectureOffices!C181</f>
        <v>242831</v>
      </c>
      <c r="M181" s="102" t="str">
        <f t="shared" si="6"/>
        <v>Feste Grenland AS</v>
      </c>
      <c r="N181" s="102" t="str">
        <f>tbl_Companys!D181</f>
        <v>Biltorget AS</v>
      </c>
      <c r="O181" s="102">
        <f>tbl_Companys!C181</f>
        <v>160594</v>
      </c>
      <c r="P181" s="102" t="str">
        <f t="shared" si="7"/>
        <v>Biltorget AS</v>
      </c>
      <c r="Q181" s="102" t="str">
        <f>tbl_ConsultingCompanys!D181</f>
        <v>Forsvarsbygg</v>
      </c>
      <c r="R181" s="102">
        <f>tbl_ConsultingCompanys!C181</f>
        <v>248971</v>
      </c>
      <c r="S181" s="102" t="str">
        <f t="shared" si="8"/>
        <v>Forsvarsbygg</v>
      </c>
    </row>
    <row r="182" spans="11:19" x14ac:dyDescent="0.15">
      <c r="K182" s="102" t="str">
        <f>tbl_ArchitectureOffices!D182</f>
        <v>Filter Arkitekter AS</v>
      </c>
      <c r="L182" s="102">
        <f>tbl_ArchitectureOffices!C182</f>
        <v>166721</v>
      </c>
      <c r="M182" s="102" t="str">
        <f t="shared" si="6"/>
        <v>Filter Arkitekter AS</v>
      </c>
      <c r="N182" s="102" t="str">
        <f>tbl_Companys!D182</f>
        <v>Biong Arkitekter AS</v>
      </c>
      <c r="O182" s="102">
        <f>tbl_Companys!C182</f>
        <v>172658</v>
      </c>
      <c r="P182" s="102" t="str">
        <f t="shared" si="7"/>
        <v>Biong Arkitekter AS</v>
      </c>
      <c r="Q182" s="102" t="str">
        <f>tbl_ConsultingCompanys!D182</f>
        <v>Forus Næringspark AS</v>
      </c>
      <c r="R182" s="102">
        <f>tbl_ConsultingCompanys!C182</f>
        <v>163053</v>
      </c>
      <c r="S182" s="102" t="str">
        <f t="shared" si="8"/>
        <v>Forus Næringspark AS</v>
      </c>
    </row>
    <row r="183" spans="11:19" x14ac:dyDescent="0.15">
      <c r="K183" s="102" t="str">
        <f>tbl_ArchitectureOffices!D183</f>
        <v>Fjord Arkitekter AS</v>
      </c>
      <c r="L183" s="102">
        <f>tbl_ArchitectureOffices!C183</f>
        <v>218791</v>
      </c>
      <c r="M183" s="102" t="str">
        <f t="shared" si="6"/>
        <v>Fjord Arkitekter AS</v>
      </c>
      <c r="N183" s="102" t="str">
        <f>tbl_Companys!D183</f>
        <v>Bios Arkitekter AS</v>
      </c>
      <c r="O183" s="102">
        <f>tbl_Companys!C183</f>
        <v>203536</v>
      </c>
      <c r="P183" s="102" t="str">
        <f t="shared" si="7"/>
        <v>Bios Arkitekter AS</v>
      </c>
      <c r="Q183" s="102" t="str">
        <f>tbl_ConsultingCompanys!D183</f>
        <v>Forus Rør AS</v>
      </c>
      <c r="R183" s="102">
        <f>tbl_ConsultingCompanys!C183</f>
        <v>155841</v>
      </c>
      <c r="S183" s="102" t="str">
        <f t="shared" si="8"/>
        <v>Forus Rør AS</v>
      </c>
    </row>
    <row r="184" spans="11:19" x14ac:dyDescent="0.15">
      <c r="K184" s="102" t="str">
        <f>tbl_ArchitectureOffices!D184</f>
        <v>Fjorden Arkitekter</v>
      </c>
      <c r="L184" s="102">
        <f>tbl_ArchitectureOffices!C184</f>
        <v>219703</v>
      </c>
      <c r="M184" s="102" t="str">
        <f t="shared" si="6"/>
        <v>Fjorden Arkitekter</v>
      </c>
      <c r="N184" s="102" t="str">
        <f>tbl_Companys!D184</f>
        <v>Bjarte Fyllingen as</v>
      </c>
      <c r="O184" s="102">
        <f>tbl_Companys!C184</f>
        <v>224139</v>
      </c>
      <c r="P184" s="102" t="str">
        <f t="shared" si="7"/>
        <v>Bjarte Fyllingen as</v>
      </c>
      <c r="Q184" s="102" t="str">
        <f>tbl_ConsultingCompanys!D184</f>
        <v>Frank Hansen, Åfjord (Strandbar)</v>
      </c>
      <c r="R184" s="102">
        <f>tbl_ConsultingCompanys!C184</f>
        <v>230107</v>
      </c>
      <c r="S184" s="102" t="str">
        <f t="shared" si="8"/>
        <v>Frank Hansen, Åfjord (Strandbar)</v>
      </c>
    </row>
    <row r="185" spans="11:19" x14ac:dyDescent="0.15">
      <c r="K185" s="102" t="str">
        <f>tbl_ArchitectureOffices!D185</f>
        <v>Flux Arkitekter AS</v>
      </c>
      <c r="L185" s="102">
        <f>tbl_ArchitectureOffices!C185</f>
        <v>166724</v>
      </c>
      <c r="M185" s="102" t="str">
        <f t="shared" si="6"/>
        <v>Flux Arkitekter AS</v>
      </c>
      <c r="N185" s="102" t="str">
        <f>tbl_Companys!D185</f>
        <v>Bjerga Bygg AS</v>
      </c>
      <c r="O185" s="102">
        <f>tbl_Companys!C185</f>
        <v>103217</v>
      </c>
      <c r="P185" s="102" t="str">
        <f t="shared" si="7"/>
        <v>Bjerga Bygg AS</v>
      </c>
      <c r="Q185" s="102" t="str">
        <f>tbl_ConsultingCompanys!D185</f>
        <v>Fredricia Miller siv.ark MNAL</v>
      </c>
      <c r="R185" s="102">
        <f>tbl_ConsultingCompanys!C185</f>
        <v>119975</v>
      </c>
      <c r="S185" s="102" t="str">
        <f t="shared" si="8"/>
        <v>Fredricia Miller siv.ark MNAL</v>
      </c>
    </row>
    <row r="186" spans="11:19" x14ac:dyDescent="0.15">
      <c r="K186" s="102" t="str">
        <f>tbl_ArchitectureOffices!D186</f>
        <v>Flyt arkitektur as</v>
      </c>
      <c r="L186" s="102">
        <f>tbl_ArchitectureOffices!C186</f>
        <v>199549</v>
      </c>
      <c r="M186" s="102" t="str">
        <f t="shared" si="6"/>
        <v>Flyt arkitektur as</v>
      </c>
      <c r="N186" s="102" t="str">
        <f>tbl_Companys!D186</f>
        <v>Bjerga eiendom AS</v>
      </c>
      <c r="O186" s="102">
        <f>tbl_Companys!C186</f>
        <v>160577</v>
      </c>
      <c r="P186" s="102" t="str">
        <f t="shared" si="7"/>
        <v>Bjerga eiendom AS</v>
      </c>
      <c r="Q186" s="102" t="str">
        <f>tbl_ConsultingCompanys!D186</f>
        <v>Fredrikstad kommune</v>
      </c>
      <c r="R186" s="102">
        <f>tbl_ConsultingCompanys!C186</f>
        <v>241086</v>
      </c>
      <c r="S186" s="102" t="str">
        <f t="shared" si="8"/>
        <v>Fredrikstad kommune</v>
      </c>
    </row>
    <row r="187" spans="11:19" x14ac:dyDescent="0.15">
      <c r="K187" s="102" t="str">
        <f>tbl_ArchitectureOffices!D187</f>
        <v>Forente Arkitektkontorer A/S</v>
      </c>
      <c r="L187" s="102">
        <f>tbl_ArchitectureOffices!C187</f>
        <v>166725</v>
      </c>
      <c r="M187" s="102" t="str">
        <f t="shared" si="6"/>
        <v>Forente Arkitektkontorer A/S</v>
      </c>
      <c r="N187" s="102" t="str">
        <f>tbl_Companys!D187</f>
        <v>Bjerke arkitektkontor</v>
      </c>
      <c r="O187" s="102">
        <f>tbl_Companys!C187</f>
        <v>166537</v>
      </c>
      <c r="P187" s="102" t="str">
        <f t="shared" si="7"/>
        <v>Bjerke arkitektkontor</v>
      </c>
      <c r="Q187" s="102" t="str">
        <f>tbl_ConsultingCompanys!D187</f>
        <v>Fredrikstad kommune, Teknisk drift</v>
      </c>
      <c r="R187" s="102">
        <f>tbl_ConsultingCompanys!C187</f>
        <v>241087</v>
      </c>
      <c r="S187" s="102" t="str">
        <f t="shared" si="8"/>
        <v>Fredrikstad kommune, Teknisk drift</v>
      </c>
    </row>
    <row r="188" spans="11:19" x14ac:dyDescent="0.15">
      <c r="K188" s="102" t="str">
        <f>tbl_ArchitectureOffices!D188</f>
        <v>Formgiverne d.a.</v>
      </c>
      <c r="L188" s="102">
        <f>tbl_ArchitectureOffices!C188</f>
        <v>166726</v>
      </c>
      <c r="M188" s="102" t="str">
        <f t="shared" si="6"/>
        <v>Formgiverne d.a.</v>
      </c>
      <c r="N188" s="102" t="str">
        <f>tbl_Companys!D188</f>
        <v>Bjerke Ventilasjon AS (Ventilasjon)</v>
      </c>
      <c r="O188" s="102">
        <f>tbl_Companys!C188</f>
        <v>155179</v>
      </c>
      <c r="P188" s="102" t="str">
        <f t="shared" si="7"/>
        <v>Bjerke Ventilasjon AS (Ventilasjon)</v>
      </c>
      <c r="Q188" s="102" t="str">
        <f>tbl_ConsultingCompanys!D188</f>
        <v>Frode Olsson AS (forskaling, støp)</v>
      </c>
      <c r="R188" s="102">
        <f>tbl_ConsultingCompanys!C188</f>
        <v>155839</v>
      </c>
      <c r="S188" s="102" t="str">
        <f t="shared" si="8"/>
        <v>Frode Olsson AS (forskaling, støp)</v>
      </c>
    </row>
    <row r="189" spans="11:19" x14ac:dyDescent="0.15">
      <c r="K189" s="102" t="str">
        <f>tbl_ArchitectureOffices!D189</f>
        <v>Fortunen Arkitekter AS</v>
      </c>
      <c r="L189" s="102">
        <f>tbl_ArchitectureOffices!C189</f>
        <v>166727</v>
      </c>
      <c r="M189" s="102" t="str">
        <f t="shared" si="6"/>
        <v>Fortunen Arkitekter AS</v>
      </c>
      <c r="N189" s="102" t="str">
        <f>tbl_Companys!D189</f>
        <v>Bjørbekk og Lindheim</v>
      </c>
      <c r="O189" s="102">
        <f>tbl_Companys!C189</f>
        <v>236408</v>
      </c>
      <c r="P189" s="102" t="str">
        <f t="shared" si="7"/>
        <v>Bjørbekk og Lindheim</v>
      </c>
      <c r="Q189" s="102" t="str">
        <f>tbl_ConsultingCompanys!D189</f>
        <v>Froland kommune</v>
      </c>
      <c r="R189" s="102">
        <f>tbl_ConsultingCompanys!C189</f>
        <v>215887</v>
      </c>
      <c r="S189" s="102" t="str">
        <f t="shared" si="8"/>
        <v>Froland kommune</v>
      </c>
    </row>
    <row r="190" spans="11:19" x14ac:dyDescent="0.15">
      <c r="K190" s="102" t="str">
        <f>tbl_ArchitectureOffices!D190</f>
        <v>Forum Arkitekter AS</v>
      </c>
      <c r="L190" s="102">
        <f>tbl_ArchitectureOffices!C190</f>
        <v>166728</v>
      </c>
      <c r="M190" s="102" t="str">
        <f t="shared" si="6"/>
        <v>Forum Arkitekter AS</v>
      </c>
      <c r="N190" s="102" t="str">
        <f>tbl_Companys!D190</f>
        <v>Bjørn Haugstad Arkitekt MNAL</v>
      </c>
      <c r="O190" s="102">
        <f>tbl_Companys!C190</f>
        <v>227536</v>
      </c>
      <c r="P190" s="102" t="str">
        <f t="shared" si="7"/>
        <v>Bjørn Haugstad Arkitekt MNAL</v>
      </c>
      <c r="Q190" s="102" t="str">
        <f>tbl_ConsultingCompanys!D190</f>
        <v>Frost Entrepenør AS (bygningsmessige arbeider)</v>
      </c>
      <c r="R190" s="102">
        <f>tbl_ConsultingCompanys!C190</f>
        <v>162920</v>
      </c>
      <c r="S190" s="102" t="str">
        <f t="shared" si="8"/>
        <v>Frost Entrepenør AS (bygningsmessige arbeider)</v>
      </c>
    </row>
    <row r="191" spans="11:19" x14ac:dyDescent="0.15">
      <c r="K191" s="102" t="str">
        <f>tbl_ArchitectureOffices!D191</f>
        <v>fossland as, arkitekt</v>
      </c>
      <c r="L191" s="102">
        <f>tbl_ArchitectureOffices!C191</f>
        <v>172996</v>
      </c>
      <c r="M191" s="102" t="str">
        <f t="shared" si="6"/>
        <v>fossland as, arkitekt</v>
      </c>
      <c r="N191" s="102" t="str">
        <f>tbl_Companys!D191</f>
        <v xml:space="preserve">Bjørnstad Prosjektering AS, Bjørn </v>
      </c>
      <c r="O191" s="102">
        <f>tbl_Companys!C191</f>
        <v>166538</v>
      </c>
      <c r="P191" s="102" t="str">
        <f t="shared" si="7"/>
        <v>Bjørnstad Prosjektering AS, Bjørn</v>
      </c>
      <c r="Q191" s="102" t="str">
        <f>tbl_ConsultingCompanys!D191</f>
        <v>Frost Entreprenør AS</v>
      </c>
      <c r="R191" s="102">
        <f>tbl_ConsultingCompanys!C191</f>
        <v>111932</v>
      </c>
      <c r="S191" s="102" t="str">
        <f t="shared" si="8"/>
        <v>Frost Entreprenør AS</v>
      </c>
    </row>
    <row r="192" spans="11:19" x14ac:dyDescent="0.15">
      <c r="K192" s="102" t="str">
        <f>tbl_ArchitectureOffices!D192</f>
        <v xml:space="preserve">Frank a/s, Arkitektkontoret Lene </v>
      </c>
      <c r="L192" s="102">
        <f>tbl_ArchitectureOffices!C192</f>
        <v>166729</v>
      </c>
      <c r="M192" s="102" t="str">
        <f t="shared" si="6"/>
        <v>Frank a/s, Arkitektkontoret Lene</v>
      </c>
      <c r="N192" s="102" t="str">
        <f>tbl_Companys!D192</f>
        <v>Blikkenslager Østensen AS</v>
      </c>
      <c r="O192" s="102">
        <f>tbl_Companys!C192</f>
        <v>157874</v>
      </c>
      <c r="P192" s="102" t="str">
        <f t="shared" si="7"/>
        <v>Blikkenslager Østensen AS</v>
      </c>
      <c r="Q192" s="102" t="str">
        <f>tbl_ConsultingCompanys!D192</f>
        <v>Frydenlund og Høyer AS</v>
      </c>
      <c r="R192" s="102">
        <f>tbl_ConsultingCompanys!C192</f>
        <v>243868</v>
      </c>
      <c r="S192" s="102" t="str">
        <f t="shared" si="8"/>
        <v>Frydenlund og Høyer AS</v>
      </c>
    </row>
    <row r="193" spans="11:19" x14ac:dyDescent="0.15">
      <c r="K193" s="102" t="str">
        <f>tbl_ArchitectureOffices!D193</f>
        <v>Friis Arkitekter AS</v>
      </c>
      <c r="L193" s="102">
        <f>tbl_ArchitectureOffices!C193</f>
        <v>178010</v>
      </c>
      <c r="M193" s="102" t="str">
        <f t="shared" si="6"/>
        <v>Friis Arkitekter AS</v>
      </c>
      <c r="N193" s="102" t="str">
        <f>tbl_Companys!D193</f>
        <v>blå arkitektur landskab ab</v>
      </c>
      <c r="O193" s="102">
        <f>tbl_Companys!C193</f>
        <v>166539</v>
      </c>
      <c r="P193" s="102" t="str">
        <f t="shared" si="7"/>
        <v>blå arkitektur landskab ab</v>
      </c>
      <c r="Q193" s="102" t="str">
        <f>tbl_ConsultingCompanys!D193</f>
        <v>Frøiland Bygg</v>
      </c>
      <c r="R193" s="102">
        <f>tbl_ConsultingCompanys!C193</f>
        <v>158043</v>
      </c>
      <c r="S193" s="102" t="str">
        <f t="shared" si="8"/>
        <v>Frøiland Bygg</v>
      </c>
    </row>
    <row r="194" spans="11:19" x14ac:dyDescent="0.15">
      <c r="K194" s="102" t="str">
        <f>tbl_ArchitectureOffices!D194</f>
        <v>Gaia Arkitekter</v>
      </c>
      <c r="L194" s="102">
        <f>tbl_ArchitectureOffices!C194</f>
        <v>166730</v>
      </c>
      <c r="M194" s="102" t="str">
        <f t="shared" si="6"/>
        <v>Gaia Arkitekter</v>
      </c>
      <c r="N194" s="102" t="str">
        <f>tbl_Companys!D194</f>
        <v>Bo arkitekter as</v>
      </c>
      <c r="O194" s="102">
        <f>tbl_Companys!C194</f>
        <v>226513</v>
      </c>
      <c r="P194" s="102" t="str">
        <f t="shared" si="7"/>
        <v>Bo arkitekter as</v>
      </c>
      <c r="Q194" s="102" t="str">
        <f>tbl_ConsultingCompanys!D194</f>
        <v>Fyllingen Maskinstasjon</v>
      </c>
      <c r="R194" s="102">
        <f>tbl_ConsultingCompanys!C194</f>
        <v>182796</v>
      </c>
      <c r="S194" s="102" t="str">
        <f t="shared" si="8"/>
        <v>Fyllingen Maskinstasjon</v>
      </c>
    </row>
    <row r="195" spans="11:19" x14ac:dyDescent="0.15">
      <c r="K195" s="102" t="str">
        <f>tbl_ArchitectureOffices!D195</f>
        <v>Gaia Tjøme</v>
      </c>
      <c r="L195" s="102">
        <f>tbl_ArchitectureOffices!C195</f>
        <v>172711</v>
      </c>
      <c r="M195" s="102" t="str">
        <f t="shared" ref="M195:M258" si="9">IFERROR(REPLACE(K195,FIND(" ",K195,LEN(K195)),1,""),K195)</f>
        <v>Gaia Tjøme</v>
      </c>
      <c r="N195" s="102" t="str">
        <f>tbl_Companys!D195</f>
        <v>Boarch arkitekter as</v>
      </c>
      <c r="O195" s="102">
        <f>tbl_Companys!C195</f>
        <v>166543</v>
      </c>
      <c r="P195" s="102" t="str">
        <f t="shared" ref="P195:P258" si="10">IFERROR(REPLACE(N195,FIND(" ",N195,LEN(N195)),1,""),N195)</f>
        <v>Boarch arkitekter as</v>
      </c>
      <c r="Q195" s="102" t="str">
        <f>tbl_ConsultingCompanys!D195</f>
        <v>GAIA Lista AS (RIV)</v>
      </c>
      <c r="R195" s="102">
        <f>tbl_ConsultingCompanys!C195</f>
        <v>207493</v>
      </c>
      <c r="S195" s="102" t="str">
        <f t="shared" ref="S195:S258" si="11">IFERROR(REPLACE(Q195,FIND(" ",Q195,LEN(Q195)),1,""),Q195)</f>
        <v>GAIA Lista AS (RIV)</v>
      </c>
    </row>
    <row r="196" spans="11:19" x14ac:dyDescent="0.15">
      <c r="K196" s="102" t="str">
        <f>tbl_ArchitectureOffices!D196</f>
        <v xml:space="preserve">Gasa A/S, Arkitektkontoret </v>
      </c>
      <c r="L196" s="102">
        <f>tbl_ArchitectureOffices!C196</f>
        <v>166731</v>
      </c>
      <c r="M196" s="102" t="str">
        <f t="shared" si="9"/>
        <v>Gasa A/S, Arkitektkontoret</v>
      </c>
      <c r="N196" s="102" t="str">
        <f>tbl_Companys!D196</f>
        <v xml:space="preserve">Bogen Arkitektkontor AS, Petter </v>
      </c>
      <c r="O196" s="102">
        <f>tbl_Companys!C196</f>
        <v>166544</v>
      </c>
      <c r="P196" s="102" t="str">
        <f t="shared" si="10"/>
        <v>Bogen Arkitektkontor AS, Petter</v>
      </c>
      <c r="Q196" s="102" t="str">
        <f>tbl_ConsultingCompanys!D196</f>
        <v>Gauldal Bygg AS</v>
      </c>
      <c r="R196" s="102">
        <f>tbl_ConsultingCompanys!C196</f>
        <v>222846</v>
      </c>
      <c r="S196" s="102" t="str">
        <f t="shared" si="11"/>
        <v>Gauldal Bygg AS</v>
      </c>
    </row>
    <row r="197" spans="11:19" x14ac:dyDescent="0.15">
      <c r="K197" s="102" t="str">
        <f>tbl_ArchitectureOffices!D197</f>
        <v>Ghilardi+Hellsten Arkitekter</v>
      </c>
      <c r="L197" s="102">
        <f>tbl_ArchitectureOffices!C197</f>
        <v>166732</v>
      </c>
      <c r="M197" s="102" t="str">
        <f t="shared" si="9"/>
        <v>Ghilardi+Hellsten Arkitekter</v>
      </c>
      <c r="N197" s="102" t="str">
        <f>tbl_Companys!D197</f>
        <v xml:space="preserve">Bolkesjø AS </v>
      </c>
      <c r="O197" s="102">
        <f>tbl_Companys!C197</f>
        <v>119783</v>
      </c>
      <c r="P197" s="102" t="str">
        <f t="shared" si="10"/>
        <v>Bolkesjø AS</v>
      </c>
      <c r="Q197" s="102" t="str">
        <f>tbl_ConsultingCompanys!D197</f>
        <v>Geir Knudsen AS</v>
      </c>
      <c r="R197" s="102">
        <f>tbl_ConsultingCompanys!C197</f>
        <v>166298</v>
      </c>
      <c r="S197" s="102" t="str">
        <f t="shared" si="11"/>
        <v>Geir Knudsen AS</v>
      </c>
    </row>
    <row r="198" spans="11:19" x14ac:dyDescent="0.15">
      <c r="K198" s="102" t="str">
        <f>tbl_ArchitectureOffices!D198</f>
        <v xml:space="preserve">Gjøen, Arne </v>
      </c>
      <c r="L198" s="102">
        <f>tbl_ArchitectureOffices!C198</f>
        <v>166733</v>
      </c>
      <c r="M198" s="102" t="str">
        <f t="shared" si="9"/>
        <v>Gjøen, Arne</v>
      </c>
      <c r="N198" s="102" t="str">
        <f>tbl_Companys!D198</f>
        <v>Borealis Arkitekter as</v>
      </c>
      <c r="O198" s="102">
        <f>tbl_Companys!C198</f>
        <v>166545</v>
      </c>
      <c r="P198" s="102" t="str">
        <f t="shared" si="10"/>
        <v>Borealis Arkitekter as</v>
      </c>
      <c r="Q198" s="102" t="str">
        <f>tbl_ConsultingCompanys!D198</f>
        <v>Geoenergi as</v>
      </c>
      <c r="R198" s="102">
        <f>tbl_ConsultingCompanys!C198</f>
        <v>120246</v>
      </c>
      <c r="S198" s="102" t="str">
        <f t="shared" si="11"/>
        <v>Geoenergi as</v>
      </c>
    </row>
    <row r="199" spans="11:19" x14ac:dyDescent="0.15">
      <c r="K199" s="102" t="str">
        <f>tbl_ArchitectureOffices!D199</f>
        <v xml:space="preserve">Gjørven AS, Arkitektkontoret Ingrid Ulving </v>
      </c>
      <c r="L199" s="102">
        <f>tbl_ArchitectureOffices!C199</f>
        <v>166734</v>
      </c>
      <c r="M199" s="102" t="str">
        <f t="shared" si="9"/>
        <v>Gjørven AS, Arkitektkontoret Ingrid Ulving</v>
      </c>
      <c r="N199" s="102" t="str">
        <f>tbl_Companys!D199</f>
        <v xml:space="preserve">Borsheim, Paal </v>
      </c>
      <c r="O199" s="102">
        <f>tbl_Companys!C199</f>
        <v>166547</v>
      </c>
      <c r="P199" s="102" t="str">
        <f t="shared" si="10"/>
        <v>Borsheim, Paal</v>
      </c>
      <c r="Q199" s="102" t="str">
        <f>tbl_ConsultingCompanys!D199</f>
        <v>GK Norge AS</v>
      </c>
      <c r="R199" s="102">
        <f>tbl_ConsultingCompanys!C199</f>
        <v>245787</v>
      </c>
      <c r="S199" s="102" t="str">
        <f t="shared" si="11"/>
        <v>GK Norge AS</v>
      </c>
    </row>
    <row r="200" spans="11:19" x14ac:dyDescent="0.15">
      <c r="K200" s="102" t="str">
        <f>tbl_ArchitectureOffices!D200</f>
        <v>Gravbrøt siv.ark. MNAL, Pia Maria</v>
      </c>
      <c r="L200" s="102">
        <f>tbl_ArchitectureOffices!C200</f>
        <v>166735</v>
      </c>
      <c r="M200" s="102" t="str">
        <f t="shared" si="9"/>
        <v>Gravbrøt siv.ark. MNAL, Pia Maria</v>
      </c>
      <c r="N200" s="102" t="str">
        <f>tbl_Companys!D200</f>
        <v>Boxs arkitektstudio as</v>
      </c>
      <c r="O200" s="102">
        <f>tbl_Companys!C200</f>
        <v>226954</v>
      </c>
      <c r="P200" s="102" t="str">
        <f t="shared" si="10"/>
        <v>Boxs arkitektstudio as</v>
      </c>
      <c r="Q200" s="102" t="str">
        <f>tbl_ConsultingCompanys!D200</f>
        <v>Glassbygg AS</v>
      </c>
      <c r="R200" s="102">
        <f>tbl_ConsultingCompanys!C200</f>
        <v>233807</v>
      </c>
      <c r="S200" s="102" t="str">
        <f t="shared" si="11"/>
        <v>Glassbygg AS</v>
      </c>
    </row>
    <row r="201" spans="11:19" x14ac:dyDescent="0.15">
      <c r="K201" s="102" t="str">
        <f>tbl_ArchitectureOffices!D201</f>
        <v xml:space="preserve">Grieg AS, Arkitektkontoret </v>
      </c>
      <c r="L201" s="102">
        <f>tbl_ArchitectureOffices!C201</f>
        <v>166736</v>
      </c>
      <c r="M201" s="102" t="str">
        <f t="shared" si="9"/>
        <v>Grieg AS, Arkitektkontoret</v>
      </c>
      <c r="N201" s="102" t="str">
        <f>tbl_Companys!D201</f>
        <v>Boye-Waage</v>
      </c>
      <c r="O201" s="102">
        <f>tbl_Companys!C201</f>
        <v>217083</v>
      </c>
      <c r="P201" s="102" t="str">
        <f t="shared" si="10"/>
        <v>Boye-Waage</v>
      </c>
      <c r="Q201" s="102" t="str">
        <f>tbl_ConsultingCompanys!D201</f>
        <v>Glassfasade GF01: Skandinaviska Glassystem</v>
      </c>
      <c r="R201" s="102">
        <f>tbl_ConsultingCompanys!C201</f>
        <v>202823</v>
      </c>
      <c r="S201" s="102" t="str">
        <f t="shared" si="11"/>
        <v>Glassfasade GF01: Skandinaviska Glassystem</v>
      </c>
    </row>
    <row r="202" spans="11:19" x14ac:dyDescent="0.15">
      <c r="K202" s="102" t="str">
        <f>tbl_ArchitectureOffices!D202</f>
        <v>Grinde AS</v>
      </c>
      <c r="L202" s="102">
        <f>tbl_ArchitectureOffices!C202</f>
        <v>166737</v>
      </c>
      <c r="M202" s="102" t="str">
        <f t="shared" si="9"/>
        <v>Grinde AS</v>
      </c>
      <c r="N202" s="102" t="str">
        <f>tbl_Companys!D202</f>
        <v>BP Norge</v>
      </c>
      <c r="O202" s="102">
        <f>tbl_Companys!C202</f>
        <v>98842</v>
      </c>
      <c r="P202" s="102" t="str">
        <f t="shared" si="10"/>
        <v>BP Norge</v>
      </c>
      <c r="Q202" s="102" t="str">
        <f>tbl_ConsultingCompanys!D202</f>
        <v>glava as</v>
      </c>
      <c r="R202" s="102">
        <f>tbl_ConsultingCompanys!C202</f>
        <v>155325</v>
      </c>
      <c r="S202" s="102" t="str">
        <f t="shared" si="11"/>
        <v>glava as</v>
      </c>
    </row>
    <row r="203" spans="11:19" x14ac:dyDescent="0.15">
      <c r="K203" s="102" t="str">
        <f>tbl_ArchitectureOffices!D203</f>
        <v>Gro Hovda sivilarkitekt mnal</v>
      </c>
      <c r="L203" s="102">
        <f>tbl_ArchitectureOffices!C203</f>
        <v>229124</v>
      </c>
      <c r="M203" s="102" t="str">
        <f t="shared" si="9"/>
        <v>Gro Hovda sivilarkitekt mnal</v>
      </c>
      <c r="N203" s="102" t="str">
        <f>tbl_Companys!D203</f>
        <v>BP Solar</v>
      </c>
      <c r="O203" s="102">
        <f>tbl_Companys!C203</f>
        <v>98840</v>
      </c>
      <c r="P203" s="102" t="str">
        <f t="shared" si="10"/>
        <v>BP Solar</v>
      </c>
      <c r="Q203" s="102" t="str">
        <f>tbl_ConsultingCompanys!D203</f>
        <v>Graveentreprenør Geir Stuberg</v>
      </c>
      <c r="R203" s="102">
        <f>tbl_ConsultingCompanys!C203</f>
        <v>225761</v>
      </c>
      <c r="S203" s="102" t="str">
        <f t="shared" si="11"/>
        <v>Graveentreprenør Geir Stuberg</v>
      </c>
    </row>
    <row r="204" spans="11:19" x14ac:dyDescent="0.15">
      <c r="K204" s="102" t="str">
        <f>tbl_ArchitectureOffices!D204</f>
        <v>Grønn strek as</v>
      </c>
      <c r="L204" s="102">
        <f>tbl_ArchitectureOffices!C204</f>
        <v>242868</v>
      </c>
      <c r="M204" s="102" t="str">
        <f t="shared" si="9"/>
        <v>Grønn strek as</v>
      </c>
      <c r="N204" s="102" t="str">
        <f>tbl_Companys!D204</f>
        <v>Brandsberg-Dahls Arkitektkontor AS</v>
      </c>
      <c r="O204" s="102">
        <f>tbl_Companys!C204</f>
        <v>166548</v>
      </c>
      <c r="P204" s="102" t="str">
        <f t="shared" si="10"/>
        <v>Brandsberg-Dahls Arkitektkontor AS</v>
      </c>
      <c r="Q204" s="102" t="str">
        <f>tbl_ConsultingCompanys!D204</f>
        <v>Greåker VVS AS</v>
      </c>
      <c r="R204" s="102">
        <f>tbl_ConsultingCompanys!C204</f>
        <v>103364</v>
      </c>
      <c r="S204" s="102" t="str">
        <f t="shared" si="11"/>
        <v>Greåker VVS AS</v>
      </c>
    </row>
    <row r="205" spans="11:19" x14ac:dyDescent="0.15">
      <c r="K205" s="102" t="str">
        <f>tbl_ArchitectureOffices!D205</f>
        <v xml:space="preserve">Gsella, Christian </v>
      </c>
      <c r="L205" s="102">
        <f>tbl_ArchitectureOffices!C205</f>
        <v>166738</v>
      </c>
      <c r="M205" s="102" t="str">
        <f t="shared" si="9"/>
        <v>Gsella, Christian</v>
      </c>
      <c r="N205" s="102" t="str">
        <f>tbl_Companys!D205</f>
        <v>Brannsikkerhet Total AS (Sprinkleranlegg)</v>
      </c>
      <c r="O205" s="102">
        <f>tbl_Companys!C205</f>
        <v>155177</v>
      </c>
      <c r="P205" s="102" t="str">
        <f t="shared" si="10"/>
        <v>Brannsikkerhet Total AS (Sprinkleranlegg)</v>
      </c>
      <c r="Q205" s="102" t="str">
        <f>tbl_ConsultingCompanys!D205</f>
        <v>Grip og Zen Resort (miljøsertifisering)</v>
      </c>
      <c r="R205" s="102">
        <f>tbl_ConsultingCompanys!C205</f>
        <v>178591</v>
      </c>
      <c r="S205" s="102" t="str">
        <f t="shared" si="11"/>
        <v>Grip og Zen Resort (miljøsertifisering)</v>
      </c>
    </row>
    <row r="206" spans="11:19" x14ac:dyDescent="0.15">
      <c r="K206" s="102" t="str">
        <f>tbl_ArchitectureOffices!D206</f>
        <v>h. arkitektiner as</v>
      </c>
      <c r="L206" s="102">
        <f>tbl_ArchitectureOffices!C206</f>
        <v>171509</v>
      </c>
      <c r="M206" s="102" t="str">
        <f t="shared" si="9"/>
        <v>h. arkitektiner as</v>
      </c>
      <c r="N206" s="102" t="str">
        <f>tbl_Companys!D206</f>
        <v>Brattørkaia AS</v>
      </c>
      <c r="O206" s="102">
        <f>tbl_Companys!C206</f>
        <v>233805</v>
      </c>
      <c r="P206" s="102" t="str">
        <f t="shared" si="10"/>
        <v>Brattørkaia AS</v>
      </c>
      <c r="Q206" s="102" t="str">
        <f>tbl_ConsultingCompanys!D206</f>
        <v>Grong kommune</v>
      </c>
      <c r="R206" s="102">
        <f>tbl_ConsultingCompanys!C206</f>
        <v>160603</v>
      </c>
      <c r="S206" s="102" t="str">
        <f t="shared" si="11"/>
        <v>Grong kommune</v>
      </c>
    </row>
    <row r="207" spans="11:19" x14ac:dyDescent="0.15">
      <c r="K207" s="102" t="str">
        <f>tbl_ArchitectureOffices!D207</f>
        <v xml:space="preserve">Haaland AS Siv.ark. MNAL, Arkitektkontoret </v>
      </c>
      <c r="L207" s="102">
        <f>tbl_ArchitectureOffices!C207</f>
        <v>172847</v>
      </c>
      <c r="M207" s="102" t="str">
        <f t="shared" si="9"/>
        <v>Haaland AS Siv.ark. MNAL, Arkitektkontoret</v>
      </c>
      <c r="N207" s="102" t="str">
        <f>tbl_Companys!D207</f>
        <v>Bravida</v>
      </c>
      <c r="O207" s="102">
        <f>tbl_Companys!C207</f>
        <v>178585</v>
      </c>
      <c r="P207" s="102" t="str">
        <f t="shared" si="10"/>
        <v>Bravida</v>
      </c>
      <c r="Q207" s="102" t="str">
        <f>tbl_ConsultingCompanys!D207</f>
        <v>Grøner AS</v>
      </c>
      <c r="R207" s="102">
        <f>tbl_ConsultingCompanys!C207</f>
        <v>103250</v>
      </c>
      <c r="S207" s="102" t="str">
        <f t="shared" si="11"/>
        <v>Grøner AS</v>
      </c>
    </row>
    <row r="208" spans="11:19" x14ac:dyDescent="0.15">
      <c r="K208" s="102" t="str">
        <f>tbl_ArchitectureOffices!D208</f>
        <v>Haarklau og Lindeberg AS</v>
      </c>
      <c r="L208" s="102">
        <f>tbl_ArchitectureOffices!C208</f>
        <v>171141</v>
      </c>
      <c r="M208" s="102" t="str">
        <f t="shared" si="9"/>
        <v>Haarklau og Lindeberg AS</v>
      </c>
      <c r="N208" s="102" t="str">
        <f>tbl_Companys!D208</f>
        <v>Bravida Norge AS (El, IT og VVS teknikk)</v>
      </c>
      <c r="O208" s="102">
        <f>tbl_Companys!C208</f>
        <v>157574</v>
      </c>
      <c r="P208" s="102" t="str">
        <f t="shared" si="10"/>
        <v>Bravida Norge AS (El, IT og VVS teknikk)</v>
      </c>
      <c r="Q208" s="102" t="str">
        <f>tbl_ConsultingCompanys!D208</f>
        <v>Grønmyr Barnehage</v>
      </c>
      <c r="R208" s="102">
        <f>tbl_ConsultingCompanys!C208</f>
        <v>218416</v>
      </c>
      <c r="S208" s="102" t="str">
        <f t="shared" si="11"/>
        <v>Grønmyr Barnehage</v>
      </c>
    </row>
    <row r="209" spans="11:19" x14ac:dyDescent="0.15">
      <c r="K209" s="102" t="str">
        <f>tbl_ArchitectureOffices!D209</f>
        <v>Haga og Grov AS, sivilarkitekter MNAL</v>
      </c>
      <c r="L209" s="102">
        <f>tbl_ArchitectureOffices!C209</f>
        <v>171073</v>
      </c>
      <c r="M209" s="102" t="str">
        <f t="shared" si="9"/>
        <v>Haga og Grov AS, sivilarkitekter MNAL</v>
      </c>
      <c r="N209" s="102" t="str">
        <f>tbl_Companys!D209</f>
        <v>Brekke &amp; Strand Akustikk AS</v>
      </c>
      <c r="O209" s="102">
        <f>tbl_Companys!C209</f>
        <v>209556</v>
      </c>
      <c r="P209" s="102" t="str">
        <f t="shared" si="10"/>
        <v>Brekke &amp; Strand Akustikk AS</v>
      </c>
      <c r="Q209" s="102" t="str">
        <f>tbl_ConsultingCompanys!D209</f>
        <v>Grønmyr Bygg v/Ole Eliassen</v>
      </c>
      <c r="R209" s="102">
        <f>tbl_ConsultingCompanys!C209</f>
        <v>218412</v>
      </c>
      <c r="S209" s="102" t="str">
        <f t="shared" si="11"/>
        <v>Grønmyr Bygg v/Ole Eliassen</v>
      </c>
    </row>
    <row r="210" spans="11:19" x14ac:dyDescent="0.15">
      <c r="K210" s="102" t="str">
        <f>tbl_ArchitectureOffices!D210</f>
        <v>HAK, Holen Arkitektkontor</v>
      </c>
      <c r="L210" s="102">
        <f>tbl_ArchitectureOffices!C210</f>
        <v>171135</v>
      </c>
      <c r="M210" s="102" t="str">
        <f t="shared" si="9"/>
        <v>HAK, Holen Arkitektkontor</v>
      </c>
      <c r="N210" s="102" t="str">
        <f>tbl_Companys!D210</f>
        <v>Brendeland &amp; Kristoffersen arkitekter A/S</v>
      </c>
      <c r="O210" s="102">
        <f>tbl_Companys!C210</f>
        <v>166549</v>
      </c>
      <c r="P210" s="102" t="str">
        <f t="shared" si="10"/>
        <v>Brendeland &amp; Kristoffersen arkitekter A/S</v>
      </c>
      <c r="Q210" s="102" t="str">
        <f>tbl_ConsultingCompanys!D210</f>
        <v>Gunnar Karlsen AS (automatisering)</v>
      </c>
      <c r="R210" s="102">
        <f>tbl_ConsultingCompanys!C210</f>
        <v>172629</v>
      </c>
      <c r="S210" s="102" t="str">
        <f t="shared" si="11"/>
        <v>Gunnar Karlsen AS (automatisering)</v>
      </c>
    </row>
    <row r="211" spans="11:19" x14ac:dyDescent="0.15">
      <c r="K211" s="102" t="str">
        <f>tbl_ArchitectureOffices!D211</f>
        <v>Haldde arkitekter AS</v>
      </c>
      <c r="L211" s="102">
        <f>tbl_ArchitectureOffices!C211</f>
        <v>242813</v>
      </c>
      <c r="M211" s="102" t="str">
        <f t="shared" si="9"/>
        <v>Haldde arkitekter AS</v>
      </c>
      <c r="N211" s="102" t="str">
        <f>tbl_Companys!D211</f>
        <v>Bright elektro</v>
      </c>
      <c r="O211" s="102">
        <f>tbl_Companys!C211</f>
        <v>204394</v>
      </c>
      <c r="P211" s="102" t="str">
        <f t="shared" si="10"/>
        <v>Bright elektro</v>
      </c>
      <c r="Q211" s="102" t="str">
        <f>tbl_ConsultingCompanys!D211</f>
        <v>H2 Byggeteknikk AS</v>
      </c>
      <c r="R211" s="102">
        <f>tbl_ConsultingCompanys!C211</f>
        <v>231963</v>
      </c>
      <c r="S211" s="102" t="str">
        <f t="shared" si="11"/>
        <v>H2 Byggeteknikk AS</v>
      </c>
    </row>
    <row r="212" spans="11:19" x14ac:dyDescent="0.15">
      <c r="K212" s="102" t="str">
        <f>tbl_ArchitectureOffices!D212</f>
        <v>Halden Arkitektkontor AS</v>
      </c>
      <c r="L212" s="102">
        <f>tbl_ArchitectureOffices!C212</f>
        <v>172598</v>
      </c>
      <c r="M212" s="102" t="str">
        <f t="shared" si="9"/>
        <v>Halden Arkitektkontor AS</v>
      </c>
      <c r="N212" s="102" t="str">
        <f>tbl_Companys!D212</f>
        <v>Bright VVS</v>
      </c>
      <c r="O212" s="102">
        <f>tbl_Companys!C212</f>
        <v>204393</v>
      </c>
      <c r="P212" s="102" t="str">
        <f t="shared" si="10"/>
        <v>Bright VVS</v>
      </c>
      <c r="Q212" s="102" t="str">
        <f>tbl_ConsultingCompanys!D212</f>
        <v>Hambra</v>
      </c>
      <c r="R212" s="102">
        <f>tbl_ConsultingCompanys!C212</f>
        <v>110466</v>
      </c>
      <c r="S212" s="102" t="str">
        <f t="shared" si="11"/>
        <v>Hambra</v>
      </c>
    </row>
    <row r="213" spans="11:19" x14ac:dyDescent="0.15">
      <c r="K213" s="102" t="str">
        <f>tbl_ArchitectureOffices!D213</f>
        <v>Halvorsen &amp; Reine AS</v>
      </c>
      <c r="L213" s="102">
        <f>tbl_ArchitectureOffices!C213</f>
        <v>171075</v>
      </c>
      <c r="M213" s="102" t="str">
        <f t="shared" si="9"/>
        <v>Halvorsen &amp; Reine AS</v>
      </c>
      <c r="N213" s="102" t="str">
        <f>tbl_Companys!D213</f>
        <v>Bris arkitekter</v>
      </c>
      <c r="O213" s="102">
        <f>tbl_Companys!C213</f>
        <v>247054</v>
      </c>
      <c r="P213" s="102" t="str">
        <f t="shared" si="10"/>
        <v>Bris arkitekter</v>
      </c>
      <c r="Q213" s="102" t="str">
        <f>tbl_ConsultingCompanys!D213</f>
        <v>Hammer Rådgivning</v>
      </c>
      <c r="R213" s="102">
        <f>tbl_ConsultingCompanys!C213</f>
        <v>103260</v>
      </c>
      <c r="S213" s="102" t="str">
        <f t="shared" si="11"/>
        <v>Hammer Rådgivning</v>
      </c>
    </row>
    <row r="214" spans="11:19" x14ac:dyDescent="0.15">
      <c r="K214" s="102" t="str">
        <f>tbl_ArchitectureOffices!D214</f>
        <v>Halvorsen AS sivilarkitekt MNAL, Stein</v>
      </c>
      <c r="L214" s="102">
        <f>tbl_ArchitectureOffices!C214</f>
        <v>171076</v>
      </c>
      <c r="M214" s="102" t="str">
        <f t="shared" si="9"/>
        <v>Halvorsen AS sivilarkitekt MNAL, Stein</v>
      </c>
      <c r="N214" s="102" t="str">
        <f>tbl_Companys!D214</f>
        <v>Britt Krokene Sivilarkitekt MNAL AS</v>
      </c>
      <c r="O214" s="102">
        <f>tbl_Companys!C214</f>
        <v>248135</v>
      </c>
      <c r="P214" s="102" t="str">
        <f t="shared" si="10"/>
        <v>Britt Krokene Sivilarkitekt MNAL AS</v>
      </c>
      <c r="Q214" s="102" t="str">
        <f>tbl_ConsultingCompanys!D214</f>
        <v>Hamstad AS (RIV)</v>
      </c>
      <c r="R214" s="102">
        <f>tbl_ConsultingCompanys!C214</f>
        <v>162916</v>
      </c>
      <c r="S214" s="102" t="str">
        <f t="shared" si="11"/>
        <v>Hamstad AS (RIV)</v>
      </c>
    </row>
    <row r="215" spans="11:19" x14ac:dyDescent="0.15">
      <c r="K215" s="102" t="str">
        <f>tbl_ArchitectureOffices!D215</f>
        <v xml:space="preserve">Halvorsen AS, Arkitektkontoret Konrad </v>
      </c>
      <c r="L215" s="102">
        <f>tbl_ArchitectureOffices!C215</f>
        <v>171074</v>
      </c>
      <c r="M215" s="102" t="str">
        <f t="shared" si="9"/>
        <v>Halvorsen AS, Arkitektkontoret Konrad</v>
      </c>
      <c r="N215" s="102" t="str">
        <f>tbl_Companys!D215</f>
        <v>Britt Krokene Sivilarkitekt MNAL AS</v>
      </c>
      <c r="O215" s="102">
        <f>tbl_Companys!C215</f>
        <v>248137</v>
      </c>
      <c r="P215" s="102" t="str">
        <f t="shared" si="10"/>
        <v>Britt Krokene Sivilarkitekt MNAL AS</v>
      </c>
      <c r="Q215" s="102" t="str">
        <f>tbl_ConsultingCompanys!D215</f>
        <v>Handegård &amp; Pedersen AS</v>
      </c>
      <c r="R215" s="102">
        <f>tbl_ConsultingCompanys!C215</f>
        <v>218047</v>
      </c>
      <c r="S215" s="102" t="str">
        <f t="shared" si="11"/>
        <v>Handegård &amp; Pedersen AS</v>
      </c>
    </row>
    <row r="216" spans="11:19" x14ac:dyDescent="0.15">
      <c r="K216" s="102" t="str">
        <f>tbl_ArchitectureOffices!D216</f>
        <v xml:space="preserve">Hamre Arkitektkontor as, Stein </v>
      </c>
      <c r="L216" s="102">
        <f>tbl_ArchitectureOffices!C216</f>
        <v>171077</v>
      </c>
      <c r="M216" s="102" t="str">
        <f t="shared" si="9"/>
        <v>Hamre Arkitektkontor as, Stein</v>
      </c>
      <c r="N216" s="102" t="str">
        <f>tbl_Companys!D216</f>
        <v xml:space="preserve">Brodtkorb AS, Arkitektkontoret Kari Nissen </v>
      </c>
      <c r="O216" s="102">
        <f>tbl_Companys!C216</f>
        <v>171799</v>
      </c>
      <c r="P216" s="102" t="str">
        <f t="shared" si="10"/>
        <v>Brodtkorb AS, Arkitektkontoret Kari Nissen</v>
      </c>
      <c r="Q216" s="102" t="str">
        <f>tbl_ConsultingCompanys!D216</f>
        <v>Hans Helgesen og sønner AS</v>
      </c>
      <c r="R216" s="102">
        <f>tbl_ConsultingCompanys!C216</f>
        <v>110764</v>
      </c>
      <c r="S216" s="102" t="str">
        <f t="shared" si="11"/>
        <v>Hans Helgesen og sønner AS</v>
      </c>
    </row>
    <row r="217" spans="11:19" x14ac:dyDescent="0.15">
      <c r="K217" s="102" t="str">
        <f>tbl_ArchitectureOffices!D217</f>
        <v>Hansen/Bjørndal Arkitekter AS</v>
      </c>
      <c r="L217" s="102">
        <f>tbl_ArchitectureOffices!C217</f>
        <v>171071</v>
      </c>
      <c r="M217" s="102" t="str">
        <f t="shared" si="9"/>
        <v>Hansen/Bjørndal Arkitekter AS</v>
      </c>
      <c r="N217" s="102" t="str">
        <f>tbl_Companys!D217</f>
        <v>Brucon v/Ottar langehaug</v>
      </c>
      <c r="O217" s="102">
        <f>tbl_Companys!C217</f>
        <v>193871</v>
      </c>
      <c r="P217" s="102" t="str">
        <f t="shared" si="10"/>
        <v>Brucon v/Ottar langehaug</v>
      </c>
      <c r="Q217" s="102" t="str">
        <f>tbl_ConsultingCompanys!D217</f>
        <v>Hansaparken AS</v>
      </c>
      <c r="R217" s="102">
        <f>tbl_ConsultingCompanys!C217</f>
        <v>160606</v>
      </c>
      <c r="S217" s="102" t="str">
        <f t="shared" si="11"/>
        <v>Hansaparken AS</v>
      </c>
    </row>
    <row r="218" spans="11:19" x14ac:dyDescent="0.15">
      <c r="K218" s="102" t="str">
        <f>tbl_ArchitectureOffices!D218</f>
        <v>HAPTIC</v>
      </c>
      <c r="L218" s="102">
        <f>tbl_ArchitectureOffices!C218</f>
        <v>202235</v>
      </c>
      <c r="M218" s="102" t="str">
        <f t="shared" si="9"/>
        <v>HAPTIC</v>
      </c>
      <c r="N218" s="102" t="str">
        <f>tbl_Companys!D218</f>
        <v>Bruvoll arkitektur as</v>
      </c>
      <c r="O218" s="102">
        <f>tbl_Companys!C218</f>
        <v>246132</v>
      </c>
      <c r="P218" s="102" t="str">
        <f t="shared" si="10"/>
        <v>Bruvoll arkitektur as</v>
      </c>
      <c r="Q218" s="102" t="str">
        <f>tbl_ConsultingCompanys!D218</f>
        <v>Harboe og Leganger</v>
      </c>
      <c r="R218" s="102">
        <f>tbl_ConsultingCompanys!C218</f>
        <v>165391</v>
      </c>
      <c r="S218" s="102" t="str">
        <f t="shared" si="11"/>
        <v>Harboe og Leganger</v>
      </c>
    </row>
    <row r="219" spans="11:19" x14ac:dyDescent="0.15">
      <c r="K219" s="102" t="str">
        <f>tbl_ArchitectureOffices!D219</f>
        <v xml:space="preserve">Haugedal, Arnar </v>
      </c>
      <c r="L219" s="102">
        <f>tbl_ArchitectureOffices!C219</f>
        <v>171079</v>
      </c>
      <c r="M219" s="102" t="str">
        <f t="shared" si="9"/>
        <v>Haugedal, Arnar</v>
      </c>
      <c r="N219" s="102" t="str">
        <f>tbl_Companys!D219</f>
        <v>Bryggeriparken AS</v>
      </c>
      <c r="O219" s="102">
        <f>tbl_Companys!C219</f>
        <v>229555</v>
      </c>
      <c r="P219" s="102" t="str">
        <f t="shared" si="10"/>
        <v>Bryggeriparken AS</v>
      </c>
      <c r="Q219" s="102" t="str">
        <f>tbl_ConsultingCompanys!D219</f>
        <v>Harsem prosjektering AS</v>
      </c>
      <c r="R219" s="102">
        <f>tbl_ConsultingCompanys!C219</f>
        <v>112300</v>
      </c>
      <c r="S219" s="102" t="str">
        <f t="shared" si="11"/>
        <v>Harsem prosjektering AS</v>
      </c>
    </row>
    <row r="220" spans="11:19" x14ac:dyDescent="0.15">
      <c r="K220" s="102" t="str">
        <f>tbl_ArchitectureOffices!D220</f>
        <v xml:space="preserve">Haugen as, Arkitektkontoret Erling </v>
      </c>
      <c r="L220" s="102">
        <f>tbl_ArchitectureOffices!C220</f>
        <v>171080</v>
      </c>
      <c r="M220" s="102" t="str">
        <f t="shared" si="9"/>
        <v>Haugen as, Arkitektkontoret Erling</v>
      </c>
      <c r="N220" s="102" t="str">
        <f>tbl_Companys!D220</f>
        <v xml:space="preserve">Brækkan sivilarkitekt MNAL, Gudrun </v>
      </c>
      <c r="O220" s="102">
        <f>tbl_Companys!C220</f>
        <v>166550</v>
      </c>
      <c r="P220" s="102" t="str">
        <f t="shared" si="10"/>
        <v>Brækkan sivilarkitekt MNAL, Gudrun</v>
      </c>
      <c r="Q220" s="102" t="str">
        <f>tbl_ConsultingCompanys!D220</f>
        <v>Hartmann Prosjektrådgiving AS</v>
      </c>
      <c r="R220" s="102">
        <f>tbl_ConsultingCompanys!C220</f>
        <v>240270</v>
      </c>
      <c r="S220" s="102" t="str">
        <f t="shared" si="11"/>
        <v>Hartmann Prosjektrådgiving AS</v>
      </c>
    </row>
    <row r="221" spans="11:19" x14ac:dyDescent="0.15">
      <c r="K221" s="102" t="str">
        <f>tbl_ArchitectureOffices!D221</f>
        <v>Haugen/ Zohar Arkitekter</v>
      </c>
      <c r="L221" s="102">
        <f>tbl_ArchitectureOffices!C221</f>
        <v>172684</v>
      </c>
      <c r="M221" s="102" t="str">
        <f t="shared" si="9"/>
        <v>Haugen/ Zohar Arkitekter</v>
      </c>
      <c r="N221" s="102" t="str">
        <f>tbl_Companys!D221</f>
        <v>Brødrene Holstad AS</v>
      </c>
      <c r="O221" s="102">
        <f>tbl_Companys!C221</f>
        <v>243860</v>
      </c>
      <c r="P221" s="102" t="str">
        <f t="shared" si="10"/>
        <v>Brødrene Holstad AS</v>
      </c>
      <c r="Q221" s="102" t="str">
        <f>tbl_ConsultingCompanys!D221</f>
        <v>Hartmann Prosjektrådgivning AS</v>
      </c>
      <c r="R221" s="102">
        <f>tbl_ConsultingCompanys!C221</f>
        <v>246978</v>
      </c>
      <c r="S221" s="102" t="str">
        <f t="shared" si="11"/>
        <v>Hartmann Prosjektrådgivning AS</v>
      </c>
    </row>
    <row r="222" spans="11:19" x14ac:dyDescent="0.15">
      <c r="K222" s="102" t="str">
        <f>tbl_ArchitectureOffices!D222</f>
        <v xml:space="preserve">Hausberg siv.ark. MNAL, Egil J </v>
      </c>
      <c r="L222" s="102">
        <f>tbl_ArchitectureOffices!C222</f>
        <v>171081</v>
      </c>
      <c r="M222" s="102" t="str">
        <f t="shared" si="9"/>
        <v>Hausberg siv.ark. MNAL, Egil J</v>
      </c>
      <c r="N222" s="102" t="str">
        <f>tbl_Companys!D222</f>
        <v>Brødrene Jørmeland (grunn)</v>
      </c>
      <c r="O222" s="102">
        <f>tbl_Companys!C222</f>
        <v>162880</v>
      </c>
      <c r="P222" s="102" t="str">
        <f t="shared" si="10"/>
        <v>Brødrene Jørmeland (grunn)</v>
      </c>
      <c r="Q222" s="102" t="str">
        <f>tbl_ConsultingCompanys!D222</f>
        <v>HBBL</v>
      </c>
      <c r="R222" s="102">
        <f>tbl_ConsultingCompanys!C222</f>
        <v>155837</v>
      </c>
      <c r="S222" s="102" t="str">
        <f t="shared" si="11"/>
        <v>HBBL</v>
      </c>
    </row>
    <row r="223" spans="11:19" x14ac:dyDescent="0.15">
      <c r="K223" s="102" t="str">
        <f>tbl_ArchitectureOffices!D223</f>
        <v>Heggelund og Koxvold AS Arkitekter MNAL</v>
      </c>
      <c r="L223" s="102">
        <f>tbl_ArchitectureOffices!C223</f>
        <v>171082</v>
      </c>
      <c r="M223" s="102" t="str">
        <f t="shared" si="9"/>
        <v>Heggelund og Koxvold AS Arkitekter MNAL</v>
      </c>
      <c r="N223" s="102" t="str">
        <f>tbl_Companys!D223</f>
        <v>Brødrene Olstad AS</v>
      </c>
      <c r="O223" s="102">
        <f>tbl_Companys!C223</f>
        <v>103261</v>
      </c>
      <c r="P223" s="102" t="str">
        <f t="shared" si="10"/>
        <v>Brødrene Olstad AS</v>
      </c>
      <c r="Q223" s="102" t="str">
        <f>tbl_ConsultingCompanys!D223</f>
        <v>Heiberg &amp; Tveter (RIE)</v>
      </c>
      <c r="R223" s="102">
        <f>tbl_ConsultingCompanys!C223</f>
        <v>178580</v>
      </c>
      <c r="S223" s="102" t="str">
        <f t="shared" si="11"/>
        <v>Heiberg &amp; Tveter (RIE)</v>
      </c>
    </row>
    <row r="224" spans="11:19" x14ac:dyDescent="0.15">
      <c r="K224" s="102" t="str">
        <f>tbl_ArchitectureOffices!D224</f>
        <v>Heggenhougen Arkitekter AS</v>
      </c>
      <c r="L224" s="102">
        <f>tbl_ArchitectureOffices!C224</f>
        <v>171083</v>
      </c>
      <c r="M224" s="102" t="str">
        <f t="shared" si="9"/>
        <v>Heggenhougen Arkitekter AS</v>
      </c>
      <c r="N224" s="102" t="str">
        <f>tbl_Companys!D224</f>
        <v>Brødrene Ulveseth AS</v>
      </c>
      <c r="O224" s="102">
        <f>tbl_Companys!C224</f>
        <v>248741</v>
      </c>
      <c r="P224" s="102" t="str">
        <f t="shared" si="10"/>
        <v>Brødrene Ulveseth AS</v>
      </c>
      <c r="Q224" s="102" t="str">
        <f>tbl_ConsultingCompanys!D224</f>
        <v>Heimdal Bolig</v>
      </c>
      <c r="R224" s="102">
        <f>tbl_ConsultingCompanys!C224</f>
        <v>240269</v>
      </c>
      <c r="S224" s="102" t="str">
        <f t="shared" si="11"/>
        <v>Heimdal Bolig</v>
      </c>
    </row>
    <row r="225" spans="11:19" x14ac:dyDescent="0.15">
      <c r="K225" s="102" t="str">
        <f>tbl_ArchitectureOffices!D225</f>
        <v>Helen &amp; Hard AS</v>
      </c>
      <c r="L225" s="102">
        <f>tbl_ArchitectureOffices!C225</f>
        <v>229017</v>
      </c>
      <c r="M225" s="102" t="str">
        <f t="shared" si="9"/>
        <v>Helen &amp; Hard AS</v>
      </c>
      <c r="N225" s="102" t="str">
        <f>tbl_Companys!D225</f>
        <v>BS Akustikk AS</v>
      </c>
      <c r="O225" s="102">
        <f>tbl_Companys!C225</f>
        <v>103148</v>
      </c>
      <c r="P225" s="102" t="str">
        <f t="shared" si="10"/>
        <v>BS Akustikk AS</v>
      </c>
      <c r="Q225" s="102" t="str">
        <f>tbl_ConsultingCompanys!D225</f>
        <v>Heimdal Entreprenør AS</v>
      </c>
      <c r="R225" s="102">
        <f>tbl_ConsultingCompanys!C225</f>
        <v>164727</v>
      </c>
      <c r="S225" s="102" t="str">
        <f t="shared" si="11"/>
        <v>Heimdal Entreprenør AS</v>
      </c>
    </row>
    <row r="226" spans="11:19" x14ac:dyDescent="0.15">
      <c r="K226" s="102" t="str">
        <f>tbl_ArchitectureOffices!D226</f>
        <v xml:space="preserve">Helén Arkitekter AS, Bernt </v>
      </c>
      <c r="L226" s="102">
        <f>tbl_ArchitectureOffices!C226</f>
        <v>171084</v>
      </c>
      <c r="M226" s="102" t="str">
        <f t="shared" si="9"/>
        <v>Helén Arkitekter AS, Bernt</v>
      </c>
      <c r="N226" s="102" t="str">
        <f>tbl_Companys!D226</f>
        <v>BSH Husholdningsapparater AS (hvitevarer)</v>
      </c>
      <c r="O226" s="102">
        <f>tbl_Companys!C226</f>
        <v>198979</v>
      </c>
      <c r="P226" s="102" t="str">
        <f t="shared" si="10"/>
        <v>BSH Husholdningsapparater AS (hvitevarer)</v>
      </c>
      <c r="Q226" s="102" t="str">
        <f>tbl_ConsultingCompanys!D226</f>
        <v>Heindenreich-Ris &amp; Lillefjære A/S</v>
      </c>
      <c r="R226" s="102">
        <f>tbl_ConsultingCompanys!C226</f>
        <v>120139</v>
      </c>
      <c r="S226" s="102" t="str">
        <f t="shared" si="11"/>
        <v>Heindenreich-Ris &amp; Lillefjære A/S</v>
      </c>
    </row>
    <row r="227" spans="11:19" x14ac:dyDescent="0.15">
      <c r="K227" s="102" t="str">
        <f>tbl_ArchitectureOffices!D227</f>
        <v xml:space="preserve">Helling Arkitekter Oslo AS, Lars </v>
      </c>
      <c r="L227" s="102">
        <f>tbl_ArchitectureOffices!C227</f>
        <v>171086</v>
      </c>
      <c r="M227" s="102" t="str">
        <f t="shared" si="9"/>
        <v>Helling Arkitekter Oslo AS, Lars</v>
      </c>
      <c r="N227" s="102" t="str">
        <f>tbl_Companys!D227</f>
        <v>Buck og Beyer arkitekter AS</v>
      </c>
      <c r="O227" s="102">
        <f>tbl_Companys!C227</f>
        <v>166551</v>
      </c>
      <c r="P227" s="102" t="str">
        <f t="shared" si="10"/>
        <v>Buck og Beyer arkitekter AS</v>
      </c>
      <c r="Q227" s="102" t="str">
        <f>tbl_ConsultingCompanys!D227</f>
        <v>HE-Kjelleveien AS</v>
      </c>
      <c r="R227" s="102">
        <f>tbl_ConsultingCompanys!C227</f>
        <v>246267</v>
      </c>
      <c r="S227" s="102" t="str">
        <f t="shared" si="11"/>
        <v>HE-Kjelleveien AS</v>
      </c>
    </row>
    <row r="228" spans="11:19" x14ac:dyDescent="0.15">
      <c r="K228" s="102" t="str">
        <f>tbl_ArchitectureOffices!D228</f>
        <v xml:space="preserve">Henriksen Arkitekter AS, Arne </v>
      </c>
      <c r="L228" s="102">
        <f>tbl_ArchitectureOffices!C228</f>
        <v>172665</v>
      </c>
      <c r="M228" s="102" t="str">
        <f t="shared" si="9"/>
        <v>Henriksen Arkitekter AS, Arne</v>
      </c>
      <c r="N228" s="102" t="str">
        <f>tbl_Companys!D228</f>
        <v>BundeBygg AS</v>
      </c>
      <c r="O228" s="102">
        <f>tbl_Companys!C228</f>
        <v>102857</v>
      </c>
      <c r="P228" s="102" t="str">
        <f t="shared" si="10"/>
        <v>BundeBygg AS</v>
      </c>
      <c r="Q228" s="102" t="str">
        <f>tbl_ConsultingCompanys!D228</f>
        <v>Helen &amp; Hard AS</v>
      </c>
      <c r="R228" s="102">
        <f>tbl_ConsultingCompanys!C228</f>
        <v>192377</v>
      </c>
      <c r="S228" s="102" t="str">
        <f t="shared" si="11"/>
        <v>Helen &amp; Hard AS</v>
      </c>
    </row>
    <row r="229" spans="11:19" x14ac:dyDescent="0.15">
      <c r="K229" s="102" t="str">
        <f>tbl_ArchitectureOffices!D229</f>
        <v>Hille Melbye Arkitekter AS</v>
      </c>
      <c r="L229" s="102">
        <f>tbl_ArchitectureOffices!C229</f>
        <v>171087</v>
      </c>
      <c r="M229" s="102" t="str">
        <f t="shared" si="9"/>
        <v>Hille Melbye Arkitekter AS</v>
      </c>
      <c r="N229" s="102" t="str">
        <f>tbl_Companys!D229</f>
        <v>Byberg Maskin AS (gravearbeider)</v>
      </c>
      <c r="O229" s="102">
        <f>tbl_Companys!C229</f>
        <v>172924</v>
      </c>
      <c r="P229" s="102" t="str">
        <f t="shared" si="10"/>
        <v>Byberg Maskin AS (gravearbeider)</v>
      </c>
      <c r="Q229" s="102" t="str">
        <f>tbl_ConsultingCompanys!D229</f>
        <v>Helge Lunde</v>
      </c>
      <c r="R229" s="102">
        <f>tbl_ConsultingCompanys!C229</f>
        <v>204511</v>
      </c>
      <c r="S229" s="102" t="str">
        <f t="shared" si="11"/>
        <v>Helge Lunde</v>
      </c>
    </row>
    <row r="230" spans="11:19" x14ac:dyDescent="0.15">
      <c r="K230" s="102" t="str">
        <f>tbl_ArchitectureOffices!D230</f>
        <v>Hille Strandskogen AS arkitekter MNAL</v>
      </c>
      <c r="L230" s="102">
        <f>tbl_ArchitectureOffices!C230</f>
        <v>171088</v>
      </c>
      <c r="M230" s="102" t="str">
        <f t="shared" si="9"/>
        <v>Hille Strandskogen AS arkitekter MNAL</v>
      </c>
      <c r="N230" s="102" t="str">
        <f>tbl_Companys!D230</f>
        <v>ByBo AS</v>
      </c>
      <c r="O230" s="102">
        <f>tbl_Companys!C230</f>
        <v>166301</v>
      </c>
      <c r="P230" s="102" t="str">
        <f t="shared" si="10"/>
        <v>ByBo AS</v>
      </c>
      <c r="Q230" s="102" t="str">
        <f>tbl_ConsultingCompanys!D230</f>
        <v>Helsebygg Midt-Norge</v>
      </c>
      <c r="R230" s="102">
        <f>tbl_ConsultingCompanys!C230</f>
        <v>243126</v>
      </c>
      <c r="S230" s="102" t="str">
        <f t="shared" si="11"/>
        <v>Helsebygg Midt-Norge</v>
      </c>
    </row>
    <row r="231" spans="11:19" x14ac:dyDescent="0.15">
      <c r="K231" s="102" t="str">
        <f>tbl_ArchitectureOffices!D231</f>
        <v>Hindhamar Landskapsarkitekter AS</v>
      </c>
      <c r="L231" s="102">
        <f>tbl_ArchitectureOffices!C231</f>
        <v>244003</v>
      </c>
      <c r="M231" s="102" t="str">
        <f t="shared" si="9"/>
        <v>Hindhamar Landskapsarkitekter AS</v>
      </c>
      <c r="N231" s="102" t="str">
        <f>tbl_Companys!D231</f>
        <v>Bygganalyse AS</v>
      </c>
      <c r="O231" s="102">
        <f>tbl_Companys!C231</f>
        <v>103151</v>
      </c>
      <c r="P231" s="102" t="str">
        <f t="shared" si="10"/>
        <v>Bygganalyse AS</v>
      </c>
      <c r="Q231" s="102" t="str">
        <f>tbl_ConsultingCompanys!D231</f>
        <v>Hemato Eiendom</v>
      </c>
      <c r="R231" s="102">
        <f>tbl_ConsultingCompanys!C231</f>
        <v>242773</v>
      </c>
      <c r="S231" s="102" t="str">
        <f t="shared" si="11"/>
        <v>Hemato Eiendom</v>
      </c>
    </row>
    <row r="232" spans="11:19" x14ac:dyDescent="0.15">
      <c r="K232" s="102" t="str">
        <f>tbl_ArchitectureOffices!D232</f>
        <v xml:space="preserve">Hjelle Arkitekter AS, Harald </v>
      </c>
      <c r="L232" s="102">
        <f>tbl_ArchitectureOffices!C232</f>
        <v>171089</v>
      </c>
      <c r="M232" s="102" t="str">
        <f t="shared" si="9"/>
        <v>Hjelle Arkitekter AS, Harald</v>
      </c>
      <c r="N232" s="102" t="str">
        <f>tbl_Companys!D232</f>
        <v>Byggeadministrasjon AS</v>
      </c>
      <c r="O232" s="102">
        <f>tbl_Companys!C232</f>
        <v>246927</v>
      </c>
      <c r="P232" s="102" t="str">
        <f t="shared" si="10"/>
        <v>Byggeadministrasjon AS</v>
      </c>
      <c r="Q232" s="102" t="str">
        <f>tbl_ConsultingCompanys!D232</f>
        <v>Henning Stokke</v>
      </c>
      <c r="R232" s="102">
        <f>tbl_ConsultingCompanys!C232</f>
        <v>162859</v>
      </c>
      <c r="S232" s="102" t="str">
        <f t="shared" si="11"/>
        <v>Henning Stokke</v>
      </c>
    </row>
    <row r="233" spans="11:19" x14ac:dyDescent="0.15">
      <c r="K233" s="102" t="str">
        <f>tbl_ArchitectureOffices!D233</f>
        <v xml:space="preserve">Hjeltnes AS, sivilarkitekter MNAL, Knut </v>
      </c>
      <c r="L233" s="102">
        <f>tbl_ArchitectureOffices!C233</f>
        <v>171090</v>
      </c>
      <c r="M233" s="102" t="str">
        <f t="shared" si="9"/>
        <v>Hjeltnes AS, sivilarkitekter MNAL, Knut</v>
      </c>
      <c r="N233" s="102" t="str">
        <f>tbl_Companys!D233</f>
        <v>Byggforsk</v>
      </c>
      <c r="O233" s="102">
        <f>tbl_Companys!C233</f>
        <v>112150</v>
      </c>
      <c r="P233" s="102" t="str">
        <f t="shared" si="10"/>
        <v>Byggforsk</v>
      </c>
      <c r="Q233" s="102" t="str">
        <f>tbl_ConsultingCompanys!D233</f>
        <v xml:space="preserve">HENT AS </v>
      </c>
      <c r="R233" s="102">
        <f>tbl_ConsultingCompanys!C233</f>
        <v>157573</v>
      </c>
      <c r="S233" s="102" t="str">
        <f t="shared" si="11"/>
        <v>HENT AS</v>
      </c>
    </row>
    <row r="234" spans="11:19" x14ac:dyDescent="0.15">
      <c r="K234" s="102" t="str">
        <f>tbl_ArchitectureOffices!D234</f>
        <v>Hjorth Arkitekter</v>
      </c>
      <c r="L234" s="102">
        <f>tbl_ArchitectureOffices!C234</f>
        <v>249016</v>
      </c>
      <c r="M234" s="102" t="str">
        <f t="shared" si="9"/>
        <v>Hjorth Arkitekter</v>
      </c>
      <c r="N234" s="102" t="str">
        <f>tbl_Companys!D234</f>
        <v>Byggmeister Samson Kjoberg</v>
      </c>
      <c r="O234" s="102">
        <f>tbl_Companys!C234</f>
        <v>224066</v>
      </c>
      <c r="P234" s="102" t="str">
        <f t="shared" si="10"/>
        <v>Byggmeister Samson Kjoberg</v>
      </c>
      <c r="Q234" s="102" t="str">
        <f>tbl_ConsultingCompanys!D234</f>
        <v>Hent AS (Knut Alstad)</v>
      </c>
      <c r="R234" s="102">
        <f>tbl_ConsultingCompanys!C234</f>
        <v>157568</v>
      </c>
      <c r="S234" s="102" t="str">
        <f t="shared" si="11"/>
        <v>Hent AS (Knut Alstad)</v>
      </c>
    </row>
    <row r="235" spans="11:19" x14ac:dyDescent="0.15">
      <c r="K235" s="102" t="str">
        <f>tbl_ArchitectureOffices!D235</f>
        <v>HLM arkitektur &amp; plan A/S</v>
      </c>
      <c r="L235" s="102">
        <f>tbl_ArchitectureOffices!C235</f>
        <v>171092</v>
      </c>
      <c r="M235" s="102" t="str">
        <f t="shared" si="9"/>
        <v>HLM arkitektur &amp; plan A/S</v>
      </c>
      <c r="N235" s="102" t="str">
        <f>tbl_Companys!D235</f>
        <v>Byggmester Goa (tømmerarbeider)</v>
      </c>
      <c r="O235" s="102">
        <f>tbl_Companys!C235</f>
        <v>172923</v>
      </c>
      <c r="P235" s="102" t="str">
        <f t="shared" si="10"/>
        <v>Byggmester Goa (tømmerarbeider)</v>
      </c>
      <c r="Q235" s="102" t="str">
        <f>tbl_ConsultingCompanys!D235</f>
        <v>HENT AS (totalentreprenør)</v>
      </c>
      <c r="R235" s="102">
        <f>tbl_ConsultingCompanys!C235</f>
        <v>228147</v>
      </c>
      <c r="S235" s="102" t="str">
        <f t="shared" si="11"/>
        <v>HENT AS (totalentreprenør)</v>
      </c>
    </row>
    <row r="236" spans="11:19" x14ac:dyDescent="0.15">
      <c r="K236" s="102" t="str">
        <f>tbl_ArchitectureOffices!D236</f>
        <v xml:space="preserve">Hoff romstudio, Baard </v>
      </c>
      <c r="L236" s="102">
        <f>tbl_ArchitectureOffices!C236</f>
        <v>171094</v>
      </c>
      <c r="M236" s="102" t="str">
        <f t="shared" si="9"/>
        <v>Hoff romstudio, Baard</v>
      </c>
      <c r="N236" s="102" t="str">
        <f>tbl_Companys!D236</f>
        <v>Byggmester Tom Martinsen</v>
      </c>
      <c r="O236" s="102">
        <f>tbl_Companys!C236</f>
        <v>103367</v>
      </c>
      <c r="P236" s="102" t="str">
        <f t="shared" si="10"/>
        <v>Byggmester Tom Martinsen</v>
      </c>
      <c r="Q236" s="102" t="str">
        <f>tbl_ConsultingCompanys!D236</f>
        <v>Hjellnes Consult AS</v>
      </c>
      <c r="R236" s="102">
        <f>tbl_ConsultingCompanys!C236</f>
        <v>225259</v>
      </c>
      <c r="S236" s="102" t="str">
        <f t="shared" si="11"/>
        <v>Hjellnes Consult AS</v>
      </c>
    </row>
    <row r="237" spans="11:19" x14ac:dyDescent="0.15">
      <c r="K237" s="102" t="str">
        <f>tbl_ArchitectureOffices!D237</f>
        <v>Hoffmann, Arne Arkitektene og Ib Omland Phd, sivilarkitekt mnal</v>
      </c>
      <c r="L237" s="102">
        <f>tbl_ArchitectureOffices!C237</f>
        <v>200496</v>
      </c>
      <c r="M237" s="102" t="str">
        <f t="shared" si="9"/>
        <v>Hoffmann, Arne Arkitektene og Ib Omland Phd, sivilarkitekt mnal</v>
      </c>
      <c r="N237" s="102" t="str">
        <f>tbl_Companys!D237</f>
        <v>Byggmester Tom Martinsen</v>
      </c>
      <c r="O237" s="102">
        <f>tbl_Companys!C237</f>
        <v>160584</v>
      </c>
      <c r="P237" s="102" t="str">
        <f t="shared" si="10"/>
        <v>Byggmester Tom Martinsen</v>
      </c>
      <c r="Q237" s="102" t="str">
        <f>tbl_ConsultingCompanys!D237</f>
        <v>Hjelmeland Mur &amp; Flis AS (mur og gulv)</v>
      </c>
      <c r="R237" s="102">
        <f>tbl_ConsultingCompanys!C237</f>
        <v>172954</v>
      </c>
      <c r="S237" s="102" t="str">
        <f t="shared" si="11"/>
        <v>Hjelmeland Mur &amp; Flis AS (mur og gulv)</v>
      </c>
    </row>
    <row r="238" spans="11:19" x14ac:dyDescent="0.15">
      <c r="K238" s="102" t="str">
        <f>tbl_ArchitectureOffices!D238</f>
        <v>Holm &amp; Grut Arkitekter MAA PAR</v>
      </c>
      <c r="L238" s="102">
        <f>tbl_ArchitectureOffices!C238</f>
        <v>171136</v>
      </c>
      <c r="M238" s="102" t="str">
        <f t="shared" si="9"/>
        <v>Holm &amp; Grut Arkitekter MAA PAR</v>
      </c>
      <c r="N238" s="102" t="str">
        <f>tbl_Companys!D238</f>
        <v>ByggMester VEST</v>
      </c>
      <c r="O238" s="102">
        <f>tbl_Companys!C238</f>
        <v>166296</v>
      </c>
      <c r="P238" s="102" t="str">
        <f t="shared" si="10"/>
        <v>ByggMester VEST</v>
      </c>
      <c r="Q238" s="102" t="str">
        <f>tbl_ConsultingCompanys!D238</f>
        <v>Hol Kirkelige Fellesråd</v>
      </c>
      <c r="R238" s="102">
        <f>tbl_ConsultingCompanys!C238</f>
        <v>245537</v>
      </c>
      <c r="S238" s="102" t="str">
        <f t="shared" si="11"/>
        <v>Hol Kirkelige Fellesråd</v>
      </c>
    </row>
    <row r="239" spans="11:19" x14ac:dyDescent="0.15">
      <c r="K239" s="102" t="str">
        <f>tbl_ArchitectureOffices!D239</f>
        <v>HRTB Arkitekter AS MNAL</v>
      </c>
      <c r="L239" s="102">
        <f>tbl_ArchitectureOffices!C239</f>
        <v>171072</v>
      </c>
      <c r="M239" s="102" t="str">
        <f t="shared" si="9"/>
        <v>HRTB Arkitekter AS MNAL</v>
      </c>
      <c r="N239" s="102" t="str">
        <f>tbl_Companys!D239</f>
        <v>Byggmester Vest as (arkitektfag)</v>
      </c>
      <c r="O239" s="102">
        <f>tbl_Companys!C239</f>
        <v>215432</v>
      </c>
      <c r="P239" s="102" t="str">
        <f t="shared" si="10"/>
        <v>Byggmester Vest as (arkitektfag)</v>
      </c>
      <c r="Q239" s="102" t="str">
        <f>tbl_ConsultingCompanys!D239</f>
        <v>Holtefjell Entreprenør AS</v>
      </c>
      <c r="R239" s="102">
        <f>tbl_ConsultingCompanys!C239</f>
        <v>204306</v>
      </c>
      <c r="S239" s="102" t="str">
        <f t="shared" si="11"/>
        <v>Holtefjell Entreprenør AS</v>
      </c>
    </row>
    <row r="240" spans="11:19" x14ac:dyDescent="0.15">
      <c r="K240" s="102" t="str">
        <f>tbl_ArchitectureOffices!D240</f>
        <v>HSØ - Hagestande og Øvrehus Arkitektkontor AS</v>
      </c>
      <c r="L240" s="102">
        <f>tbl_ArchitectureOffices!C240</f>
        <v>171138</v>
      </c>
      <c r="M240" s="102" t="str">
        <f t="shared" si="9"/>
        <v>HSØ - Hagestande og Øvrehus Arkitektkontor AS</v>
      </c>
      <c r="N240" s="102" t="str">
        <f>tbl_Companys!D240</f>
        <v>Byggmesterfirma Hansen og Lauritsen AS</v>
      </c>
      <c r="O240" s="102">
        <f>tbl_Companys!C240</f>
        <v>200080</v>
      </c>
      <c r="P240" s="102" t="str">
        <f t="shared" si="10"/>
        <v>Byggmesterfirma Hansen og Lauritsen AS</v>
      </c>
      <c r="Q240" s="102" t="str">
        <f>tbl_ConsultingCompanys!D240</f>
        <v>Holz Norge 100 (massivtreelementer)</v>
      </c>
      <c r="R240" s="102">
        <f>tbl_ConsultingCompanys!C240</f>
        <v>158133</v>
      </c>
      <c r="S240" s="102" t="str">
        <f t="shared" si="11"/>
        <v>Holz Norge 100 (massivtreelementer)</v>
      </c>
    </row>
    <row r="241" spans="11:19" x14ac:dyDescent="0.15">
      <c r="K241" s="102" t="str">
        <f>tbl_ArchitectureOffices!D241</f>
        <v xml:space="preserve">Hus AS, Arbeidsgruppen </v>
      </c>
      <c r="L241" s="102">
        <f>tbl_ArchitectureOffices!C241</f>
        <v>172584</v>
      </c>
      <c r="M241" s="102" t="str">
        <f t="shared" si="9"/>
        <v>Hus AS, Arbeidsgruppen</v>
      </c>
      <c r="N241" s="102" t="str">
        <f>tbl_Companys!D241</f>
        <v>Byggplan AS</v>
      </c>
      <c r="O241" s="102">
        <f>tbl_Companys!C241</f>
        <v>243865</v>
      </c>
      <c r="P241" s="102" t="str">
        <f t="shared" si="10"/>
        <v>Byggplan AS</v>
      </c>
      <c r="Q241" s="102" t="str">
        <f>tbl_ConsultingCompanys!D241</f>
        <v>Hordaland Fylkeskommune Eigedomsseksjonen</v>
      </c>
      <c r="R241" s="102">
        <f>tbl_ConsultingCompanys!C241</f>
        <v>224141</v>
      </c>
      <c r="S241" s="102" t="str">
        <f t="shared" si="11"/>
        <v>Hordaland Fylkeskommune Eigedomsseksjonen</v>
      </c>
    </row>
    <row r="242" spans="11:19" x14ac:dyDescent="0.15">
      <c r="K242" s="102" t="str">
        <f>tbl_ArchitectureOffices!D242</f>
        <v>Huus og Heim Arkitektur</v>
      </c>
      <c r="L242" s="102">
        <f>tbl_ArchitectureOffices!C242</f>
        <v>172898</v>
      </c>
      <c r="M242" s="102" t="str">
        <f t="shared" si="9"/>
        <v>Huus og Heim Arkitektur</v>
      </c>
      <c r="N242" s="102" t="str">
        <f>tbl_Companys!D242</f>
        <v>Bærum Kommune</v>
      </c>
      <c r="O242" s="102">
        <f>tbl_Companys!C242</f>
        <v>157567</v>
      </c>
      <c r="P242" s="102" t="str">
        <f t="shared" si="10"/>
        <v>Bærum Kommune</v>
      </c>
      <c r="Q242" s="102" t="str">
        <f>tbl_ConsultingCompanys!D242</f>
        <v>Horten kommune</v>
      </c>
      <c r="R242" s="102">
        <f>tbl_ConsultingCompanys!C242</f>
        <v>213267</v>
      </c>
      <c r="S242" s="102" t="str">
        <f t="shared" si="11"/>
        <v>Horten kommune</v>
      </c>
    </row>
    <row r="243" spans="11:19" x14ac:dyDescent="0.15">
      <c r="K243" s="102" t="str">
        <f>tbl_ArchitectureOffices!D243</f>
        <v xml:space="preserve">Hvoslef-Eide AS, Arkitektkontoret Didrik </v>
      </c>
      <c r="L243" s="102">
        <f>tbl_ArchitectureOffices!C243</f>
        <v>171140</v>
      </c>
      <c r="M243" s="102" t="str">
        <f t="shared" si="9"/>
        <v>Hvoslef-Eide AS, Arkitektkontoret Didrik</v>
      </c>
      <c r="N243" s="102" t="str">
        <f>tbl_Companys!D243</f>
        <v xml:space="preserve">Bødtker sivilarkitekt MNAL, Brit Sejersted </v>
      </c>
      <c r="O243" s="102">
        <f>tbl_Companys!C243</f>
        <v>166553</v>
      </c>
      <c r="P243" s="102" t="str">
        <f t="shared" si="10"/>
        <v>Bødtker sivilarkitekt MNAL, Brit Sejersted</v>
      </c>
      <c r="Q243" s="102" t="str">
        <f>tbl_ConsultingCompanys!D243</f>
        <v>HR Prosjekt AS</v>
      </c>
      <c r="R243" s="102">
        <f>tbl_ConsultingCompanys!C243</f>
        <v>248373</v>
      </c>
      <c r="S243" s="102" t="str">
        <f t="shared" si="11"/>
        <v>HR Prosjekt AS</v>
      </c>
    </row>
    <row r="244" spans="11:19" x14ac:dyDescent="0.15">
      <c r="K244" s="102" t="str">
        <f>tbl_ArchitectureOffices!D244</f>
        <v>HWR arkitekter as</v>
      </c>
      <c r="L244" s="102">
        <f>tbl_ArchitectureOffices!C244</f>
        <v>171142</v>
      </c>
      <c r="M244" s="102" t="str">
        <f t="shared" si="9"/>
        <v>HWR arkitekter as</v>
      </c>
      <c r="N244" s="102" t="str">
        <f>tbl_Companys!D244</f>
        <v>Bøhmer entreprenør AS</v>
      </c>
      <c r="O244" s="102">
        <f>tbl_Companys!C244</f>
        <v>103209</v>
      </c>
      <c r="P244" s="102" t="str">
        <f t="shared" si="10"/>
        <v>Bøhmer entreprenør AS</v>
      </c>
      <c r="Q244" s="102" t="str">
        <f>tbl_ConsultingCompanys!D244</f>
        <v>HRL Skien</v>
      </c>
      <c r="R244" s="102">
        <f>tbl_ConsultingCompanys!C244</f>
        <v>162892</v>
      </c>
      <c r="S244" s="102" t="str">
        <f t="shared" si="11"/>
        <v>HRL Skien</v>
      </c>
    </row>
    <row r="245" spans="11:19" x14ac:dyDescent="0.15">
      <c r="K245" s="102" t="str">
        <f>tbl_ArchitectureOffices!D245</f>
        <v>Hysj arkitekter AS</v>
      </c>
      <c r="L245" s="102">
        <f>tbl_ArchitectureOffices!C245</f>
        <v>210154</v>
      </c>
      <c r="M245" s="102" t="str">
        <f t="shared" si="9"/>
        <v>Hysj arkitekter AS</v>
      </c>
      <c r="N245" s="102" t="str">
        <f>tbl_Companys!D245</f>
        <v>Børre Svindal Larsen as</v>
      </c>
      <c r="O245" s="102">
        <f>tbl_Companys!C245</f>
        <v>119976</v>
      </c>
      <c r="P245" s="102" t="str">
        <f t="shared" si="10"/>
        <v>Børre Svindal Larsen as</v>
      </c>
      <c r="Q245" s="102" t="str">
        <f>tbl_ConsultingCompanys!D245</f>
        <v>HS Vagle AS</v>
      </c>
      <c r="R245" s="102">
        <f>tbl_ConsultingCompanys!C245</f>
        <v>155840</v>
      </c>
      <c r="S245" s="102" t="str">
        <f t="shared" si="11"/>
        <v>HS Vagle AS</v>
      </c>
    </row>
    <row r="246" spans="11:19" x14ac:dyDescent="0.15">
      <c r="K246" s="102" t="str">
        <f>tbl_ArchitectureOffices!D246</f>
        <v>i2i.no as</v>
      </c>
      <c r="L246" s="102">
        <f>tbl_ArchitectureOffices!C246</f>
        <v>171148</v>
      </c>
      <c r="M246" s="102" t="str">
        <f t="shared" si="9"/>
        <v>i2i.no as</v>
      </c>
      <c r="N246" s="102" t="str">
        <f>tbl_Companys!D246</f>
        <v xml:space="preserve">Børve og Borchsenius as, Arkitektkontoret </v>
      </c>
      <c r="O246" s="102">
        <f>tbl_Companys!C246</f>
        <v>166554</v>
      </c>
      <c r="P246" s="102" t="str">
        <f t="shared" si="10"/>
        <v>Børve og Borchsenius as, Arkitektkontoret</v>
      </c>
      <c r="Q246" s="102" t="str">
        <f>tbl_ConsultingCompanys!D246</f>
        <v>Häussler/H-produkter</v>
      </c>
      <c r="R246" s="102">
        <f>tbl_ConsultingCompanys!C246</f>
        <v>178213</v>
      </c>
      <c r="S246" s="102" t="str">
        <f t="shared" si="11"/>
        <v>Häussler/H-produkter</v>
      </c>
    </row>
    <row r="247" spans="11:19" x14ac:dyDescent="0.15">
      <c r="K247" s="102" t="str">
        <f>tbl_ArchitectureOffices!D247</f>
        <v>IDA arkitekter as</v>
      </c>
      <c r="L247" s="102">
        <f>tbl_ArchitectureOffices!C247</f>
        <v>232354</v>
      </c>
      <c r="M247" s="102" t="str">
        <f t="shared" si="9"/>
        <v>IDA arkitekter as</v>
      </c>
      <c r="N247" s="102" t="str">
        <f>tbl_Companys!D247</f>
        <v>C. Svenkerud</v>
      </c>
      <c r="O247" s="102">
        <f>tbl_Companys!C247</f>
        <v>101064</v>
      </c>
      <c r="P247" s="102" t="str">
        <f t="shared" si="10"/>
        <v>C. Svenkerud</v>
      </c>
      <c r="Q247" s="102" t="str">
        <f>tbl_ConsultingCompanys!D247</f>
        <v>i NOR as (RIE)</v>
      </c>
      <c r="R247" s="102">
        <f>tbl_ConsultingCompanys!C247</f>
        <v>182981</v>
      </c>
      <c r="S247" s="102" t="str">
        <f t="shared" si="11"/>
        <v>i NOR as (RIE)</v>
      </c>
    </row>
    <row r="248" spans="11:19" x14ac:dyDescent="0.15">
      <c r="K248" s="102" t="str">
        <f>tbl_ArchitectureOffices!D248</f>
        <v>Ide Arkitekter</v>
      </c>
      <c r="L248" s="102">
        <f>tbl_ArchitectureOffices!C248</f>
        <v>171144</v>
      </c>
      <c r="M248" s="102" t="str">
        <f t="shared" si="9"/>
        <v>Ide Arkitekter</v>
      </c>
      <c r="N248" s="102" t="str">
        <f>tbl_Companys!D248</f>
        <v>Cadi AS</v>
      </c>
      <c r="O248" s="102">
        <f>tbl_Companys!C248</f>
        <v>166555</v>
      </c>
      <c r="P248" s="102" t="str">
        <f t="shared" si="10"/>
        <v>Cadi AS</v>
      </c>
      <c r="Q248" s="102" t="str">
        <f>tbl_ConsultingCompanys!D248</f>
        <v>IBR el-prosjekt AS</v>
      </c>
      <c r="R248" s="102">
        <f>tbl_ConsultingCompanys!C248</f>
        <v>181046</v>
      </c>
      <c r="S248" s="102" t="str">
        <f t="shared" si="11"/>
        <v>IBR el-prosjekt AS</v>
      </c>
    </row>
    <row r="249" spans="11:19" x14ac:dyDescent="0.15">
      <c r="K249" s="102" t="str">
        <f>tbl_ArchitectureOffices!D249</f>
        <v>IdealBygg AS</v>
      </c>
      <c r="L249" s="102">
        <f>tbl_ArchitectureOffices!C249</f>
        <v>247502</v>
      </c>
      <c r="M249" s="102" t="str">
        <f t="shared" si="9"/>
        <v>IdealBygg AS</v>
      </c>
      <c r="N249" s="102" t="str">
        <f>tbl_Companys!D249</f>
        <v>Campbell ink, Scott Campbell</v>
      </c>
      <c r="O249" s="102">
        <f>tbl_Companys!C249</f>
        <v>166557</v>
      </c>
      <c r="P249" s="102" t="str">
        <f t="shared" si="10"/>
        <v>Campbell ink, Scott Campbell</v>
      </c>
      <c r="Q249" s="102" t="str">
        <f>tbl_ConsultingCompanys!D249</f>
        <v>Iguzzini (lys)</v>
      </c>
      <c r="R249" s="102">
        <f>tbl_ConsultingCompanys!C249</f>
        <v>198981</v>
      </c>
      <c r="S249" s="102" t="str">
        <f t="shared" si="11"/>
        <v>Iguzzini (lys)</v>
      </c>
    </row>
    <row r="250" spans="11:19" x14ac:dyDescent="0.15">
      <c r="K250" s="102" t="str">
        <f>tbl_ArchitectureOffices!D250</f>
        <v>Indigo Arkitekter AS</v>
      </c>
      <c r="L250" s="102">
        <f>tbl_ArchitectureOffices!C250</f>
        <v>171146</v>
      </c>
      <c r="M250" s="102" t="str">
        <f t="shared" si="9"/>
        <v>Indigo Arkitekter AS</v>
      </c>
      <c r="N250" s="102" t="str">
        <f>tbl_Companys!D250</f>
        <v>Chem - Con AS (mur og gulv)</v>
      </c>
      <c r="O250" s="102">
        <f>tbl_Companys!C250</f>
        <v>162879</v>
      </c>
      <c r="P250" s="102" t="str">
        <f t="shared" si="10"/>
        <v>Chem - Con AS (mur og gulv)</v>
      </c>
      <c r="Q250" s="102" t="str">
        <f>tbl_ConsultingCompanys!D250</f>
        <v>Ikke offentlig</v>
      </c>
      <c r="R250" s="102">
        <f>tbl_ConsultingCompanys!C250</f>
        <v>245832</v>
      </c>
      <c r="S250" s="102" t="str">
        <f t="shared" si="11"/>
        <v>Ikke offentlig</v>
      </c>
    </row>
    <row r="251" spans="11:19" x14ac:dyDescent="0.15">
      <c r="K251" s="102" t="str">
        <f>tbl_ArchitectureOffices!D251</f>
        <v xml:space="preserve">Ingvaldsen sivilarkitekt MNAL, Arne </v>
      </c>
      <c r="L251" s="102">
        <f>tbl_ArchitectureOffices!C251</f>
        <v>171147</v>
      </c>
      <c r="M251" s="102" t="str">
        <f t="shared" si="9"/>
        <v>Ingvaldsen sivilarkitekt MNAL, Arne</v>
      </c>
      <c r="N251" s="102" t="str">
        <f>tbl_Companys!D251</f>
        <v>Christiansen og Roberg AS</v>
      </c>
      <c r="O251" s="102">
        <f>tbl_Companys!C251</f>
        <v>213753</v>
      </c>
      <c r="P251" s="102" t="str">
        <f t="shared" si="10"/>
        <v>Christiansen og Roberg AS</v>
      </c>
      <c r="Q251" s="102" t="str">
        <f>tbl_ConsultingCompanys!D251</f>
        <v>Ilje AS</v>
      </c>
      <c r="R251" s="102">
        <f>tbl_ConsultingCompanys!C251</f>
        <v>160572</v>
      </c>
      <c r="S251" s="102" t="str">
        <f t="shared" si="11"/>
        <v>Ilje AS</v>
      </c>
    </row>
    <row r="252" spans="11:19" x14ac:dyDescent="0.15">
      <c r="K252" s="102" t="str">
        <f>tbl_ArchitectureOffices!D252</f>
        <v xml:space="preserve">Interiørarkitekt MNIL Siri Obrestad Fuhr </v>
      </c>
      <c r="L252" s="102">
        <f>tbl_ArchitectureOffices!C252</f>
        <v>228971</v>
      </c>
      <c r="M252" s="102" t="str">
        <f t="shared" si="9"/>
        <v>Interiørarkitekt MNIL Siri Obrestad Fuhr</v>
      </c>
      <c r="N252" s="102" t="str">
        <f>tbl_Companys!D252</f>
        <v>Claudio Trovanelli (Hypokausten og peiser)</v>
      </c>
      <c r="O252" s="102">
        <f>tbl_Companys!C252</f>
        <v>162876</v>
      </c>
      <c r="P252" s="102" t="str">
        <f t="shared" si="10"/>
        <v>Claudio Trovanelli (Hypokausten og peiser)</v>
      </c>
      <c r="Q252" s="102" t="str">
        <f>tbl_ConsultingCompanys!D252</f>
        <v>In`by AS</v>
      </c>
      <c r="R252" s="102">
        <f>tbl_ConsultingCompanys!C252</f>
        <v>160569</v>
      </c>
      <c r="S252" s="102" t="str">
        <f t="shared" si="11"/>
        <v>In`by AS</v>
      </c>
    </row>
    <row r="253" spans="11:19" x14ac:dyDescent="0.15">
      <c r="K253" s="102" t="str">
        <f>tbl_ArchitectureOffices!D253</f>
        <v>IversenPetch AS</v>
      </c>
      <c r="L253" s="102">
        <f>tbl_ArchitectureOffices!C253</f>
        <v>171487</v>
      </c>
      <c r="M253" s="102" t="str">
        <f t="shared" si="9"/>
        <v>IversenPetch AS</v>
      </c>
      <c r="N253" s="102" t="str">
        <f>tbl_Companys!D253</f>
        <v>Clou arkitektur</v>
      </c>
      <c r="O253" s="102">
        <f>tbl_Companys!C253</f>
        <v>166559</v>
      </c>
      <c r="P253" s="102" t="str">
        <f t="shared" si="10"/>
        <v>Clou arkitektur</v>
      </c>
      <c r="Q253" s="102" t="str">
        <f>tbl_ConsultingCompanys!D253</f>
        <v>Ineo Eiendom &amp; Base Property</v>
      </c>
      <c r="R253" s="102">
        <f>tbl_ConsultingCompanys!C253</f>
        <v>249381</v>
      </c>
      <c r="S253" s="102" t="str">
        <f t="shared" si="11"/>
        <v>Ineo Eiendom &amp; Base Property</v>
      </c>
    </row>
    <row r="254" spans="11:19" x14ac:dyDescent="0.15">
      <c r="K254" s="102" t="str">
        <f>tbl_ArchitectureOffices!D254</f>
        <v>Jacobsen og Reiten Arkitektkontor AS</v>
      </c>
      <c r="L254" s="102">
        <f>tbl_ArchitectureOffices!C254</f>
        <v>171149</v>
      </c>
      <c r="M254" s="102" t="str">
        <f t="shared" si="9"/>
        <v>Jacobsen og Reiten Arkitektkontor AS</v>
      </c>
      <c r="N254" s="102" t="str">
        <f>tbl_Companys!D254</f>
        <v>Code: arkitektur as</v>
      </c>
      <c r="O254" s="102">
        <f>tbl_Companys!C254</f>
        <v>166560</v>
      </c>
      <c r="P254" s="102" t="str">
        <f t="shared" si="10"/>
        <v>Code: arkitektur as</v>
      </c>
      <c r="Q254" s="102" t="str">
        <f>tbl_ConsultingCompanys!D254</f>
        <v>Ing. Evensen AS</v>
      </c>
      <c r="R254" s="102">
        <f>tbl_ConsultingCompanys!C254</f>
        <v>241091</v>
      </c>
      <c r="S254" s="102" t="str">
        <f t="shared" si="11"/>
        <v>Ing. Evensen AS</v>
      </c>
    </row>
    <row r="255" spans="11:19" x14ac:dyDescent="0.15">
      <c r="K255" s="102" t="str">
        <f>tbl_ArchitectureOffices!D255</f>
        <v>Jansen Arkitekter AS</v>
      </c>
      <c r="L255" s="102">
        <f>tbl_ArchitectureOffices!C255</f>
        <v>171150</v>
      </c>
      <c r="M255" s="102" t="str">
        <f t="shared" si="9"/>
        <v>Jansen Arkitekter AS</v>
      </c>
      <c r="N255" s="102" t="str">
        <f>tbl_Companys!D255</f>
        <v>Colt AS</v>
      </c>
      <c r="O255" s="102">
        <f>tbl_Companys!C255</f>
        <v>202454</v>
      </c>
      <c r="P255" s="102" t="str">
        <f t="shared" si="10"/>
        <v>Colt AS</v>
      </c>
      <c r="Q255" s="102" t="str">
        <f>tbl_ConsultingCompanys!D255</f>
        <v>Ing. Jan Johannessen as</v>
      </c>
      <c r="R255" s="102">
        <f>tbl_ConsultingCompanys!C255</f>
        <v>155960</v>
      </c>
      <c r="S255" s="102" t="str">
        <f t="shared" si="11"/>
        <v>Ing. Jan Johannessen as</v>
      </c>
    </row>
    <row r="256" spans="11:19" x14ac:dyDescent="0.15">
      <c r="K256" s="102" t="str">
        <f>tbl_ArchitectureOffices!D256</f>
        <v xml:space="preserve">Jarmund Arkitekter as mnal, Kristin </v>
      </c>
      <c r="L256" s="102">
        <f>tbl_ArchitectureOffices!C256</f>
        <v>171152</v>
      </c>
      <c r="M256" s="102" t="str">
        <f t="shared" si="9"/>
        <v>Jarmund Arkitekter as mnal, Kristin</v>
      </c>
      <c r="N256" s="102" t="str">
        <f>tbl_Companys!D256</f>
        <v xml:space="preserve">Comfort consult AS </v>
      </c>
      <c r="O256" s="102">
        <f>tbl_Companys!C256</f>
        <v>110994</v>
      </c>
      <c r="P256" s="102" t="str">
        <f t="shared" si="10"/>
        <v>Comfort consult AS</v>
      </c>
      <c r="Q256" s="102" t="str">
        <f>tbl_ConsultingCompanys!D256</f>
        <v>Ing. K. Simonsen A/S</v>
      </c>
      <c r="R256" s="102">
        <f>tbl_ConsultingCompanys!C256</f>
        <v>101080</v>
      </c>
      <c r="S256" s="102" t="str">
        <f t="shared" si="11"/>
        <v>Ing. K. Simonsen A/S</v>
      </c>
    </row>
    <row r="257" spans="11:19" x14ac:dyDescent="0.15">
      <c r="K257" s="102" t="str">
        <f>tbl_ArchitectureOffices!D257</f>
        <v>Jarmund/ Vigsnæs AS Arkitekter MNAL</v>
      </c>
      <c r="L257" s="102">
        <f>tbl_ArchitectureOffices!C257</f>
        <v>171151</v>
      </c>
      <c r="M257" s="102" t="str">
        <f t="shared" si="9"/>
        <v>Jarmund/ Vigsnæs AS Arkitekter MNAL</v>
      </c>
      <c r="N257" s="102" t="str">
        <f>tbl_Companys!D257</f>
        <v xml:space="preserve">Conradi AS </v>
      </c>
      <c r="O257" s="102">
        <f>tbl_Companys!C257</f>
        <v>217516</v>
      </c>
      <c r="P257" s="102" t="str">
        <f t="shared" si="10"/>
        <v>Conradi AS</v>
      </c>
      <c r="Q257" s="102" t="str">
        <f>tbl_ConsultingCompanys!D257</f>
        <v>Ing. Per Ødemark</v>
      </c>
      <c r="R257" s="102">
        <f>tbl_ConsultingCompanys!C257</f>
        <v>110995</v>
      </c>
      <c r="S257" s="102" t="str">
        <f t="shared" si="11"/>
        <v>Ing. Per Ødemark</v>
      </c>
    </row>
    <row r="258" spans="11:19" x14ac:dyDescent="0.15">
      <c r="K258" s="102" t="str">
        <f>tbl_ArchitectureOffices!D258</f>
        <v>Jensen &amp; Skodvin Arkitektkontor</v>
      </c>
      <c r="L258" s="102">
        <f>tbl_ArchitectureOffices!C258</f>
        <v>171154</v>
      </c>
      <c r="M258" s="102" t="str">
        <f t="shared" si="9"/>
        <v>Jensen &amp; Skodvin Arkitektkontor</v>
      </c>
      <c r="N258" s="102" t="str">
        <f>tbl_Companys!D258</f>
        <v>Context AS</v>
      </c>
      <c r="O258" s="102">
        <f>tbl_Companys!C258</f>
        <v>166561</v>
      </c>
      <c r="P258" s="102" t="str">
        <f t="shared" si="10"/>
        <v>Context AS</v>
      </c>
      <c r="Q258" s="102" t="str">
        <f>tbl_ConsultingCompanys!D258</f>
        <v>Ing. Seim &amp; Hultgreen AS</v>
      </c>
      <c r="R258" s="102">
        <f>tbl_ConsultingCompanys!C258</f>
        <v>103278</v>
      </c>
      <c r="S258" s="102" t="str">
        <f t="shared" si="11"/>
        <v>Ing. Seim &amp; Hultgreen AS</v>
      </c>
    </row>
    <row r="259" spans="11:19" x14ac:dyDescent="0.15">
      <c r="K259" s="102" t="str">
        <f>tbl_ArchitectureOffices!D259</f>
        <v xml:space="preserve">Jensen AS, Arkitektkontoret Kjell </v>
      </c>
      <c r="L259" s="102">
        <f>tbl_ArchitectureOffices!C259</f>
        <v>171153</v>
      </c>
      <c r="M259" s="102" t="str">
        <f t="shared" ref="M259:M322" si="12">IFERROR(REPLACE(K259,FIND(" ",K259,LEN(K259)),1,""),K259)</f>
        <v>Jensen AS, Arkitektkontoret Kjell</v>
      </c>
      <c r="N259" s="102" t="str">
        <f>tbl_Companys!D259</f>
        <v>Contur as - Arkitektur og Design</v>
      </c>
      <c r="O259" s="102">
        <f>tbl_Companys!C259</f>
        <v>172660</v>
      </c>
      <c r="P259" s="102" t="str">
        <f t="shared" ref="P259:P322" si="13">IFERROR(REPLACE(N259,FIND(" ",N259,LEN(N259)),1,""),N259)</f>
        <v>Contur as - Arkitektur og Design</v>
      </c>
      <c r="Q259" s="102" t="str">
        <f>tbl_ConsultingCompanys!D259</f>
        <v>Ingar Ellefsrød, Erling Vermelid, Odd Skadsem, Steinar Wegger</v>
      </c>
      <c r="R259" s="102">
        <f>tbl_ConsultingCompanys!C259</f>
        <v>121096</v>
      </c>
      <c r="S259" s="102" t="str">
        <f t="shared" ref="S259:S322" si="14">IFERROR(REPLACE(Q259,FIND(" ",Q259,LEN(Q259)),1,""),Q259)</f>
        <v>Ingar Ellefsrød, Erling Vermelid, Odd Skadsem, Steinar Wegger</v>
      </c>
    </row>
    <row r="260" spans="11:19" x14ac:dyDescent="0.15">
      <c r="K260" s="102" t="str">
        <f>tbl_ArchitectureOffices!D260</f>
        <v>jm arkitektkontor</v>
      </c>
      <c r="L260" s="102">
        <f>tbl_ArchitectureOffices!C260</f>
        <v>171155</v>
      </c>
      <c r="M260" s="102" t="str">
        <f t="shared" si="12"/>
        <v>jm arkitektkontor</v>
      </c>
      <c r="N260" s="102" t="str">
        <f>tbl_Companys!D260</f>
        <v>Corebis as</v>
      </c>
      <c r="O260" s="102">
        <f>tbl_Companys!C260</f>
        <v>155654</v>
      </c>
      <c r="P260" s="102" t="str">
        <f t="shared" si="13"/>
        <v>Corebis as</v>
      </c>
      <c r="Q260" s="102" t="str">
        <f>tbl_ConsultingCompanys!D260</f>
        <v>Ingenia AS</v>
      </c>
      <c r="R260" s="102">
        <f>tbl_ConsultingCompanys!C260</f>
        <v>214726</v>
      </c>
      <c r="S260" s="102" t="str">
        <f t="shared" si="14"/>
        <v>Ingenia AS</v>
      </c>
    </row>
    <row r="261" spans="11:19" x14ac:dyDescent="0.15">
      <c r="K261" s="102" t="str">
        <f>tbl_ArchitectureOffices!D261</f>
        <v>Johansen, Jonny sivilarkitekt MNAL</v>
      </c>
      <c r="L261" s="102">
        <f>tbl_ArchitectureOffices!C261</f>
        <v>200495</v>
      </c>
      <c r="M261" s="102" t="str">
        <f t="shared" si="12"/>
        <v>Johansen, Jonny sivilarkitekt MNAL</v>
      </c>
      <c r="N261" s="102" t="str">
        <f>tbl_Companys!D261</f>
        <v>Cowi as</v>
      </c>
      <c r="O261" s="102">
        <f>tbl_Companys!C261</f>
        <v>217298</v>
      </c>
      <c r="P261" s="102" t="str">
        <f t="shared" si="13"/>
        <v>Cowi as</v>
      </c>
      <c r="Q261" s="102" t="str">
        <f>tbl_ConsultingCompanys!D261</f>
        <v>Ingeniør Petter Nome AS (RIV)</v>
      </c>
      <c r="R261" s="102">
        <f>tbl_ConsultingCompanys!C261</f>
        <v>209552</v>
      </c>
      <c r="S261" s="102" t="str">
        <f t="shared" si="14"/>
        <v>Ingeniør Petter Nome AS (RIV)</v>
      </c>
    </row>
    <row r="262" spans="11:19" x14ac:dyDescent="0.15">
      <c r="K262" s="102" t="str">
        <f>tbl_ArchitectureOffices!D262</f>
        <v xml:space="preserve">Jonsson Arkitektkontor, Gudmundur </v>
      </c>
      <c r="L262" s="102">
        <f>tbl_ArchitectureOffices!C262</f>
        <v>173253</v>
      </c>
      <c r="M262" s="102" t="str">
        <f t="shared" si="12"/>
        <v>Jonsson Arkitektkontor, Gudmundur</v>
      </c>
      <c r="N262" s="102" t="str">
        <f>tbl_Companys!D262</f>
        <v>Cox Strategisk design AS</v>
      </c>
      <c r="O262" s="102">
        <f>tbl_Companys!C262</f>
        <v>246947</v>
      </c>
      <c r="P262" s="102" t="str">
        <f t="shared" si="13"/>
        <v>Cox Strategisk design AS</v>
      </c>
      <c r="Q262" s="102" t="str">
        <f>tbl_ConsultingCompanys!D262</f>
        <v>Instanes AS</v>
      </c>
      <c r="R262" s="102">
        <f>tbl_ConsultingCompanys!C262</f>
        <v>110753</v>
      </c>
      <c r="S262" s="102" t="str">
        <f t="shared" si="14"/>
        <v>Instanes AS</v>
      </c>
    </row>
    <row r="263" spans="11:19" x14ac:dyDescent="0.15">
      <c r="K263" s="102" t="str">
        <f>tbl_ArchitectureOffices!D263</f>
        <v>JST Arkitekter AS</v>
      </c>
      <c r="L263" s="102">
        <f>tbl_ArchitectureOffices!C263</f>
        <v>214510</v>
      </c>
      <c r="M263" s="102" t="str">
        <f t="shared" si="12"/>
        <v>JST Arkitekter AS</v>
      </c>
      <c r="N263" s="102" t="str">
        <f>tbl_Companys!D263</f>
        <v>CTM AS</v>
      </c>
      <c r="O263" s="102">
        <f>tbl_Companys!C263</f>
        <v>111930</v>
      </c>
      <c r="P263" s="102" t="str">
        <f t="shared" si="13"/>
        <v>CTM AS</v>
      </c>
      <c r="Q263" s="102" t="str">
        <f>tbl_ConsultingCompanys!D263</f>
        <v xml:space="preserve">Interconsult ASA </v>
      </c>
      <c r="R263" s="102">
        <f>tbl_ConsultingCompanys!C263</f>
        <v>102852</v>
      </c>
      <c r="S263" s="102" t="str">
        <f t="shared" si="14"/>
        <v>Interconsult ASA</v>
      </c>
    </row>
    <row r="264" spans="11:19" x14ac:dyDescent="0.15">
      <c r="K264" s="102" t="str">
        <f>tbl_ArchitectureOffices!D264</f>
        <v xml:space="preserve">K16 AS, Arkitektkontoret </v>
      </c>
      <c r="L264" s="102">
        <f>tbl_ArchitectureOffices!C264</f>
        <v>171824</v>
      </c>
      <c r="M264" s="102" t="str">
        <f t="shared" si="12"/>
        <v>K16 AS, Arkitektkontoret</v>
      </c>
      <c r="N264" s="102" t="str">
        <f>tbl_Companys!D264</f>
        <v>ctrl+n arkitektur da</v>
      </c>
      <c r="O264" s="102">
        <f>tbl_Companys!C264</f>
        <v>207276</v>
      </c>
      <c r="P264" s="102" t="str">
        <f t="shared" si="13"/>
        <v>ctrl+n arkitektur da</v>
      </c>
      <c r="Q264" s="102" t="str">
        <f>tbl_ConsultingCompanys!D264</f>
        <v>Ipark Eiendom AS</v>
      </c>
      <c r="R264" s="102">
        <f>tbl_ConsultingCompanys!C264</f>
        <v>245783</v>
      </c>
      <c r="S264" s="102" t="str">
        <f t="shared" si="14"/>
        <v>Ipark Eiendom AS</v>
      </c>
    </row>
    <row r="265" spans="11:19" x14ac:dyDescent="0.15">
      <c r="K265" s="102" t="str">
        <f>tbl_ArchitectureOffices!D265</f>
        <v>Kahrs Arkitekter AS, Paal J.</v>
      </c>
      <c r="L265" s="102">
        <f>tbl_ArchitectureOffices!C265</f>
        <v>171823</v>
      </c>
      <c r="M265" s="102" t="str">
        <f t="shared" si="12"/>
        <v>Kahrs Arkitekter AS, Paal J.</v>
      </c>
      <c r="N265" s="102" t="str">
        <f>tbl_Companys!D265</f>
        <v>C-V Hølmebakk Arkitektkontor</v>
      </c>
      <c r="O265" s="102">
        <f>tbl_Companys!C265</f>
        <v>221021</v>
      </c>
      <c r="P265" s="102" t="str">
        <f t="shared" si="13"/>
        <v>C-V Hølmebakk Arkitektkontor</v>
      </c>
      <c r="Q265" s="102" t="str">
        <f>tbl_ConsultingCompanys!D265</f>
        <v>Isola</v>
      </c>
      <c r="R265" s="102">
        <f>tbl_ConsultingCompanys!C265</f>
        <v>178211</v>
      </c>
      <c r="S265" s="102" t="str">
        <f t="shared" si="14"/>
        <v>Isola</v>
      </c>
    </row>
    <row r="266" spans="11:19" x14ac:dyDescent="0.15">
      <c r="K266" s="102" t="str">
        <f>tbl_ArchitectureOffices!D266</f>
        <v>Kap - kontor for arkitektur og plan</v>
      </c>
      <c r="L266" s="102">
        <f>tbl_ArchitectureOffices!C266</f>
        <v>171822</v>
      </c>
      <c r="M266" s="102" t="str">
        <f t="shared" si="12"/>
        <v>Kap - kontor for arkitektur og plan</v>
      </c>
      <c r="N266" s="102" t="str">
        <f>tbl_Companys!D266</f>
        <v>Czelusta Trebygg og Takteknikk</v>
      </c>
      <c r="O266" s="102">
        <f>tbl_Companys!C266</f>
        <v>223524</v>
      </c>
      <c r="P266" s="102" t="str">
        <f t="shared" si="13"/>
        <v>Czelusta Trebygg og Takteknikk</v>
      </c>
      <c r="Q266" s="102" t="str">
        <f>tbl_ConsultingCompanys!D266</f>
        <v xml:space="preserve">ISS Landscaping AS ved Stein Anders Sundbye </v>
      </c>
      <c r="R266" s="102">
        <f>tbl_ConsultingCompanys!C266</f>
        <v>121092</v>
      </c>
      <c r="S266" s="102" t="str">
        <f t="shared" si="14"/>
        <v>ISS Landscaping AS ved Stein Anders Sundbye</v>
      </c>
    </row>
    <row r="267" spans="11:19" x14ac:dyDescent="0.15">
      <c r="K267" s="102" t="str">
        <f>tbl_ArchitectureOffices!D267</f>
        <v>Kapsel design as</v>
      </c>
      <c r="L267" s="102">
        <f>tbl_ArchitectureOffices!C267</f>
        <v>247308</v>
      </c>
      <c r="M267" s="102" t="str">
        <f t="shared" si="12"/>
        <v>Kapsel design as</v>
      </c>
      <c r="N267" s="102" t="str">
        <f>tbl_Companys!D267</f>
        <v>D. Nysted AS (interiør)</v>
      </c>
      <c r="O267" s="102">
        <f>tbl_Companys!C267</f>
        <v>155842</v>
      </c>
      <c r="P267" s="102" t="str">
        <f t="shared" si="13"/>
        <v>D. Nysted AS (interiør)</v>
      </c>
      <c r="Q267" s="102" t="str">
        <f>tbl_ConsultingCompanys!D267</f>
        <v>ISS O.Skaaret AS</v>
      </c>
      <c r="R267" s="102">
        <f>tbl_ConsultingCompanys!C267</f>
        <v>103188</v>
      </c>
      <c r="S267" s="102" t="str">
        <f t="shared" si="14"/>
        <v>ISS O.Skaaret AS</v>
      </c>
    </row>
    <row r="268" spans="11:19" x14ac:dyDescent="0.15">
      <c r="K268" s="102" t="str">
        <f>tbl_ArchitectureOffices!D268</f>
        <v>Karsten T. Huitfeldt sivilarkitekt MNAL</v>
      </c>
      <c r="L268" s="102">
        <f>tbl_ArchitectureOffices!C268</f>
        <v>233829</v>
      </c>
      <c r="M268" s="102" t="str">
        <f t="shared" si="12"/>
        <v>Karsten T. Huitfeldt sivilarkitekt MNAL</v>
      </c>
      <c r="N268" s="102" t="str">
        <f>tbl_Companys!D268</f>
        <v>DAC architecture</v>
      </c>
      <c r="O268" s="102">
        <f>tbl_Companys!C268</f>
        <v>217474</v>
      </c>
      <c r="P268" s="102" t="str">
        <f t="shared" si="13"/>
        <v>DAC architecture</v>
      </c>
      <c r="Q268" s="102" t="str">
        <f>tbl_ConsultingCompanys!D268</f>
        <v>Istad Tekniske AS</v>
      </c>
      <c r="R268" s="102">
        <f>tbl_ConsultingCompanys!C268</f>
        <v>240271</v>
      </c>
      <c r="S268" s="102" t="str">
        <f t="shared" si="14"/>
        <v>Istad Tekniske AS</v>
      </c>
    </row>
    <row r="269" spans="11:19" x14ac:dyDescent="0.15">
      <c r="K269" s="102" t="str">
        <f>tbl_ArchitectureOffices!D269</f>
        <v>Katarsis as</v>
      </c>
      <c r="L269" s="102">
        <f>tbl_ArchitectureOffices!C269</f>
        <v>172671</v>
      </c>
      <c r="M269" s="102" t="str">
        <f t="shared" si="12"/>
        <v>Katarsis as</v>
      </c>
      <c r="N269" s="102" t="str">
        <f>tbl_Companys!D269</f>
        <v>Dagfinn H. Jørgensen AS</v>
      </c>
      <c r="O269" s="102">
        <f>tbl_Companys!C269</f>
        <v>98460</v>
      </c>
      <c r="P269" s="102" t="str">
        <f t="shared" si="13"/>
        <v>Dagfinn H. Jørgensen AS</v>
      </c>
      <c r="Q269" s="102" t="str">
        <f>tbl_ConsultingCompanys!D269</f>
        <v>ITECH (EL, VVS)</v>
      </c>
      <c r="R269" s="102">
        <f>tbl_ConsultingCompanys!C269</f>
        <v>164238</v>
      </c>
      <c r="S269" s="102" t="str">
        <f t="shared" si="14"/>
        <v>ITECH (EL, VVS)</v>
      </c>
    </row>
    <row r="270" spans="11:19" x14ac:dyDescent="0.15">
      <c r="K270" s="102" t="str">
        <f>tbl_ArchitectureOffices!D270</f>
        <v>KEO arkitekter AS</v>
      </c>
      <c r="L270" s="102">
        <f>tbl_ArchitectureOffices!C270</f>
        <v>171826</v>
      </c>
      <c r="M270" s="102" t="str">
        <f t="shared" si="12"/>
        <v>KEO arkitekter AS</v>
      </c>
      <c r="N270" s="102" t="str">
        <f>tbl_Companys!D270</f>
        <v xml:space="preserve">Dahl &amp; Myrhol AS, Arkitektene </v>
      </c>
      <c r="O270" s="102">
        <f>tbl_Companys!C270</f>
        <v>166562</v>
      </c>
      <c r="P270" s="102" t="str">
        <f t="shared" si="13"/>
        <v>Dahl &amp; Myrhol AS, Arkitektene</v>
      </c>
      <c r="Q270" s="102" t="str">
        <f>tbl_ConsultingCompanys!D270</f>
        <v>Jackon</v>
      </c>
      <c r="R270" s="102">
        <f>tbl_ConsultingCompanys!C270</f>
        <v>178212</v>
      </c>
      <c r="S270" s="102" t="str">
        <f t="shared" si="14"/>
        <v>Jackon</v>
      </c>
    </row>
    <row r="271" spans="11:19" x14ac:dyDescent="0.15">
      <c r="K271" s="102" t="str">
        <f>tbl_ArchitectureOffices!D271</f>
        <v>Kester Bunyan Arkitektur as</v>
      </c>
      <c r="L271" s="102">
        <f>tbl_ArchitectureOffices!C271</f>
        <v>227234</v>
      </c>
      <c r="M271" s="102" t="str">
        <f t="shared" si="12"/>
        <v>Kester Bunyan Arkitektur as</v>
      </c>
      <c r="N271" s="102" t="str">
        <f>tbl_Companys!D271</f>
        <v>Dahl &amp; Uhre arkitekter as</v>
      </c>
      <c r="O271" s="102">
        <f>tbl_Companys!C271</f>
        <v>166564</v>
      </c>
      <c r="P271" s="102" t="str">
        <f t="shared" si="13"/>
        <v>Dahl &amp; Uhre arkitekter as</v>
      </c>
      <c r="Q271" s="102" t="str">
        <f>tbl_ConsultingCompanys!D271</f>
        <v>Jadarhus AS</v>
      </c>
      <c r="R271" s="102">
        <f>tbl_ConsultingCompanys!C271</f>
        <v>155835</v>
      </c>
      <c r="S271" s="102" t="str">
        <f t="shared" si="14"/>
        <v>Jadarhus AS</v>
      </c>
    </row>
    <row r="272" spans="11:19" x14ac:dyDescent="0.15">
      <c r="K272" s="102" t="str">
        <f>tbl_ArchitectureOffices!D272</f>
        <v>KEY arkitekter as mnal</v>
      </c>
      <c r="L272" s="102">
        <f>tbl_ArchitectureOffices!C272</f>
        <v>215756</v>
      </c>
      <c r="M272" s="102" t="str">
        <f t="shared" si="12"/>
        <v>KEY arkitekter as mnal</v>
      </c>
      <c r="N272" s="102" t="str">
        <f>tbl_Companys!D272</f>
        <v>Dahle &amp; Breitenstein as</v>
      </c>
      <c r="O272" s="102">
        <f>tbl_Companys!C272</f>
        <v>166565</v>
      </c>
      <c r="P272" s="102" t="str">
        <f t="shared" si="13"/>
        <v>Dahle &amp; Breitenstein as</v>
      </c>
      <c r="Q272" s="102" t="str">
        <f>tbl_ConsultingCompanys!D272</f>
        <v>Jan Brataas Ecobas AS</v>
      </c>
      <c r="R272" s="102">
        <f>tbl_ConsultingCompanys!C272</f>
        <v>119775</v>
      </c>
      <c r="S272" s="102" t="str">
        <f t="shared" si="14"/>
        <v>Jan Brataas Ecobas AS</v>
      </c>
    </row>
    <row r="273" spans="11:19" x14ac:dyDescent="0.15">
      <c r="K273" s="102" t="str">
        <f>tbl_ArchitectureOffices!D273</f>
        <v>Kibsgaard-Petersen AS</v>
      </c>
      <c r="L273" s="102">
        <f>tbl_ArchitectureOffices!C273</f>
        <v>229864</v>
      </c>
      <c r="M273" s="102" t="str">
        <f t="shared" si="12"/>
        <v>Kibsgaard-Petersen AS</v>
      </c>
      <c r="N273" s="102" t="str">
        <f>tbl_Companys!D273</f>
        <v>Dark Arkitekter AS</v>
      </c>
      <c r="O273" s="102">
        <f>tbl_Companys!C273</f>
        <v>166566</v>
      </c>
      <c r="P273" s="102" t="str">
        <f t="shared" si="13"/>
        <v>Dark Arkitekter AS</v>
      </c>
      <c r="Q273" s="102" t="str">
        <f>tbl_ConsultingCompanys!D273</f>
        <v>Jan Nilsen Robstad (VVS)</v>
      </c>
      <c r="R273" s="102">
        <f>tbl_ConsultingCompanys!C273</f>
        <v>158195</v>
      </c>
      <c r="S273" s="102" t="str">
        <f t="shared" si="14"/>
        <v>Jan Nilsen Robstad (VVS)</v>
      </c>
    </row>
    <row r="274" spans="11:19" x14ac:dyDescent="0.15">
      <c r="K274" s="102" t="str">
        <f>tbl_ArchitectureOffices!D274</f>
        <v>Kile Stokholm Arkitekter AS</v>
      </c>
      <c r="L274" s="102">
        <f>tbl_ArchitectureOffices!C274</f>
        <v>171820</v>
      </c>
      <c r="M274" s="102" t="str">
        <f t="shared" si="12"/>
        <v>Kile Stokholm Arkitekter AS</v>
      </c>
      <c r="N274" s="102" t="str">
        <f>tbl_Companys!D274</f>
        <v>DB Arkitektur AS</v>
      </c>
      <c r="O274" s="102">
        <f>tbl_Companys!C274</f>
        <v>206993</v>
      </c>
      <c r="P274" s="102" t="str">
        <f t="shared" si="13"/>
        <v>DB Arkitektur AS</v>
      </c>
      <c r="Q274" s="102" t="str">
        <f>tbl_ConsultingCompanys!D274</f>
        <v>Jan Willy Førland (PTL)</v>
      </c>
      <c r="R274" s="102">
        <f>tbl_ConsultingCompanys!C274</f>
        <v>158201</v>
      </c>
      <c r="S274" s="102" t="str">
        <f t="shared" si="14"/>
        <v>Jan Willy Førland (PTL)</v>
      </c>
    </row>
    <row r="275" spans="11:19" x14ac:dyDescent="0.15">
      <c r="K275" s="102" t="str">
        <f>tbl_ArchitectureOffices!D275</f>
        <v>KIMA arkitektur as</v>
      </c>
      <c r="L275" s="102">
        <f>tbl_ArchitectureOffices!C275</f>
        <v>171603</v>
      </c>
      <c r="M275" s="102" t="str">
        <f t="shared" si="12"/>
        <v>KIMA arkitektur as</v>
      </c>
      <c r="N275" s="102" t="str">
        <f>tbl_Companys!D275</f>
        <v>DBC Elprosjekt as</v>
      </c>
      <c r="O275" s="102">
        <f>tbl_Companys!C275</f>
        <v>245542</v>
      </c>
      <c r="P275" s="102" t="str">
        <f t="shared" si="13"/>
        <v>DBC Elprosjekt as</v>
      </c>
      <c r="Q275" s="102" t="str">
        <f>tbl_ConsultingCompanys!D275</f>
        <v>JM Byggholt AS</v>
      </c>
      <c r="R275" s="102">
        <f>tbl_ConsultingCompanys!C275</f>
        <v>215940</v>
      </c>
      <c r="S275" s="102" t="str">
        <f t="shared" si="14"/>
        <v>JM Byggholt AS</v>
      </c>
    </row>
    <row r="276" spans="11:19" x14ac:dyDescent="0.15">
      <c r="K276" s="102" t="str">
        <f>tbl_ArchitectureOffices!D276</f>
        <v>Kjernehuset Arkitektkontor</v>
      </c>
      <c r="L276" s="102">
        <f>tbl_ArchitectureOffices!C276</f>
        <v>171819</v>
      </c>
      <c r="M276" s="102" t="str">
        <f t="shared" si="12"/>
        <v>Kjernehuset Arkitektkontor</v>
      </c>
      <c r="N276" s="102" t="str">
        <f>tbl_Companys!D276</f>
        <v>DBC-arkitektur as</v>
      </c>
      <c r="O276" s="102">
        <f>tbl_Companys!C276</f>
        <v>166567</v>
      </c>
      <c r="P276" s="102" t="str">
        <f t="shared" si="13"/>
        <v>DBC-arkitektur as</v>
      </c>
      <c r="Q276" s="102" t="str">
        <f>tbl_ConsultingCompanys!D276</f>
        <v>Jo Toftdal (byggmester)</v>
      </c>
      <c r="R276" s="102">
        <f>tbl_ConsultingCompanys!C276</f>
        <v>177643</v>
      </c>
      <c r="S276" s="102" t="str">
        <f t="shared" si="14"/>
        <v>Jo Toftdal (byggmester)</v>
      </c>
    </row>
    <row r="277" spans="11:19" x14ac:dyDescent="0.15">
      <c r="K277" s="102" t="str">
        <f>tbl_ArchitectureOffices!D277</f>
        <v>Kleihues+Schuwerk Gesellschaft von Architekten mbH</v>
      </c>
      <c r="L277" s="102">
        <f>tbl_ArchitectureOffices!C277</f>
        <v>245623</v>
      </c>
      <c r="M277" s="102" t="str">
        <f t="shared" si="12"/>
        <v>Kleihues+Schuwerk Gesellschaft von Architekten mbH</v>
      </c>
      <c r="N277" s="102" t="str">
        <f>tbl_Companys!D277</f>
        <v>DeltaTe (RIV)</v>
      </c>
      <c r="O277" s="102">
        <f>tbl_Companys!C277</f>
        <v>207494</v>
      </c>
      <c r="P277" s="102" t="str">
        <f t="shared" si="13"/>
        <v>DeltaTe (RIV)</v>
      </c>
      <c r="Q277" s="102" t="str">
        <f>tbl_ConsultingCompanys!D277</f>
        <v>Joachim Eble architektur</v>
      </c>
      <c r="R277" s="102">
        <f>tbl_ConsultingCompanys!C277</f>
        <v>207495</v>
      </c>
      <c r="S277" s="102" t="str">
        <f t="shared" si="14"/>
        <v>Joachim Eble architektur</v>
      </c>
    </row>
    <row r="278" spans="11:19" x14ac:dyDescent="0.15">
      <c r="K278" s="102" t="str">
        <f>tbl_ArchitectureOffices!D278</f>
        <v xml:space="preserve">Knudsen Arkitektkontor AS, Per </v>
      </c>
      <c r="L278" s="102">
        <f>tbl_ArchitectureOffices!C278</f>
        <v>171818</v>
      </c>
      <c r="M278" s="102" t="str">
        <f t="shared" si="12"/>
        <v>Knudsen Arkitektkontor AS, Per</v>
      </c>
      <c r="N278" s="102" t="str">
        <f>tbl_Companys!D278</f>
        <v>Deltatek AS</v>
      </c>
      <c r="O278" s="102">
        <f>tbl_Companys!C278</f>
        <v>202314</v>
      </c>
      <c r="P278" s="102" t="str">
        <f t="shared" si="13"/>
        <v>Deltatek AS</v>
      </c>
      <c r="Q278" s="102" t="str">
        <f>tbl_ConsultingCompanys!D278</f>
        <v>Johannes Lipphardt, Trondheim kommune</v>
      </c>
      <c r="R278" s="102">
        <f>tbl_ConsultingCompanys!C278</f>
        <v>232345</v>
      </c>
      <c r="S278" s="102" t="str">
        <f t="shared" si="14"/>
        <v>Johannes Lipphardt, Trondheim kommune</v>
      </c>
    </row>
    <row r="279" spans="11:19" x14ac:dyDescent="0.15">
      <c r="K279" s="102" t="str">
        <f>tbl_ArchitectureOffices!D279</f>
        <v xml:space="preserve">Knudtsen AS, Arkitekthuset </v>
      </c>
      <c r="L279" s="102">
        <f>tbl_ArchitectureOffices!C279</f>
        <v>171816</v>
      </c>
      <c r="M279" s="102" t="str">
        <f t="shared" si="12"/>
        <v>Knudtsen AS, Arkitekthuset</v>
      </c>
      <c r="N279" s="102" t="str">
        <f>tbl_Companys!D279</f>
        <v>Derlick arkitekter as</v>
      </c>
      <c r="O279" s="102">
        <f>tbl_Companys!C279</f>
        <v>166568</v>
      </c>
      <c r="P279" s="102" t="str">
        <f t="shared" si="13"/>
        <v>Derlick arkitekter as</v>
      </c>
      <c r="Q279" s="102" t="str">
        <f>tbl_ConsultingCompanys!D279</f>
        <v>Johs E. Øvsthus AS</v>
      </c>
      <c r="R279" s="102">
        <f>tbl_ConsultingCompanys!C279</f>
        <v>230174</v>
      </c>
      <c r="S279" s="102" t="str">
        <f t="shared" si="14"/>
        <v>Johs E. Øvsthus AS</v>
      </c>
    </row>
    <row r="280" spans="11:19" x14ac:dyDescent="0.15">
      <c r="K280" s="102" t="str">
        <f>tbl_ArchitectureOffices!D280</f>
        <v>Koda Arkitekter AS</v>
      </c>
      <c r="L280" s="102">
        <f>tbl_ArchitectureOffices!C280</f>
        <v>171813</v>
      </c>
      <c r="M280" s="102" t="str">
        <f t="shared" si="12"/>
        <v>Koda Arkitekter AS</v>
      </c>
      <c r="N280" s="102" t="str">
        <f>tbl_Companys!D280</f>
        <v>Dimensjon Rådgiving AS</v>
      </c>
      <c r="O280" s="102">
        <f>tbl_Companys!C280</f>
        <v>172754</v>
      </c>
      <c r="P280" s="102" t="str">
        <f t="shared" si="13"/>
        <v>Dimensjon Rådgiving AS</v>
      </c>
      <c r="Q280" s="102" t="str">
        <f>tbl_ConsultingCompanys!D280</f>
        <v>Jon Bojer Godal</v>
      </c>
      <c r="R280" s="102">
        <f>tbl_ConsultingCompanys!C280</f>
        <v>247287</v>
      </c>
      <c r="S280" s="102" t="str">
        <f t="shared" si="14"/>
        <v>Jon Bojer Godal</v>
      </c>
    </row>
    <row r="281" spans="11:19" x14ac:dyDescent="0.15">
      <c r="K281" s="102" t="str">
        <f>tbl_ArchitectureOffices!D281</f>
        <v>Kon-sul AS</v>
      </c>
      <c r="L281" s="102">
        <f>tbl_ArchitectureOffices!C281</f>
        <v>171785</v>
      </c>
      <c r="M281" s="102" t="str">
        <f t="shared" si="12"/>
        <v>Kon-sul AS</v>
      </c>
      <c r="N281" s="102" t="str">
        <f>tbl_Companys!D281</f>
        <v>div.A arkitekter</v>
      </c>
      <c r="O281" s="102">
        <f>tbl_Companys!C281</f>
        <v>166569</v>
      </c>
      <c r="P281" s="102" t="str">
        <f t="shared" si="13"/>
        <v>div.A arkitekter</v>
      </c>
      <c r="Q281" s="102" t="str">
        <f>tbl_ConsultingCompanys!D281</f>
        <v>Jorunn Sannes (kunstner, fasade)</v>
      </c>
      <c r="R281" s="102">
        <f>tbl_ConsultingCompanys!C281</f>
        <v>202820</v>
      </c>
      <c r="S281" s="102" t="str">
        <f t="shared" si="14"/>
        <v>Jorunn Sannes (kunstner, fasade)</v>
      </c>
    </row>
    <row r="282" spans="11:19" x14ac:dyDescent="0.15">
      <c r="K282" s="102" t="str">
        <f>tbl_ArchitectureOffices!D282</f>
        <v>Kosbergs Arkitektkontor AS</v>
      </c>
      <c r="L282" s="102">
        <f>tbl_ArchitectureOffices!C282</f>
        <v>171783</v>
      </c>
      <c r="M282" s="102" t="str">
        <f t="shared" si="12"/>
        <v>Kosbergs Arkitektkontor AS</v>
      </c>
      <c r="N282" s="102" t="str">
        <f>tbl_Companys!D282</f>
        <v>Djupevik Båtbyggeri AS (hovedkonstruksjon eik)</v>
      </c>
      <c r="O282" s="102">
        <f>tbl_Companys!C282</f>
        <v>162860</v>
      </c>
      <c r="P282" s="102" t="str">
        <f t="shared" si="13"/>
        <v>Djupevik Båtbyggeri AS (hovedkonstruksjon eik)</v>
      </c>
      <c r="Q282" s="102" t="str">
        <f>tbl_ConsultingCompanys!D282</f>
        <v>Jærbetong AS</v>
      </c>
      <c r="R282" s="102">
        <f>tbl_ConsultingCompanys!C282</f>
        <v>228972</v>
      </c>
      <c r="S282" s="102" t="str">
        <f t="shared" si="14"/>
        <v>Jærbetong AS</v>
      </c>
    </row>
    <row r="283" spans="11:19" x14ac:dyDescent="0.15">
      <c r="K283" s="102" t="str">
        <f>tbl_ArchitectureOffices!D283</f>
        <v>Kraft arkitektkontor as</v>
      </c>
      <c r="L283" s="102">
        <f>tbl_ArchitectureOffices!C283</f>
        <v>171782</v>
      </c>
      <c r="M283" s="102" t="str">
        <f t="shared" si="12"/>
        <v>Kraft arkitektkontor as</v>
      </c>
      <c r="N283" s="102" t="str">
        <f>tbl_Companys!D283</f>
        <v>DNF AS</v>
      </c>
      <c r="O283" s="102">
        <f>tbl_Companys!C283</f>
        <v>115447</v>
      </c>
      <c r="P283" s="102" t="str">
        <f t="shared" si="13"/>
        <v>DNF AS</v>
      </c>
      <c r="Q283" s="102" t="str">
        <f>tbl_ConsultingCompanys!D283</f>
        <v>K. Lund / ORAS</v>
      </c>
      <c r="R283" s="102">
        <f>tbl_ConsultingCompanys!C283</f>
        <v>98982</v>
      </c>
      <c r="S283" s="102" t="str">
        <f t="shared" si="14"/>
        <v>K. Lund / ORAS</v>
      </c>
    </row>
    <row r="284" spans="11:19" x14ac:dyDescent="0.15">
      <c r="K284" s="102" t="str">
        <f>tbl_ArchitectureOffices!D284</f>
        <v xml:space="preserve">Kristiansen &amp; Bernhardt Arkitekter MNAL NPA, AS </v>
      </c>
      <c r="L284" s="102">
        <f>tbl_ArchitectureOffices!C284</f>
        <v>171825</v>
      </c>
      <c r="M284" s="102" t="str">
        <f t="shared" si="12"/>
        <v>Kristiansen &amp; Bernhardt Arkitekter MNAL NPA, AS</v>
      </c>
      <c r="N284" s="102" t="str">
        <f>tbl_Companys!D284</f>
        <v>Dokken AS</v>
      </c>
      <c r="O284" s="102">
        <f>tbl_Companys!C284</f>
        <v>110473</v>
      </c>
      <c r="P284" s="102" t="str">
        <f t="shared" si="13"/>
        <v>Dokken AS</v>
      </c>
      <c r="Q284" s="102" t="str">
        <f>tbl_ConsultingCompanys!D284</f>
        <v>Kai Paulsen (Skanska AS)</v>
      </c>
      <c r="R284" s="102">
        <f>tbl_ConsultingCompanys!C284</f>
        <v>160688</v>
      </c>
      <c r="S284" s="102" t="str">
        <f t="shared" si="14"/>
        <v>Kai Paulsen (Skanska AS)</v>
      </c>
    </row>
    <row r="285" spans="11:19" x14ac:dyDescent="0.15">
      <c r="K285" s="102" t="str">
        <f>tbl_ArchitectureOffices!D285</f>
        <v>Kristiansen &amp; Selmer - Olsen AS</v>
      </c>
      <c r="L285" s="102">
        <f>tbl_ArchitectureOffices!C285</f>
        <v>173040</v>
      </c>
      <c r="M285" s="102" t="str">
        <f t="shared" si="12"/>
        <v>Kristiansen &amp; Selmer - Olsen AS</v>
      </c>
      <c r="N285" s="102" t="str">
        <f>tbl_Companys!D285</f>
        <v>Dr. techn. Kristoffer Apeland AS</v>
      </c>
      <c r="O285" s="102">
        <f>tbl_Companys!C285</f>
        <v>119829</v>
      </c>
      <c r="P285" s="102" t="str">
        <f t="shared" si="13"/>
        <v>Dr. techn. Kristoffer Apeland AS</v>
      </c>
      <c r="Q285" s="102" t="str">
        <f>tbl_ConsultingCompanys!D285</f>
        <v>Kanvas</v>
      </c>
      <c r="R285" s="102">
        <f>tbl_ConsultingCompanys!C285</f>
        <v>157879</v>
      </c>
      <c r="S285" s="102" t="str">
        <f t="shared" si="14"/>
        <v>Kanvas</v>
      </c>
    </row>
    <row r="286" spans="11:19" x14ac:dyDescent="0.15">
      <c r="K286" s="102" t="str">
        <f>tbl_ArchitectureOffices!D286</f>
        <v>Kritt Arkitekter AS</v>
      </c>
      <c r="L286" s="102">
        <f>tbl_ArchitectureOffices!C286</f>
        <v>171781</v>
      </c>
      <c r="M286" s="102" t="str">
        <f t="shared" si="12"/>
        <v>Kritt Arkitekter AS</v>
      </c>
      <c r="N286" s="102" t="str">
        <f>tbl_Companys!D286</f>
        <v>Drammen Eiendom KF</v>
      </c>
      <c r="O286" s="102">
        <f>tbl_Companys!C286</f>
        <v>204308</v>
      </c>
      <c r="P286" s="102" t="str">
        <f t="shared" si="13"/>
        <v>Drammen Eiendom KF</v>
      </c>
      <c r="Q286" s="102" t="str">
        <f>tbl_ConsultingCompanys!D286</f>
        <v>Kanvas v/ Lisbet Andresen</v>
      </c>
      <c r="R286" s="102">
        <f>tbl_ConsultingCompanys!C286</f>
        <v>157878</v>
      </c>
      <c r="S286" s="102" t="str">
        <f t="shared" si="14"/>
        <v>Kanvas v/ Lisbet Andresen</v>
      </c>
    </row>
    <row r="287" spans="11:19" x14ac:dyDescent="0.15">
      <c r="K287" s="102" t="str">
        <f>tbl_ArchitectureOffices!D287</f>
        <v xml:space="preserve">Krogness Arkitekt MNAL, Ole A. </v>
      </c>
      <c r="L287" s="102">
        <f>tbl_ArchitectureOffices!C287</f>
        <v>171780</v>
      </c>
      <c r="M287" s="102" t="str">
        <f t="shared" si="12"/>
        <v>Krogness Arkitekt MNAL, Ole A.</v>
      </c>
      <c r="N287" s="102" t="str">
        <f>tbl_Companys!D287</f>
        <v>Drammen kommune</v>
      </c>
      <c r="O287" s="102">
        <f>tbl_Companys!C287</f>
        <v>162580</v>
      </c>
      <c r="P287" s="102" t="str">
        <f t="shared" si="13"/>
        <v>Drammen kommune</v>
      </c>
      <c r="Q287" s="102" t="str">
        <f>tbl_ConsultingCompanys!D287</f>
        <v>Karl Kvalsund AS (RIE)</v>
      </c>
      <c r="R287" s="102">
        <f>tbl_ConsultingCompanys!C287</f>
        <v>205124</v>
      </c>
      <c r="S287" s="102" t="str">
        <f t="shared" si="14"/>
        <v>Karl Kvalsund AS (RIE)</v>
      </c>
    </row>
    <row r="288" spans="11:19" x14ac:dyDescent="0.15">
      <c r="K288" s="102" t="str">
        <f>tbl_ArchitectureOffices!D288</f>
        <v xml:space="preserve">Kronen AS sivilarkitekt MNAL, Bente </v>
      </c>
      <c r="L288" s="102">
        <f>tbl_ArchitectureOffices!C288</f>
        <v>172648</v>
      </c>
      <c r="M288" s="102" t="str">
        <f t="shared" si="12"/>
        <v>Kronen AS sivilarkitekt MNAL, Bente</v>
      </c>
      <c r="N288" s="102" t="str">
        <f>tbl_Companys!D288</f>
        <v>Drange Maskin AS</v>
      </c>
      <c r="O288" s="102">
        <f>tbl_Companys!C288</f>
        <v>248740</v>
      </c>
      <c r="P288" s="102" t="str">
        <f t="shared" si="13"/>
        <v>Drange Maskin AS</v>
      </c>
      <c r="Q288" s="102" t="str">
        <f>tbl_ConsultingCompanys!D288</f>
        <v>Karl Sæbjørn Kjøllesdal</v>
      </c>
      <c r="R288" s="102">
        <f>tbl_ConsultingCompanys!C288</f>
        <v>160592</v>
      </c>
      <c r="S288" s="102" t="str">
        <f t="shared" si="14"/>
        <v>Karl Sæbjørn Kjøllesdal</v>
      </c>
    </row>
    <row r="289" spans="11:19" x14ac:dyDescent="0.15">
      <c r="K289" s="102" t="str">
        <f>tbl_ArchitectureOffices!D289</f>
        <v>Kry sivilarkitekt mnal, Geir Cock</v>
      </c>
      <c r="L289" s="102">
        <f>tbl_ArchitectureOffices!C289</f>
        <v>171779</v>
      </c>
      <c r="M289" s="102" t="str">
        <f t="shared" si="12"/>
        <v>Kry sivilarkitekt mnal, Geir Cock</v>
      </c>
      <c r="N289" s="102" t="str">
        <f>tbl_Companys!D289</f>
        <v>dyAna GmbH (Tyskland)</v>
      </c>
      <c r="O289" s="102">
        <f>tbl_Companys!C289</f>
        <v>245788</v>
      </c>
      <c r="P289" s="102" t="str">
        <f t="shared" si="13"/>
        <v>dyAna GmbH (Tyskland)</v>
      </c>
      <c r="Q289" s="102" t="str">
        <f>tbl_ConsultingCompanys!D289</f>
        <v xml:space="preserve">Kilde Akustikk AS </v>
      </c>
      <c r="R289" s="102">
        <f>tbl_ConsultingCompanys!C289</f>
        <v>155178</v>
      </c>
      <c r="S289" s="102" t="str">
        <f t="shared" si="14"/>
        <v>Kilde Akustikk AS</v>
      </c>
    </row>
    <row r="290" spans="11:19" x14ac:dyDescent="0.15">
      <c r="K290" s="102" t="str">
        <f>tbl_ArchitectureOffices!D290</f>
        <v>Kuben Arkitektkontor</v>
      </c>
      <c r="L290" s="102">
        <f>tbl_ArchitectureOffices!C290</f>
        <v>243552</v>
      </c>
      <c r="M290" s="102" t="str">
        <f t="shared" si="12"/>
        <v>Kuben Arkitektkontor</v>
      </c>
      <c r="N290" s="102" t="str">
        <f>tbl_Companys!D290</f>
        <v>Dyrvik Arkitekter AS</v>
      </c>
      <c r="O290" s="102">
        <f>tbl_Companys!C290</f>
        <v>166570</v>
      </c>
      <c r="P290" s="102" t="str">
        <f t="shared" si="13"/>
        <v>Dyrvik Arkitekter AS</v>
      </c>
      <c r="Q290" s="102" t="str">
        <f>tbl_ConsultingCompanys!D290</f>
        <v>KILDE akustikk as (RIAKU)</v>
      </c>
      <c r="R290" s="102">
        <f>tbl_ConsultingCompanys!C290</f>
        <v>215429</v>
      </c>
      <c r="S290" s="102" t="str">
        <f t="shared" si="14"/>
        <v>KILDE akustikk as (RIAKU)</v>
      </c>
    </row>
    <row r="291" spans="11:19" x14ac:dyDescent="0.15">
      <c r="K291" s="102" t="str">
        <f>tbl_ArchitectureOffices!D291</f>
        <v xml:space="preserve">Kvadrat as, Arkitektkontoret </v>
      </c>
      <c r="L291" s="102">
        <f>tbl_ArchitectureOffices!C291</f>
        <v>171778</v>
      </c>
      <c r="M291" s="102" t="str">
        <f t="shared" si="12"/>
        <v>Kvadrat as, Arkitektkontoret</v>
      </c>
      <c r="N291" s="102" t="str">
        <f>tbl_Companys!D291</f>
        <v>ECT AS</v>
      </c>
      <c r="O291" s="102">
        <f>tbl_Companys!C291</f>
        <v>98463</v>
      </c>
      <c r="P291" s="102" t="str">
        <f t="shared" si="13"/>
        <v>ECT AS</v>
      </c>
      <c r="Q291" s="102" t="str">
        <f>tbl_ConsultingCompanys!D291</f>
        <v>Kjell Garshol AS, Bærum</v>
      </c>
      <c r="R291" s="102">
        <f>tbl_ConsultingCompanys!C291</f>
        <v>120019</v>
      </c>
      <c r="S291" s="102" t="str">
        <f t="shared" si="14"/>
        <v>Kjell Garshol AS, Bærum</v>
      </c>
    </row>
    <row r="292" spans="11:19" x14ac:dyDescent="0.15">
      <c r="K292" s="102" t="str">
        <f>tbl_ArchitectureOffices!D292</f>
        <v>Kvalvik &amp; Kaada Arkitekter AS</v>
      </c>
      <c r="L292" s="102">
        <f>tbl_ArchitectureOffices!C292</f>
        <v>216490</v>
      </c>
      <c r="M292" s="102" t="str">
        <f t="shared" si="12"/>
        <v>Kvalvik &amp; Kaada Arkitekter AS</v>
      </c>
      <c r="N292" s="102" t="str">
        <f>tbl_Companys!D292</f>
        <v>Eder Biesel Arkitekter</v>
      </c>
      <c r="O292" s="102">
        <f>tbl_Companys!C292</f>
        <v>247887</v>
      </c>
      <c r="P292" s="102" t="str">
        <f t="shared" si="13"/>
        <v>Eder Biesel Arkitekter</v>
      </c>
      <c r="Q292" s="102" t="str">
        <f>tbl_ConsultingCompanys!D292</f>
        <v>Kjell Ludvigsen (RIB)</v>
      </c>
      <c r="R292" s="102">
        <f>tbl_ConsultingCompanys!C292</f>
        <v>209555</v>
      </c>
      <c r="S292" s="102" t="str">
        <f t="shared" si="14"/>
        <v>Kjell Ludvigsen (RIB)</v>
      </c>
    </row>
    <row r="293" spans="11:19" x14ac:dyDescent="0.15">
      <c r="K293" s="102" t="str">
        <f>tbl_ArchitectureOffices!D293</f>
        <v>Kvam og Skjønsberg AS sivilarkitekter MNAL</v>
      </c>
      <c r="L293" s="102">
        <f>tbl_ArchitectureOffices!C293</f>
        <v>171777</v>
      </c>
      <c r="M293" s="102" t="str">
        <f t="shared" si="12"/>
        <v>Kvam og Skjønsberg AS sivilarkitekter MNAL</v>
      </c>
      <c r="N293" s="102" t="str">
        <f>tbl_Companys!D293</f>
        <v>Effecta</v>
      </c>
      <c r="O293" s="102">
        <f>tbl_Companys!C293</f>
        <v>181821</v>
      </c>
      <c r="P293" s="102" t="str">
        <f t="shared" si="13"/>
        <v>Effecta</v>
      </c>
      <c r="Q293" s="102" t="str">
        <f>tbl_ConsultingCompanys!D293</f>
        <v>Kjell Ludvigsen AS</v>
      </c>
      <c r="R293" s="102">
        <f>tbl_ConsultingCompanys!C293</f>
        <v>247748</v>
      </c>
      <c r="S293" s="102" t="str">
        <f t="shared" si="14"/>
        <v>Kjell Ludvigsen AS</v>
      </c>
    </row>
    <row r="294" spans="11:19" x14ac:dyDescent="0.15">
      <c r="K294" s="102" t="str">
        <f>tbl_ArchitectureOffices!D294</f>
        <v>Kvartal 19 Arkitektkontor AS</v>
      </c>
      <c r="L294" s="102">
        <f>tbl_ArchitectureOffices!C294</f>
        <v>215574</v>
      </c>
      <c r="M294" s="102" t="str">
        <f t="shared" si="12"/>
        <v>Kvartal 19 Arkitektkontor AS</v>
      </c>
      <c r="N294" s="102" t="str">
        <f>tbl_Companys!D294</f>
        <v>Egerhei AS</v>
      </c>
      <c r="O294" s="102">
        <f>tbl_Companys!C294</f>
        <v>103333</v>
      </c>
      <c r="P294" s="102" t="str">
        <f t="shared" si="13"/>
        <v>Egerhei AS</v>
      </c>
      <c r="Q294" s="102" t="str">
        <f>tbl_ConsultingCompanys!D294</f>
        <v>Kjell Sævik as</v>
      </c>
      <c r="R294" s="102">
        <f>tbl_ConsultingCompanys!C294</f>
        <v>215430</v>
      </c>
      <c r="S294" s="102" t="str">
        <f t="shared" si="14"/>
        <v>Kjell Sævik as</v>
      </c>
    </row>
    <row r="295" spans="11:19" x14ac:dyDescent="0.15">
      <c r="K295" s="102" t="str">
        <f>tbl_ArchitectureOffices!D295</f>
        <v>KVARTS arkitekter as</v>
      </c>
      <c r="L295" s="102">
        <f>tbl_ArchitectureOffices!C295</f>
        <v>249528</v>
      </c>
      <c r="M295" s="102" t="str">
        <f t="shared" si="12"/>
        <v>KVARTS arkitekter as</v>
      </c>
      <c r="N295" s="102" t="str">
        <f>tbl_Companys!D295</f>
        <v>Egersund Kommune</v>
      </c>
      <c r="O295" s="102">
        <f>tbl_Companys!C295</f>
        <v>158054</v>
      </c>
      <c r="P295" s="102" t="str">
        <f t="shared" si="13"/>
        <v>Egersund Kommune</v>
      </c>
      <c r="Q295" s="102" t="str">
        <f>tbl_ConsultingCompanys!D295</f>
        <v>Klepp installasjon AS</v>
      </c>
      <c r="R295" s="102">
        <f>tbl_ConsultingCompanys!C295</f>
        <v>163047</v>
      </c>
      <c r="S295" s="102" t="str">
        <f t="shared" si="14"/>
        <v>Klepp installasjon AS</v>
      </c>
    </row>
    <row r="296" spans="11:19" x14ac:dyDescent="0.15">
      <c r="K296" s="102" t="str">
        <f>tbl_ArchitectureOffices!D296</f>
        <v>Kvernaas Arkitekter A/S</v>
      </c>
      <c r="L296" s="102">
        <f>tbl_ArchitectureOffices!C296</f>
        <v>171773</v>
      </c>
      <c r="M296" s="102" t="str">
        <f t="shared" si="12"/>
        <v>Kvernaas Arkitekter A/S</v>
      </c>
      <c r="N296" s="102" t="str">
        <f>tbl_Companys!D296</f>
        <v>Egg arkitekter as</v>
      </c>
      <c r="O296" s="102">
        <f>tbl_Companys!C296</f>
        <v>246134</v>
      </c>
      <c r="P296" s="102" t="str">
        <f t="shared" si="13"/>
        <v>Egg arkitekter as</v>
      </c>
      <c r="Q296" s="102" t="str">
        <f>tbl_ConsultingCompanys!D296</f>
        <v>Klepp installasjon AS</v>
      </c>
      <c r="R296" s="102">
        <f>tbl_ConsultingCompanys!C296</f>
        <v>165638</v>
      </c>
      <c r="S296" s="102" t="str">
        <f t="shared" si="14"/>
        <v>Klepp installasjon AS</v>
      </c>
    </row>
    <row r="297" spans="11:19" x14ac:dyDescent="0.15">
      <c r="K297" s="102" t="str">
        <f>tbl_ArchitectureOffices!D297</f>
        <v>L.O.F. Arkitekter MNAL AS</v>
      </c>
      <c r="L297" s="102">
        <f>tbl_ArchitectureOffices!C297</f>
        <v>171724</v>
      </c>
      <c r="M297" s="102" t="str">
        <f t="shared" si="12"/>
        <v>L.O.F. Arkitekter MNAL AS</v>
      </c>
      <c r="N297" s="102" t="str">
        <f>tbl_Companys!D297</f>
        <v>Eggen Arkitekter AS</v>
      </c>
      <c r="O297" s="102">
        <f>tbl_Companys!C297</f>
        <v>166578</v>
      </c>
      <c r="P297" s="102" t="str">
        <f t="shared" si="13"/>
        <v>Eggen Arkitekter AS</v>
      </c>
      <c r="Q297" s="102" t="str">
        <f>tbl_ConsultingCompanys!D297</f>
        <v>Klepp kyrkjelege fellesråd</v>
      </c>
      <c r="R297" s="102">
        <f>tbl_ConsultingCompanys!C297</f>
        <v>228968</v>
      </c>
      <c r="S297" s="102" t="str">
        <f t="shared" si="14"/>
        <v>Klepp kyrkjelege fellesråd</v>
      </c>
    </row>
    <row r="298" spans="11:19" x14ac:dyDescent="0.15">
      <c r="K298" s="102" t="str">
        <f>tbl_ArchitectureOffices!D298</f>
        <v>L2 Arkitekter AS</v>
      </c>
      <c r="L298" s="102">
        <f>tbl_ArchitectureOffices!C298</f>
        <v>171719</v>
      </c>
      <c r="M298" s="102" t="str">
        <f t="shared" si="12"/>
        <v>L2 Arkitekter AS</v>
      </c>
      <c r="N298" s="102" t="str">
        <f>tbl_Companys!D298</f>
        <v xml:space="preserve">Eggen AS, Arkitektkontoret Arne </v>
      </c>
      <c r="O298" s="102">
        <f>tbl_Companys!C298</f>
        <v>166575</v>
      </c>
      <c r="P298" s="102" t="str">
        <f t="shared" si="13"/>
        <v>Eggen AS, Arkitektkontoret Arne</v>
      </c>
      <c r="Q298" s="102" t="str">
        <f>tbl_ConsultingCompanys!D298</f>
        <v>Klepphus AS</v>
      </c>
      <c r="R298" s="102">
        <f>tbl_ConsultingCompanys!C298</f>
        <v>158052</v>
      </c>
      <c r="S298" s="102" t="str">
        <f t="shared" si="14"/>
        <v>Klepphus AS</v>
      </c>
    </row>
    <row r="299" spans="11:19" x14ac:dyDescent="0.15">
      <c r="K299" s="102" t="str">
        <f>tbl_ArchitectureOffices!D299</f>
        <v>landsbyarkitektene as</v>
      </c>
      <c r="L299" s="102">
        <f>tbl_ArchitectureOffices!C299</f>
        <v>171734</v>
      </c>
      <c r="M299" s="102" t="str">
        <f t="shared" si="12"/>
        <v>landsbyarkitektene as</v>
      </c>
      <c r="N299" s="102" t="str">
        <f>tbl_Companys!D299</f>
        <v xml:space="preserve">Eggen Sivilarkitekt MNAL, Kjellaug Sandvik </v>
      </c>
      <c r="O299" s="102">
        <f>tbl_Companys!C299</f>
        <v>172605</v>
      </c>
      <c r="P299" s="102" t="str">
        <f t="shared" si="13"/>
        <v>Eggen Sivilarkitekt MNAL, Kjellaug Sandvik</v>
      </c>
      <c r="Q299" s="102" t="str">
        <f>tbl_ConsultingCompanys!D299</f>
        <v>Klimat Teknologi AB</v>
      </c>
      <c r="R299" s="102">
        <f>tbl_ConsultingCompanys!C299</f>
        <v>120058</v>
      </c>
      <c r="S299" s="102" t="str">
        <f t="shared" si="14"/>
        <v>Klimat Teknologi AB</v>
      </c>
    </row>
    <row r="300" spans="11:19" x14ac:dyDescent="0.15">
      <c r="K300" s="102" t="str">
        <f>tbl_ArchitectureOffices!D300</f>
        <v>Landskapsfabrikken</v>
      </c>
      <c r="L300" s="102">
        <f>tbl_ArchitectureOffices!C300</f>
        <v>243880</v>
      </c>
      <c r="M300" s="102" t="str">
        <f t="shared" si="12"/>
        <v>Landskapsfabrikken</v>
      </c>
      <c r="N300" s="102" t="str">
        <f>tbl_Companys!D300</f>
        <v>Egil Berge AS</v>
      </c>
      <c r="O300" s="102">
        <f>tbl_Companys!C300</f>
        <v>243867</v>
      </c>
      <c r="P300" s="102" t="str">
        <f t="shared" si="13"/>
        <v>Egil Berge AS</v>
      </c>
      <c r="Q300" s="102" t="str">
        <f>tbl_ConsultingCompanys!D300</f>
        <v>Klimatak YIT (RIV, RIE)</v>
      </c>
      <c r="R300" s="102">
        <f>tbl_ConsultingCompanys!C300</f>
        <v>158194</v>
      </c>
      <c r="S300" s="102" t="str">
        <f t="shared" si="14"/>
        <v>Klimatak YIT (RIV, RIE)</v>
      </c>
    </row>
    <row r="301" spans="11:19" x14ac:dyDescent="0.15">
      <c r="K301" s="102" t="str">
        <f>tbl_ArchitectureOffices!D301</f>
        <v xml:space="preserve">Larsson A/S, K.E. </v>
      </c>
      <c r="L301" s="102">
        <f>tbl_ArchitectureOffices!C301</f>
        <v>171733</v>
      </c>
      <c r="M301" s="102" t="str">
        <f t="shared" si="12"/>
        <v>Larsson A/S, K.E.</v>
      </c>
      <c r="N301" s="102" t="str">
        <f>tbl_Companys!D301</f>
        <v>Eide entreprenør AS (Årnes)</v>
      </c>
      <c r="O301" s="102">
        <f>tbl_Companys!C301</f>
        <v>216250</v>
      </c>
      <c r="P301" s="102" t="str">
        <f t="shared" si="13"/>
        <v>Eide entreprenør AS (Årnes)</v>
      </c>
      <c r="Q301" s="102" t="str">
        <f>tbl_ConsultingCompanys!D301</f>
        <v>KLP Eiendom</v>
      </c>
      <c r="R301" s="102">
        <f>tbl_ConsultingCompanys!C301</f>
        <v>208891</v>
      </c>
      <c r="S301" s="102" t="str">
        <f t="shared" si="14"/>
        <v>KLP Eiendom</v>
      </c>
    </row>
    <row r="302" spans="11:19" x14ac:dyDescent="0.15">
      <c r="K302" s="102" t="str">
        <f>tbl_ArchitectureOffices!D302</f>
        <v>Lead inc. as</v>
      </c>
      <c r="L302" s="102">
        <f>tbl_ArchitectureOffices!C302</f>
        <v>172586</v>
      </c>
      <c r="M302" s="102" t="str">
        <f t="shared" si="12"/>
        <v>Lead inc. as</v>
      </c>
      <c r="N302" s="102" t="str">
        <f>tbl_Companys!D302</f>
        <v xml:space="preserve">Eide og Haslestad A/S, Arkitektkontoret </v>
      </c>
      <c r="O302" s="102">
        <f>tbl_Companys!C302</f>
        <v>166630</v>
      </c>
      <c r="P302" s="102" t="str">
        <f t="shared" si="13"/>
        <v>Eide og Haslestad A/S, Arkitektkontoret</v>
      </c>
      <c r="Q302" s="102" t="str">
        <f>tbl_ConsultingCompanys!D302</f>
        <v>KN Kjøita AS (Egil Andre Jore)</v>
      </c>
      <c r="R302" s="102">
        <f>tbl_ConsultingCompanys!C302</f>
        <v>158191</v>
      </c>
      <c r="S302" s="102" t="str">
        <f t="shared" si="14"/>
        <v>KN Kjøita AS (Egil Andre Jore)</v>
      </c>
    </row>
    <row r="303" spans="11:19" x14ac:dyDescent="0.15">
      <c r="K303" s="102" t="str">
        <f>tbl_ArchitectureOffices!D303</f>
        <v>Lerche Arkitekter AS</v>
      </c>
      <c r="L303" s="102">
        <f>tbl_ArchitectureOffices!C303</f>
        <v>171732</v>
      </c>
      <c r="M303" s="102" t="str">
        <f t="shared" si="12"/>
        <v>Lerche Arkitekter AS</v>
      </c>
      <c r="N303" s="102" t="str">
        <f>tbl_Companys!D303</f>
        <v>Eiendomsprosjektering as</v>
      </c>
      <c r="O303" s="102">
        <f>tbl_Companys!C303</f>
        <v>247310</v>
      </c>
      <c r="P303" s="102" t="str">
        <f t="shared" si="13"/>
        <v>Eiendomsprosjektering as</v>
      </c>
      <c r="Q303" s="102" t="str">
        <f>tbl_ConsultingCompanys!D303</f>
        <v>Knut Skutle as</v>
      </c>
      <c r="R303" s="102">
        <f>tbl_ConsultingCompanys!C303</f>
        <v>112152</v>
      </c>
      <c r="S303" s="102" t="str">
        <f t="shared" si="14"/>
        <v>Knut Skutle as</v>
      </c>
    </row>
    <row r="304" spans="11:19" x14ac:dyDescent="0.15">
      <c r="K304" s="102" t="str">
        <f>tbl_ArchitectureOffices!D304</f>
        <v>Lerum Inc.</v>
      </c>
      <c r="L304" s="102">
        <f>tbl_ArchitectureOffices!C304</f>
        <v>171731</v>
      </c>
      <c r="M304" s="102" t="str">
        <f t="shared" si="12"/>
        <v>Lerum Inc.</v>
      </c>
      <c r="N304" s="102" t="str">
        <f>tbl_Companys!D304</f>
        <v>EIK arkitektur &amp; design as npa</v>
      </c>
      <c r="O304" s="102">
        <f>tbl_Companys!C304</f>
        <v>166632</v>
      </c>
      <c r="P304" s="102" t="str">
        <f t="shared" si="13"/>
        <v>EIK arkitektur &amp; design as npa</v>
      </c>
      <c r="Q304" s="102" t="str">
        <f>tbl_ConsultingCompanys!D304</f>
        <v>Knut Skutle AS</v>
      </c>
      <c r="R304" s="102">
        <f>tbl_ConsultingCompanys!C304</f>
        <v>155124</v>
      </c>
      <c r="S304" s="102" t="str">
        <f t="shared" si="14"/>
        <v>Knut Skutle AS</v>
      </c>
    </row>
    <row r="305" spans="11:19" x14ac:dyDescent="0.15">
      <c r="K305" s="102" t="str">
        <f>tbl_ArchitectureOffices!D305</f>
        <v>Lie Øyen arkitekter</v>
      </c>
      <c r="L305" s="102">
        <f>tbl_ArchitectureOffices!C305</f>
        <v>171730</v>
      </c>
      <c r="M305" s="102" t="str">
        <f t="shared" si="12"/>
        <v>Lie Øyen arkitekter</v>
      </c>
      <c r="N305" s="102" t="str">
        <f>tbl_Companys!D305</f>
        <v>Ekrheim Elconsult AS</v>
      </c>
      <c r="O305" s="102">
        <f>tbl_Companys!C305</f>
        <v>162871</v>
      </c>
      <c r="P305" s="102" t="str">
        <f t="shared" si="13"/>
        <v>Ekrheim Elconsult AS</v>
      </c>
      <c r="Q305" s="102" t="str">
        <f>tbl_ConsultingCompanys!D305</f>
        <v>Knut Skutle AS</v>
      </c>
      <c r="R305" s="102">
        <f>tbl_ConsultingCompanys!C305</f>
        <v>155180</v>
      </c>
      <c r="S305" s="102" t="str">
        <f t="shared" si="14"/>
        <v>Knut Skutle AS</v>
      </c>
    </row>
    <row r="306" spans="11:19" x14ac:dyDescent="0.15">
      <c r="K306" s="102" t="str">
        <f>tbl_ArchitectureOffices!D306</f>
        <v>lille frøen as, Arkitektgruppen</v>
      </c>
      <c r="L306" s="102">
        <f>tbl_ArchitectureOffices!C306</f>
        <v>166500</v>
      </c>
      <c r="M306" s="102" t="str">
        <f t="shared" si="12"/>
        <v>lille frøen as, Arkitektgruppen</v>
      </c>
      <c r="N306" s="102" t="str">
        <f>tbl_Companys!D306</f>
        <v>El miljø AS</v>
      </c>
      <c r="O306" s="102">
        <f>tbl_Companys!C306</f>
        <v>244638</v>
      </c>
      <c r="P306" s="102" t="str">
        <f t="shared" si="13"/>
        <v>El miljø AS</v>
      </c>
      <c r="Q306" s="102" t="str">
        <f>tbl_ConsultingCompanys!D306</f>
        <v>Kolberg ventilasjon (RIV)</v>
      </c>
      <c r="R306" s="102">
        <f>tbl_ConsultingCompanys!C306</f>
        <v>214147</v>
      </c>
      <c r="S306" s="102" t="str">
        <f t="shared" si="14"/>
        <v>Kolberg ventilasjon (RIV)</v>
      </c>
    </row>
    <row r="307" spans="11:19" x14ac:dyDescent="0.15">
      <c r="K307" s="102" t="str">
        <f>tbl_ArchitectureOffices!D307</f>
        <v>Lillestrøm Arkitektkontor AS</v>
      </c>
      <c r="L307" s="102">
        <f>tbl_ArchitectureOffices!C307</f>
        <v>172661</v>
      </c>
      <c r="M307" s="102" t="str">
        <f t="shared" si="12"/>
        <v>Lillestrøm Arkitektkontor AS</v>
      </c>
      <c r="N307" s="102" t="str">
        <f>tbl_Companys!D307</f>
        <v xml:space="preserve">Elconsultteam AS </v>
      </c>
      <c r="O307" s="102">
        <f>tbl_Companys!C307</f>
        <v>103275</v>
      </c>
      <c r="P307" s="102" t="str">
        <f t="shared" si="13"/>
        <v>Elconsultteam AS</v>
      </c>
      <c r="Q307" s="102" t="str">
        <f>tbl_ConsultingCompanys!D307</f>
        <v>Kolnes maskin</v>
      </c>
      <c r="R307" s="102">
        <f>tbl_ConsultingCompanys!C307</f>
        <v>163151</v>
      </c>
      <c r="S307" s="102" t="str">
        <f t="shared" si="14"/>
        <v>Kolnes maskin</v>
      </c>
    </row>
    <row r="308" spans="11:19" x14ac:dyDescent="0.15">
      <c r="K308" s="102" t="str">
        <f>tbl_ArchitectureOffices!D308</f>
        <v>Linberg &amp; Simmons</v>
      </c>
      <c r="L308" s="102">
        <f>tbl_ArchitectureOffices!C308</f>
        <v>171729</v>
      </c>
      <c r="M308" s="102" t="str">
        <f t="shared" si="12"/>
        <v>Linberg &amp; Simmons</v>
      </c>
      <c r="N308" s="102" t="str">
        <f>tbl_Companys!D308</f>
        <v>Elconsultteam Sør</v>
      </c>
      <c r="O308" s="102">
        <f>tbl_Companys!C308</f>
        <v>217000</v>
      </c>
      <c r="P308" s="102" t="str">
        <f t="shared" si="13"/>
        <v>Elconsultteam Sør</v>
      </c>
      <c r="Q308" s="102" t="str">
        <f>tbl_ConsultingCompanys!D308</f>
        <v>Kolnes Maskin</v>
      </c>
      <c r="R308" s="102">
        <f>tbl_ConsultingCompanys!C308</f>
        <v>165636</v>
      </c>
      <c r="S308" s="102" t="str">
        <f t="shared" si="14"/>
        <v>Kolnes Maskin</v>
      </c>
    </row>
    <row r="309" spans="11:19" x14ac:dyDescent="0.15">
      <c r="K309" s="102" t="str">
        <f>tbl_ArchitectureOffices!D309</f>
        <v xml:space="preserve">Lindstrøm, Sivilarkitekt Inga </v>
      </c>
      <c r="L309" s="102">
        <f>tbl_ArchitectureOffices!C309</f>
        <v>171728</v>
      </c>
      <c r="M309" s="102" t="str">
        <f t="shared" si="12"/>
        <v>Lindstrøm, Sivilarkitekt Inga</v>
      </c>
      <c r="N309" s="102" t="str">
        <f>tbl_Companys!D309</f>
        <v>Elconsultteam sør (RIE)</v>
      </c>
      <c r="O309" s="102">
        <f>tbl_Companys!C309</f>
        <v>216998</v>
      </c>
      <c r="P309" s="102" t="str">
        <f t="shared" si="13"/>
        <v>Elconsultteam sør (RIE)</v>
      </c>
      <c r="Q309" s="102" t="str">
        <f>tbl_ConsultingCompanys!D309</f>
        <v>Kolnes Maskin AS</v>
      </c>
      <c r="R309" s="102">
        <f>tbl_ConsultingCompanys!C309</f>
        <v>163048</v>
      </c>
      <c r="S309" s="102" t="str">
        <f t="shared" si="14"/>
        <v>Kolnes Maskin AS</v>
      </c>
    </row>
    <row r="310" spans="11:19" x14ac:dyDescent="0.15">
      <c r="K310" s="102" t="str">
        <f>tbl_ArchitectureOffices!D310</f>
        <v>Linje arkitektur as</v>
      </c>
      <c r="L310" s="102">
        <f>tbl_ArchitectureOffices!C310</f>
        <v>171727</v>
      </c>
      <c r="M310" s="102" t="str">
        <f t="shared" si="12"/>
        <v>Linje arkitektur as</v>
      </c>
      <c r="N310" s="102" t="str">
        <f>tbl_Companys!D310</f>
        <v>Electronova as</v>
      </c>
      <c r="O310" s="102">
        <f>tbl_Companys!C310</f>
        <v>247311</v>
      </c>
      <c r="P310" s="102" t="str">
        <f t="shared" si="13"/>
        <v>Electronova as</v>
      </c>
      <c r="Q310" s="102" t="str">
        <f>tbl_ConsultingCompanys!D310</f>
        <v>Kongsvinger kommune og Hedmark fylkeskommune</v>
      </c>
      <c r="R310" s="102">
        <f>tbl_ConsultingCompanys!C310</f>
        <v>214729</v>
      </c>
      <c r="S310" s="102" t="str">
        <f t="shared" si="14"/>
        <v>Kongsvinger kommune og Hedmark fylkeskommune</v>
      </c>
    </row>
    <row r="311" spans="11:19" x14ac:dyDescent="0.15">
      <c r="K311" s="102" t="str">
        <f>tbl_ArchitectureOffices!D311</f>
        <v>Link Arkitektur AS</v>
      </c>
      <c r="L311" s="102">
        <f>tbl_ArchitectureOffices!C311</f>
        <v>171726</v>
      </c>
      <c r="M311" s="102" t="str">
        <f t="shared" si="12"/>
        <v>Link Arkitektur AS</v>
      </c>
      <c r="N311" s="102" t="str">
        <f>tbl_Companys!D311</f>
        <v>Elektro Nord AS</v>
      </c>
      <c r="O311" s="102">
        <f>tbl_Companys!C311</f>
        <v>247733</v>
      </c>
      <c r="P311" s="102" t="str">
        <f t="shared" si="13"/>
        <v>Elektro Nord AS</v>
      </c>
      <c r="Q311" s="102" t="str">
        <f>tbl_ConsultingCompanys!D311</f>
        <v>Konsulentfirma</v>
      </c>
      <c r="R311" s="102">
        <f>tbl_ConsultingCompanys!C311</f>
        <v>232347</v>
      </c>
      <c r="S311" s="102" t="str">
        <f t="shared" si="14"/>
        <v>Konsulentfirma</v>
      </c>
    </row>
    <row r="312" spans="11:19" x14ac:dyDescent="0.15">
      <c r="K312" s="102" t="str">
        <f>tbl_ArchitectureOffices!D312</f>
        <v>Link Signatur</v>
      </c>
      <c r="L312" s="102">
        <f>tbl_ArchitectureOffices!C312</f>
        <v>230069</v>
      </c>
      <c r="M312" s="102" t="str">
        <f t="shared" si="12"/>
        <v>Link Signatur</v>
      </c>
      <c r="N312" s="102" t="str">
        <f>tbl_Companys!D312</f>
        <v>Elektroeksperten AS</v>
      </c>
      <c r="O312" s="102">
        <f>tbl_Companys!C312</f>
        <v>246980</v>
      </c>
      <c r="P312" s="102" t="str">
        <f t="shared" si="13"/>
        <v>Elektroeksperten AS</v>
      </c>
      <c r="Q312" s="102" t="str">
        <f>tbl_ConsultingCompanys!D312</f>
        <v>Konsulentfirma</v>
      </c>
      <c r="R312" s="102">
        <f>tbl_ConsultingCompanys!C312</f>
        <v>232348</v>
      </c>
      <c r="S312" s="102" t="str">
        <f t="shared" si="14"/>
        <v>Konsulentfirma</v>
      </c>
    </row>
    <row r="313" spans="11:19" x14ac:dyDescent="0.15">
      <c r="K313" s="102" t="str">
        <f>tbl_ArchitectureOffices!D313</f>
        <v>Liten Skala AS</v>
      </c>
      <c r="L313" s="102">
        <f>tbl_ArchitectureOffices!C313</f>
        <v>241582</v>
      </c>
      <c r="M313" s="102" t="str">
        <f t="shared" si="12"/>
        <v>Liten Skala AS</v>
      </c>
      <c r="N313" s="102" t="str">
        <f>tbl_Companys!D313</f>
        <v>Elektroteam AS (RIE)</v>
      </c>
      <c r="O313" s="102">
        <f>tbl_Companys!C313</f>
        <v>218403</v>
      </c>
      <c r="P313" s="102" t="str">
        <f t="shared" si="13"/>
        <v>Elektroteam AS (RIE)</v>
      </c>
      <c r="Q313" s="102" t="str">
        <f>tbl_ConsultingCompanys!D313</f>
        <v>Konsulentfirma</v>
      </c>
      <c r="R313" s="102">
        <f>tbl_ConsultingCompanys!C313</f>
        <v>232357</v>
      </c>
      <c r="S313" s="102" t="str">
        <f t="shared" si="14"/>
        <v>Konsulentfirma</v>
      </c>
    </row>
    <row r="314" spans="11:19" x14ac:dyDescent="0.15">
      <c r="K314" s="102" t="str">
        <f>tbl_ArchitectureOffices!D314</f>
        <v>LMR arkitektur as</v>
      </c>
      <c r="L314" s="102">
        <f>tbl_ArchitectureOffices!C314</f>
        <v>171725</v>
      </c>
      <c r="M314" s="102" t="str">
        <f t="shared" si="12"/>
        <v>LMR arkitektur as</v>
      </c>
      <c r="N314" s="102" t="str">
        <f>tbl_Companys!D314</f>
        <v>Element arkitekter as</v>
      </c>
      <c r="O314" s="102">
        <f>tbl_Companys!C314</f>
        <v>166635</v>
      </c>
      <c r="P314" s="102" t="str">
        <f t="shared" si="13"/>
        <v>Element arkitekter as</v>
      </c>
      <c r="Q314" s="102" t="str">
        <f>tbl_ConsultingCompanys!D314</f>
        <v>Konsulentfirma</v>
      </c>
      <c r="R314" s="102">
        <f>tbl_ConsultingCompanys!C314</f>
        <v>247568</v>
      </c>
      <c r="S314" s="102" t="str">
        <f t="shared" si="14"/>
        <v>Konsulentfirma</v>
      </c>
    </row>
    <row r="315" spans="11:19" x14ac:dyDescent="0.15">
      <c r="K315" s="102" t="str">
        <f>tbl_ArchitectureOffices!D315</f>
        <v>Logg arkitektur as</v>
      </c>
      <c r="L315" s="102">
        <f>tbl_ArchitectureOffices!C315</f>
        <v>171723</v>
      </c>
      <c r="M315" s="102" t="str">
        <f t="shared" si="12"/>
        <v>Logg arkitektur as</v>
      </c>
      <c r="N315" s="102" t="str">
        <f>tbl_Companys!D315</f>
        <v>Elfrida Bull Bene AS, Arkitektstudio</v>
      </c>
      <c r="O315" s="102">
        <f>tbl_Companys!C315</f>
        <v>166530</v>
      </c>
      <c r="P315" s="102" t="str">
        <f t="shared" si="13"/>
        <v>Elfrida Bull Bene AS, Arkitektstudio</v>
      </c>
      <c r="Q315" s="102" t="str">
        <f>tbl_ConsultingCompanys!D315</f>
        <v>Konsulentfirma</v>
      </c>
      <c r="R315" s="102">
        <f>tbl_ConsultingCompanys!C315</f>
        <v>247574</v>
      </c>
      <c r="S315" s="102" t="str">
        <f t="shared" si="14"/>
        <v>Konsulentfirma</v>
      </c>
    </row>
    <row r="316" spans="11:19" x14ac:dyDescent="0.15">
      <c r="K316" s="102" t="str">
        <f>tbl_ArchitectureOffices!D316</f>
        <v>Longva Arkitekter AS</v>
      </c>
      <c r="L316" s="102">
        <f>tbl_ArchitectureOffices!C316</f>
        <v>171722</v>
      </c>
      <c r="M316" s="102" t="str">
        <f t="shared" si="12"/>
        <v>Longva Arkitekter AS</v>
      </c>
      <c r="N316" s="102" t="str">
        <f>tbl_Companys!D316</f>
        <v>Eliassen og Lambertz-Nilssen Arkitekter AS</v>
      </c>
      <c r="O316" s="102">
        <f>tbl_Companys!C316</f>
        <v>166636</v>
      </c>
      <c r="P316" s="102" t="str">
        <f t="shared" si="13"/>
        <v>Eliassen og Lambertz-Nilssen Arkitekter AS</v>
      </c>
      <c r="Q316" s="102" t="str">
        <f>tbl_ConsultingCompanys!D316</f>
        <v>Konsulentfirma</v>
      </c>
      <c r="R316" s="102">
        <f>tbl_ConsultingCompanys!C316</f>
        <v>247576</v>
      </c>
      <c r="S316" s="102" t="str">
        <f t="shared" si="14"/>
        <v>Konsulentfirma</v>
      </c>
    </row>
    <row r="317" spans="11:19" x14ac:dyDescent="0.15">
      <c r="K317" s="102" t="str">
        <f>tbl_ArchitectureOffices!D317</f>
        <v>Lorentz Kielland arkitekter as</v>
      </c>
      <c r="L317" s="102">
        <f>tbl_ArchitectureOffices!C317</f>
        <v>202237</v>
      </c>
      <c r="M317" s="102" t="str">
        <f t="shared" si="12"/>
        <v>Lorentz Kielland arkitekter as</v>
      </c>
      <c r="N317" s="102" t="str">
        <f>tbl_Companys!D317</f>
        <v>Elisabeth Ekjord AS</v>
      </c>
      <c r="O317" s="102">
        <f>tbl_Companys!C317</f>
        <v>166633</v>
      </c>
      <c r="P317" s="102" t="str">
        <f t="shared" si="13"/>
        <v>Elisabeth Ekjord AS</v>
      </c>
      <c r="Q317" s="102" t="str">
        <f>tbl_ConsultingCompanys!D317</f>
        <v>Konsulentfirma</v>
      </c>
      <c r="R317" s="102">
        <f>tbl_ConsultingCompanys!C317</f>
        <v>247580</v>
      </c>
      <c r="S317" s="102" t="str">
        <f t="shared" si="14"/>
        <v>Konsulentfirma</v>
      </c>
    </row>
    <row r="318" spans="11:19" x14ac:dyDescent="0.15">
      <c r="K318" s="102" t="str">
        <f>tbl_ArchitectureOffices!D318</f>
        <v>Lou</v>
      </c>
      <c r="L318" s="102">
        <f>tbl_ArchitectureOffices!C318</f>
        <v>171721</v>
      </c>
      <c r="M318" s="102" t="str">
        <f t="shared" si="12"/>
        <v>Lou</v>
      </c>
      <c r="N318" s="102" t="str">
        <f>tbl_Companys!D318</f>
        <v>Elnan</v>
      </c>
      <c r="O318" s="102">
        <f>tbl_Companys!C318</f>
        <v>164722</v>
      </c>
      <c r="P318" s="102" t="str">
        <f t="shared" si="13"/>
        <v>Elnan</v>
      </c>
      <c r="Q318" s="102" t="str">
        <f>tbl_ConsultingCompanys!D318</f>
        <v>Konsulentfirma</v>
      </c>
      <c r="R318" s="102">
        <f>tbl_ConsultingCompanys!C318</f>
        <v>247581</v>
      </c>
      <c r="S318" s="102" t="str">
        <f t="shared" si="14"/>
        <v>Konsulentfirma</v>
      </c>
    </row>
    <row r="319" spans="11:19" x14ac:dyDescent="0.15">
      <c r="K319" s="102" t="str">
        <f>tbl_ArchitectureOffices!D319</f>
        <v>LPO arkitekter</v>
      </c>
      <c r="L319" s="102">
        <f>tbl_ArchitectureOffices!C319</f>
        <v>171720</v>
      </c>
      <c r="M319" s="102" t="str">
        <f t="shared" si="12"/>
        <v>LPO arkitekter</v>
      </c>
      <c r="N319" s="102" t="str">
        <f>tbl_Companys!D319</f>
        <v>ELNAN AS</v>
      </c>
      <c r="O319" s="102">
        <f>tbl_Companys!C319</f>
        <v>98985</v>
      </c>
      <c r="P319" s="102" t="str">
        <f t="shared" si="13"/>
        <v>ELNAN AS</v>
      </c>
      <c r="Q319" s="102" t="str">
        <f>tbl_ConsultingCompanys!D319</f>
        <v>Konsulentfirma</v>
      </c>
      <c r="R319" s="102">
        <f>tbl_ConsultingCompanys!C319</f>
        <v>248370</v>
      </c>
      <c r="S319" s="102" t="str">
        <f t="shared" si="14"/>
        <v>Konsulentfirma</v>
      </c>
    </row>
    <row r="320" spans="11:19" x14ac:dyDescent="0.15">
      <c r="K320" s="102" t="str">
        <f>tbl_ArchitectureOffices!D320</f>
        <v>Lund &amp; partnere</v>
      </c>
      <c r="L320" s="102">
        <f>tbl_ArchitectureOffices!C320</f>
        <v>171718</v>
      </c>
      <c r="M320" s="102" t="str">
        <f t="shared" si="12"/>
        <v>Lund &amp; partnere</v>
      </c>
      <c r="N320" s="102" t="str">
        <f>tbl_Companys!D320</f>
        <v>Elnan AS</v>
      </c>
      <c r="O320" s="102">
        <f>tbl_Companys!C320</f>
        <v>111928</v>
      </c>
      <c r="P320" s="102" t="str">
        <f t="shared" si="13"/>
        <v>Elnan AS</v>
      </c>
      <c r="Q320" s="102" t="str">
        <f>tbl_ConsultingCompanys!D320</f>
        <v>Konsulentfirma</v>
      </c>
      <c r="R320" s="102">
        <f>tbl_ConsultingCompanys!C320</f>
        <v>249382</v>
      </c>
      <c r="S320" s="102" t="str">
        <f t="shared" si="14"/>
        <v>Konsulentfirma</v>
      </c>
    </row>
    <row r="321" spans="11:19" x14ac:dyDescent="0.15">
      <c r="K321" s="102" t="str">
        <f>tbl_ArchitectureOffices!D321</f>
        <v>Lund &amp; Slaatto Arkitekter AS</v>
      </c>
      <c r="L321" s="102">
        <f>tbl_ArchitectureOffices!C321</f>
        <v>171713</v>
      </c>
      <c r="M321" s="102" t="str">
        <f t="shared" si="12"/>
        <v>Lund &amp; Slaatto Arkitekter AS</v>
      </c>
      <c r="N321" s="102" t="str">
        <f>tbl_Companys!D321</f>
        <v>Elplan AS</v>
      </c>
      <c r="O321" s="102">
        <f>tbl_Companys!C321</f>
        <v>178153</v>
      </c>
      <c r="P321" s="102" t="str">
        <f t="shared" si="13"/>
        <v>Elplan AS</v>
      </c>
      <c r="Q321" s="102" t="str">
        <f>tbl_ConsultingCompanys!D321</f>
        <v>Konsulentfirmaet i trondheim på kantstein</v>
      </c>
      <c r="R321" s="102">
        <f>tbl_ConsultingCompanys!C321</f>
        <v>212106</v>
      </c>
      <c r="S321" s="102" t="str">
        <f t="shared" si="14"/>
        <v>Konsulentfirmaet i trondheim på kantstein</v>
      </c>
    </row>
    <row r="322" spans="11:19" x14ac:dyDescent="0.15">
      <c r="K322" s="102" t="str">
        <f>tbl_ArchitectureOffices!D322</f>
        <v xml:space="preserve">Lund A/S, Sivilarkitekt E. Broder </v>
      </c>
      <c r="L322" s="102">
        <f>tbl_ArchitectureOffices!C322</f>
        <v>171717</v>
      </c>
      <c r="M322" s="102" t="str">
        <f t="shared" si="12"/>
        <v>Lund A/S, Sivilarkitekt E. Broder</v>
      </c>
      <c r="N322" s="102" t="str">
        <f>tbl_Companys!D322</f>
        <v>El-prosjekt</v>
      </c>
      <c r="O322" s="102">
        <f>tbl_Companys!C322</f>
        <v>121315</v>
      </c>
      <c r="P322" s="102" t="str">
        <f t="shared" si="13"/>
        <v>El-prosjekt</v>
      </c>
      <c r="Q322" s="102" t="str">
        <f>tbl_ConsultingCompanys!D322</f>
        <v>Krisesenteret i Telemark</v>
      </c>
      <c r="R322" s="102">
        <f>tbl_ConsultingCompanys!C322</f>
        <v>217042</v>
      </c>
      <c r="S322" s="102" t="str">
        <f t="shared" si="14"/>
        <v>Krisesenteret i Telemark</v>
      </c>
    </row>
    <row r="323" spans="11:19" x14ac:dyDescent="0.15">
      <c r="K323" s="102" t="str">
        <f>tbl_ArchitectureOffices!D323</f>
        <v>Lund Hagem Arkitekter AS</v>
      </c>
      <c r="L323" s="102">
        <f>tbl_ArchitectureOffices!C323</f>
        <v>171715</v>
      </c>
      <c r="M323" s="102" t="str">
        <f t="shared" ref="M323:M386" si="15">IFERROR(REPLACE(K323,FIND(" ",K323,LEN(K323)),1,""),K323)</f>
        <v>Lund Hagem Arkitekter AS</v>
      </c>
      <c r="N323" s="102" t="str">
        <f>tbl_Companys!D323</f>
        <v>Else Dahlseng Arkitekter AS</v>
      </c>
      <c r="O323" s="102">
        <f>tbl_Companys!C323</f>
        <v>166573</v>
      </c>
      <c r="P323" s="102" t="str">
        <f t="shared" ref="P323:P386" si="16">IFERROR(REPLACE(N323,FIND(" ",N323,LEN(N323)),1,""),N323)</f>
        <v>Else Dahlseng Arkitekter AS</v>
      </c>
      <c r="Q323" s="102" t="str">
        <f>tbl_ConsultingCompanys!D323</f>
        <v>Kristian Fadum AS</v>
      </c>
      <c r="R323" s="102">
        <f>tbl_ConsultingCompanys!C323</f>
        <v>112307</v>
      </c>
      <c r="S323" s="102" t="str">
        <f t="shared" ref="S323:S386" si="17">IFERROR(REPLACE(Q323,FIND(" ",Q323,LEN(Q323)),1,""),Q323)</f>
        <v>Kristian Fadum AS</v>
      </c>
    </row>
    <row r="324" spans="11:19" x14ac:dyDescent="0.15">
      <c r="K324" s="102" t="str">
        <f>tbl_ArchitectureOffices!D324</f>
        <v xml:space="preserve">Lund MNAL, Sivilarkitekt Svein Erik </v>
      </c>
      <c r="L324" s="102">
        <f>tbl_ArchitectureOffices!C324</f>
        <v>171716</v>
      </c>
      <c r="M324" s="102" t="str">
        <f t="shared" si="15"/>
        <v>Lund MNAL, Sivilarkitekt Svein Erik</v>
      </c>
      <c r="N324" s="102" t="str">
        <f>tbl_Companys!D324</f>
        <v xml:space="preserve">Elverland arkitekt MNAL, Hanne </v>
      </c>
      <c r="O324" s="102">
        <f>tbl_Companys!C324</f>
        <v>166640</v>
      </c>
      <c r="P324" s="102" t="str">
        <f t="shared" si="16"/>
        <v>Elverland arkitekt MNAL, Hanne</v>
      </c>
      <c r="Q324" s="102" t="str">
        <f>tbl_ConsultingCompanys!D324</f>
        <v>Kristiansand kommune</v>
      </c>
      <c r="R324" s="102">
        <f>tbl_ConsultingCompanys!C324</f>
        <v>157560</v>
      </c>
      <c r="S324" s="102" t="str">
        <f t="shared" si="17"/>
        <v>Kristiansand kommune</v>
      </c>
    </row>
    <row r="325" spans="11:19" x14ac:dyDescent="0.15">
      <c r="K325" s="102" t="str">
        <f>tbl_ArchitectureOffices!D325</f>
        <v xml:space="preserve">Lund-Johnsen sivilarkitekt MNAL, Roar </v>
      </c>
      <c r="L325" s="102">
        <f>tbl_ArchitectureOffices!C325</f>
        <v>171714</v>
      </c>
      <c r="M325" s="102" t="str">
        <f t="shared" si="15"/>
        <v>Lund-Johnsen sivilarkitekt MNAL, Roar</v>
      </c>
      <c r="N325" s="102" t="str">
        <f>tbl_Companys!D325</f>
        <v>EM teknikk AS</v>
      </c>
      <c r="O325" s="102">
        <f>tbl_Companys!C325</f>
        <v>120245</v>
      </c>
      <c r="P325" s="102" t="str">
        <f t="shared" si="16"/>
        <v>EM teknikk AS</v>
      </c>
      <c r="Q325" s="102" t="str">
        <f>tbl_ConsultingCompanys!D325</f>
        <v>Kristiansand kommune</v>
      </c>
      <c r="R325" s="102">
        <f>tbl_ConsultingCompanys!C325</f>
        <v>157561</v>
      </c>
      <c r="S325" s="102" t="str">
        <f t="shared" si="17"/>
        <v>Kristiansand kommune</v>
      </c>
    </row>
    <row r="326" spans="11:19" x14ac:dyDescent="0.15">
      <c r="K326" s="102" t="str">
        <f>tbl_ArchitectureOffices!D326</f>
        <v>Lusparken Arkitekter AS</v>
      </c>
      <c r="L326" s="102">
        <f>tbl_ArchitectureOffices!C326</f>
        <v>171712</v>
      </c>
      <c r="M326" s="102" t="str">
        <f t="shared" si="15"/>
        <v>Lusparken Arkitekter AS</v>
      </c>
      <c r="N326" s="102" t="str">
        <f>tbl_Companys!D326</f>
        <v>EMA AS</v>
      </c>
      <c r="O326" s="102">
        <f>tbl_Companys!C326</f>
        <v>202453</v>
      </c>
      <c r="P326" s="102" t="str">
        <f t="shared" si="16"/>
        <v>EMA AS</v>
      </c>
      <c r="Q326" s="102" t="str">
        <f>tbl_ConsultingCompanys!D326</f>
        <v>Kristiansand kommune v/Kristiansand Eiendom</v>
      </c>
      <c r="R326" s="102">
        <f>tbl_ConsultingCompanys!C326</f>
        <v>216994</v>
      </c>
      <c r="S326" s="102" t="str">
        <f t="shared" si="17"/>
        <v>Kristiansand kommune v/Kristiansand Eiendom</v>
      </c>
    </row>
    <row r="327" spans="11:19" x14ac:dyDescent="0.15">
      <c r="K327" s="102" t="str">
        <f>tbl_ArchitectureOffices!D327</f>
        <v>Ly Arkitekter AS</v>
      </c>
      <c r="L327" s="102">
        <f>tbl_ArchitectureOffices!C327</f>
        <v>171711</v>
      </c>
      <c r="M327" s="102" t="str">
        <f t="shared" si="15"/>
        <v>Ly Arkitekter AS</v>
      </c>
      <c r="N327" s="102" t="str">
        <f>tbl_Companys!D327</f>
        <v>Endre Tvinnereim</v>
      </c>
      <c r="O327" s="102">
        <f>tbl_Companys!C327</f>
        <v>232981</v>
      </c>
      <c r="P327" s="102" t="str">
        <f t="shared" si="16"/>
        <v>Endre Tvinnereim</v>
      </c>
      <c r="Q327" s="102" t="str">
        <f>tbl_ConsultingCompanys!D327</f>
        <v>KRS-gruppen</v>
      </c>
      <c r="R327" s="102">
        <f>tbl_ConsultingCompanys!C327</f>
        <v>103160</v>
      </c>
      <c r="S327" s="102" t="str">
        <f t="shared" si="17"/>
        <v>KRS-gruppen</v>
      </c>
    </row>
    <row r="328" spans="11:19" x14ac:dyDescent="0.15">
      <c r="K328" s="102" t="str">
        <f>tbl_ArchitectureOffices!D328</f>
        <v>Lys og Mørk arkitektur og design</v>
      </c>
      <c r="L328" s="102">
        <f>tbl_ArchitectureOffices!C328</f>
        <v>171710</v>
      </c>
      <c r="M328" s="102" t="str">
        <f t="shared" si="15"/>
        <v>Lys og Mørk arkitektur og design</v>
      </c>
      <c r="N328" s="102" t="str">
        <f>tbl_Companys!D328</f>
        <v>Energetica</v>
      </c>
      <c r="O328" s="102">
        <f>tbl_Companys!C328</f>
        <v>235785</v>
      </c>
      <c r="P328" s="102" t="str">
        <f t="shared" si="16"/>
        <v>Energetica</v>
      </c>
      <c r="Q328" s="102" t="str">
        <f>tbl_ConsultingCompanys!D328</f>
        <v>Kruse Smith (Arvid Fredriksen)</v>
      </c>
      <c r="R328" s="102">
        <f>tbl_ConsultingCompanys!C328</f>
        <v>158200</v>
      </c>
      <c r="S328" s="102" t="str">
        <f t="shared" si="17"/>
        <v>Kruse Smith (Arvid Fredriksen)</v>
      </c>
    </row>
    <row r="329" spans="11:19" x14ac:dyDescent="0.15">
      <c r="K329" s="102" t="str">
        <f>tbl_ArchitectureOffices!D329</f>
        <v>Løvetanna Landskap AS</v>
      </c>
      <c r="L329" s="102">
        <f>tbl_ArchitectureOffices!C329</f>
        <v>231819</v>
      </c>
      <c r="M329" s="102" t="str">
        <f t="shared" si="15"/>
        <v>Løvetanna Landskap AS</v>
      </c>
      <c r="N329" s="102" t="str">
        <f>tbl_Companys!D329</f>
        <v>Enerhaugen Arkitektkontor AS</v>
      </c>
      <c r="O329" s="102">
        <f>tbl_Companys!C329</f>
        <v>166641</v>
      </c>
      <c r="P329" s="102" t="str">
        <f t="shared" si="16"/>
        <v>Enerhaugen Arkitektkontor AS</v>
      </c>
      <c r="Q329" s="102" t="str">
        <f>tbl_ConsultingCompanys!D329</f>
        <v>Kruse Smith (Hans Ragnar Uthus)</v>
      </c>
      <c r="R329" s="102">
        <f>tbl_ConsultingCompanys!C329</f>
        <v>155932</v>
      </c>
      <c r="S329" s="102" t="str">
        <f t="shared" si="17"/>
        <v>Kruse Smith (Hans Ragnar Uthus)</v>
      </c>
    </row>
    <row r="330" spans="11:19" x14ac:dyDescent="0.15">
      <c r="K330" s="102" t="str">
        <f>tbl_ArchitectureOffices!D330</f>
        <v>Løvseth + partners</v>
      </c>
      <c r="L330" s="102">
        <f>tbl_ArchitectureOffices!C330</f>
        <v>219318</v>
      </c>
      <c r="M330" s="102" t="str">
        <f t="shared" si="15"/>
        <v>Løvseth + partners</v>
      </c>
      <c r="N330" s="102" t="str">
        <f>tbl_Companys!D330</f>
        <v xml:space="preserve">Engelbrektson, Sivilarkitekt MNAL Richard </v>
      </c>
      <c r="O330" s="102">
        <f>tbl_Companys!C330</f>
        <v>172790</v>
      </c>
      <c r="P330" s="102" t="str">
        <f t="shared" si="16"/>
        <v>Engelbrektson, Sivilarkitekt MNAL Richard</v>
      </c>
      <c r="Q330" s="102" t="str">
        <f>tbl_ConsultingCompanys!D330</f>
        <v>Kruse Smith Entreprenør AS</v>
      </c>
      <c r="R330" s="102">
        <f>tbl_ConsultingCompanys!C330</f>
        <v>155929</v>
      </c>
      <c r="S330" s="102" t="str">
        <f t="shared" si="17"/>
        <v>Kruse Smith Entreprenør AS</v>
      </c>
    </row>
    <row r="331" spans="11:19" x14ac:dyDescent="0.15">
      <c r="K331" s="102" t="str">
        <f>tbl_ArchitectureOffices!D331</f>
        <v xml:space="preserve">Løvseth arkitektkontor as, Morten </v>
      </c>
      <c r="L331" s="102">
        <f>tbl_ArchitectureOffices!C331</f>
        <v>171709</v>
      </c>
      <c r="M331" s="102" t="str">
        <f t="shared" si="15"/>
        <v>Løvseth arkitektkontor as, Morten</v>
      </c>
      <c r="N331" s="102" t="str">
        <f>tbl_Companys!D331</f>
        <v>Entra Eiendom AS</v>
      </c>
      <c r="O331" s="102">
        <f>tbl_Companys!C331</f>
        <v>223036</v>
      </c>
      <c r="P331" s="102" t="str">
        <f t="shared" si="16"/>
        <v>Entra Eiendom AS</v>
      </c>
      <c r="Q331" s="102" t="str">
        <f>tbl_ConsultingCompanys!D331</f>
        <v>Landskapsentreprenørene AS</v>
      </c>
      <c r="R331" s="102">
        <f>tbl_ConsultingCompanys!C331</f>
        <v>214836</v>
      </c>
      <c r="S331" s="102" t="str">
        <f t="shared" si="17"/>
        <v>Landskapsentreprenørene AS</v>
      </c>
    </row>
    <row r="332" spans="11:19" x14ac:dyDescent="0.15">
      <c r="K332" s="102" t="str">
        <f>tbl_ArchitectureOffices!D332</f>
        <v>Mad as</v>
      </c>
      <c r="L332" s="102">
        <f>tbl_ArchitectureOffices!C332</f>
        <v>171704</v>
      </c>
      <c r="M332" s="102" t="str">
        <f t="shared" si="15"/>
        <v>Mad as</v>
      </c>
      <c r="N332" s="102" t="str">
        <f>tbl_Companys!D332</f>
        <v>Entreprenør Magnar Sivertsen as (grunn og betong)</v>
      </c>
      <c r="O332" s="102">
        <f>tbl_Companys!C332</f>
        <v>215431</v>
      </c>
      <c r="P332" s="102" t="str">
        <f t="shared" si="16"/>
        <v>Entreprenør Magnar Sivertsen as (grunn og betong)</v>
      </c>
      <c r="Q332" s="102" t="str">
        <f>tbl_ConsultingCompanys!D332</f>
        <v>Lars Myhre AS</v>
      </c>
      <c r="R332" s="102">
        <f>tbl_ConsultingCompanys!C332</f>
        <v>243866</v>
      </c>
      <c r="S332" s="102" t="str">
        <f t="shared" si="17"/>
        <v>Lars Myhre AS</v>
      </c>
    </row>
    <row r="333" spans="11:19" x14ac:dyDescent="0.15">
      <c r="K333" s="102" t="str">
        <f>tbl_ArchitectureOffices!D333</f>
        <v>Madsø Sveen arkitekter AS</v>
      </c>
      <c r="L333" s="102">
        <f>tbl_ArchitectureOffices!C333</f>
        <v>172655</v>
      </c>
      <c r="M333" s="102" t="str">
        <f t="shared" si="15"/>
        <v>Madsø Sveen arkitekter AS</v>
      </c>
      <c r="N333" s="102" t="str">
        <f>tbl_Companys!D333</f>
        <v>Entro nova AS</v>
      </c>
      <c r="O333" s="102">
        <f>tbl_Companys!C333</f>
        <v>121244</v>
      </c>
      <c r="P333" s="102" t="str">
        <f t="shared" si="16"/>
        <v>Entro nova AS</v>
      </c>
      <c r="Q333" s="102" t="str">
        <f>tbl_ConsultingCompanys!D333</f>
        <v>Lars Myhre Østfold AS (RIV)</v>
      </c>
      <c r="R333" s="102">
        <f>tbl_ConsultingCompanys!C333</f>
        <v>215015</v>
      </c>
      <c r="S333" s="102" t="str">
        <f t="shared" si="17"/>
        <v>Lars Myhre Østfold AS (RIV)</v>
      </c>
    </row>
    <row r="334" spans="11:19" x14ac:dyDescent="0.15">
      <c r="K334" s="102" t="str">
        <f>tbl_ArchitectureOffices!D334</f>
        <v xml:space="preserve">Magnus, Arkitektfirma Jens </v>
      </c>
      <c r="L334" s="102">
        <f>tbl_ArchitectureOffices!C334</f>
        <v>171703</v>
      </c>
      <c r="M334" s="102" t="str">
        <f t="shared" si="15"/>
        <v>Magnus, Arkitektfirma Jens</v>
      </c>
      <c r="N334" s="102" t="str">
        <f>tbl_Companys!D334</f>
        <v>Enøk-senteret AS</v>
      </c>
      <c r="O334" s="102">
        <f>tbl_Companys!C334</f>
        <v>205125</v>
      </c>
      <c r="P334" s="102" t="str">
        <f t="shared" si="16"/>
        <v>Enøk-senteret AS</v>
      </c>
      <c r="Q334" s="102" t="str">
        <f>tbl_ConsultingCompanys!D334</f>
        <v>Lars og Marit Nilssen</v>
      </c>
      <c r="R334" s="102">
        <f>tbl_ConsultingCompanys!C334</f>
        <v>160593</v>
      </c>
      <c r="S334" s="102" t="str">
        <f t="shared" si="17"/>
        <v>Lars og Marit Nilssen</v>
      </c>
    </row>
    <row r="335" spans="11:19" x14ac:dyDescent="0.15">
      <c r="K335" s="102" t="str">
        <f>tbl_ArchitectureOffices!D335</f>
        <v>Make Arkitekter AS</v>
      </c>
      <c r="L335" s="102">
        <f>tbl_ArchitectureOffices!C335</f>
        <v>171702</v>
      </c>
      <c r="M335" s="102" t="str">
        <f t="shared" si="15"/>
        <v>Make Arkitekter AS</v>
      </c>
      <c r="N335" s="102" t="str">
        <f>tbl_Companys!D335</f>
        <v>Erichsen &amp; Horgen AS</v>
      </c>
      <c r="O335" s="102">
        <f>tbl_Companys!C335</f>
        <v>98872</v>
      </c>
      <c r="P335" s="102" t="str">
        <f t="shared" si="16"/>
        <v>Erichsen &amp; Horgen AS</v>
      </c>
      <c r="Q335" s="102" t="str">
        <f>tbl_ConsultingCompanys!D335</f>
        <v>Larsen Entreprenør AS</v>
      </c>
      <c r="R335" s="102">
        <f>tbl_ConsultingCompanys!C335</f>
        <v>178588</v>
      </c>
      <c r="S335" s="102" t="str">
        <f t="shared" si="17"/>
        <v>Larsen Entreprenør AS</v>
      </c>
    </row>
    <row r="336" spans="11:19" x14ac:dyDescent="0.15">
      <c r="K336" s="102" t="str">
        <f>tbl_ArchitectureOffices!D336</f>
        <v xml:space="preserve">Malde mnal, Sivilarkitekt Paal </v>
      </c>
      <c r="L336" s="102">
        <f>tbl_ArchitectureOffices!C336</f>
        <v>185841</v>
      </c>
      <c r="M336" s="102" t="str">
        <f t="shared" si="15"/>
        <v>Malde mnal, Sivilarkitekt Paal</v>
      </c>
      <c r="N336" s="102" t="str">
        <f>tbl_Companys!D336</f>
        <v>Erik Møller arkitekter</v>
      </c>
      <c r="O336" s="102">
        <f>tbl_Companys!C336</f>
        <v>228640</v>
      </c>
      <c r="P336" s="102" t="str">
        <f t="shared" si="16"/>
        <v>Erik Møller arkitekter</v>
      </c>
      <c r="Q336" s="102" t="str">
        <f>tbl_ConsultingCompanys!D336</f>
        <v>Lervike AS</v>
      </c>
      <c r="R336" s="102">
        <f>tbl_ConsultingCompanys!C336</f>
        <v>247289</v>
      </c>
      <c r="S336" s="102" t="str">
        <f t="shared" si="17"/>
        <v>Lervike AS</v>
      </c>
    </row>
    <row r="337" spans="11:19" x14ac:dyDescent="0.15">
      <c r="K337" s="102" t="str">
        <f>tbl_ArchitectureOffices!D337</f>
        <v xml:space="preserve">Malmquist sivilarkitekt MNAL MArch, E.B. </v>
      </c>
      <c r="L337" s="102">
        <f>tbl_ArchitectureOffices!C337</f>
        <v>171701</v>
      </c>
      <c r="M337" s="102" t="str">
        <f t="shared" si="15"/>
        <v>Malmquist sivilarkitekt MNAL MArch, E.B.</v>
      </c>
      <c r="N337" s="102" t="str">
        <f>tbl_Companys!D337</f>
        <v>Eriksen og Thorsvik AS (bygg)</v>
      </c>
      <c r="O337" s="102">
        <f>tbl_Companys!C337</f>
        <v>218404</v>
      </c>
      <c r="P337" s="102" t="str">
        <f t="shared" si="16"/>
        <v>Eriksen og Thorsvik AS (bygg)</v>
      </c>
      <c r="Q337" s="102" t="str">
        <f>tbl_ConsultingCompanys!D337</f>
        <v>LH Bygg Berkåk og Stjern Entreprenør AS Åfjord (Kysthus)</v>
      </c>
      <c r="R337" s="102">
        <f>tbl_ConsultingCompanys!C337</f>
        <v>230108</v>
      </c>
      <c r="S337" s="102" t="str">
        <f t="shared" si="17"/>
        <v>LH Bygg Berkåk og Stjern Entreprenør AS Åfjord (Kysthus)</v>
      </c>
    </row>
    <row r="338" spans="11:19" x14ac:dyDescent="0.15">
      <c r="K338" s="102" t="str">
        <f>tbl_ArchitectureOffices!D338</f>
        <v>Mandrup Arkitektur &amp; Design as</v>
      </c>
      <c r="L338" s="102">
        <f>tbl_ArchitectureOffices!C338</f>
        <v>171700</v>
      </c>
      <c r="M338" s="102" t="str">
        <f t="shared" si="15"/>
        <v>Mandrup Arkitektur &amp; Design as</v>
      </c>
      <c r="N338" s="102" t="str">
        <f>tbl_Companys!D338</f>
        <v>Eriksen Skajaa Arkitekter</v>
      </c>
      <c r="O338" s="102">
        <f>tbl_Companys!C338</f>
        <v>207043</v>
      </c>
      <c r="P338" s="102" t="str">
        <f t="shared" si="16"/>
        <v>Eriksen Skajaa Arkitekter</v>
      </c>
      <c r="Q338" s="102" t="str">
        <f>tbl_ConsultingCompanys!D338</f>
        <v>Lian AS</v>
      </c>
      <c r="R338" s="102">
        <f>tbl_ConsultingCompanys!C338</f>
        <v>202456</v>
      </c>
      <c r="S338" s="102" t="str">
        <f t="shared" si="17"/>
        <v>Lian AS</v>
      </c>
    </row>
    <row r="339" spans="11:19" x14ac:dyDescent="0.15">
      <c r="K339" s="102" t="str">
        <f>tbl_ArchitectureOffices!D339</f>
        <v>Map Arkitekter AS</v>
      </c>
      <c r="L339" s="102">
        <f>tbl_ArchitectureOffices!C339</f>
        <v>171699</v>
      </c>
      <c r="M339" s="102" t="str">
        <f t="shared" si="15"/>
        <v>Map Arkitekter AS</v>
      </c>
      <c r="N339" s="102" t="str">
        <f>tbl_Companys!D339</f>
        <v>Erstad &amp; Lekven Bergen as</v>
      </c>
      <c r="O339" s="102">
        <f>tbl_Companys!C339</f>
        <v>224140</v>
      </c>
      <c r="P339" s="102" t="str">
        <f t="shared" si="16"/>
        <v>Erstad &amp; Lekven Bergen as</v>
      </c>
      <c r="Q339" s="102" t="str">
        <f>tbl_ConsultingCompanys!D339</f>
        <v>Lundenes as/ AS Anlegg</v>
      </c>
      <c r="R339" s="102">
        <f>tbl_ConsultingCompanys!C339</f>
        <v>103472</v>
      </c>
      <c r="S339" s="102" t="str">
        <f t="shared" si="17"/>
        <v>Lundenes as/ AS Anlegg</v>
      </c>
    </row>
    <row r="340" spans="11:19" x14ac:dyDescent="0.15">
      <c r="K340" s="102" t="str">
        <f>tbl_ArchitectureOffices!D340</f>
        <v>Marianne Laa</v>
      </c>
      <c r="L340" s="102">
        <f>tbl_ArchitectureOffices!C340</f>
        <v>245540</v>
      </c>
      <c r="M340" s="102" t="str">
        <f t="shared" si="15"/>
        <v>Marianne Laa</v>
      </c>
      <c r="N340" s="102" t="str">
        <f>tbl_Companys!D340</f>
        <v>Erstad &amp; Lekven Oslo AS</v>
      </c>
      <c r="O340" s="102">
        <f>tbl_Companys!C340</f>
        <v>243696</v>
      </c>
      <c r="P340" s="102" t="str">
        <f t="shared" si="16"/>
        <v>Erstad &amp; Lekven Oslo AS</v>
      </c>
      <c r="Q340" s="102" t="str">
        <f>tbl_ConsultingCompanys!D340</f>
        <v>Lux Brannteknologi AS</v>
      </c>
      <c r="R340" s="102">
        <f>tbl_ConsultingCompanys!C340</f>
        <v>243668</v>
      </c>
      <c r="S340" s="102" t="str">
        <f t="shared" si="17"/>
        <v>Lux Brannteknologi AS</v>
      </c>
    </row>
    <row r="341" spans="11:19" x14ac:dyDescent="0.15">
      <c r="K341" s="102" t="str">
        <f>tbl_ArchitectureOffices!D341</f>
        <v>Marlow - Ramfelt A38 arkitektur og design as</v>
      </c>
      <c r="L341" s="102">
        <f>tbl_ArchitectureOffices!C341</f>
        <v>181036</v>
      </c>
      <c r="M341" s="102" t="str">
        <f t="shared" si="15"/>
        <v>Marlow - Ramfelt A38 arkitektur og design as</v>
      </c>
      <c r="N341" s="102" t="str">
        <f>tbl_Companys!D341</f>
        <v>Esbensen Rådgivende Ingeniører AS</v>
      </c>
      <c r="O341" s="102">
        <f>tbl_Companys!C341</f>
        <v>202457</v>
      </c>
      <c r="P341" s="102" t="str">
        <f t="shared" si="16"/>
        <v>Esbensen Rådgivende Ingeniører AS</v>
      </c>
      <c r="Q341" s="102" t="str">
        <f>tbl_ConsultingCompanys!D341</f>
        <v>Lys og Varme AS</v>
      </c>
      <c r="R341" s="102">
        <f>tbl_ConsultingCompanys!C341</f>
        <v>246739</v>
      </c>
      <c r="S341" s="102" t="str">
        <f t="shared" si="17"/>
        <v>Lys og Varme AS</v>
      </c>
    </row>
    <row r="342" spans="11:19" x14ac:dyDescent="0.15">
      <c r="K342" s="102" t="str">
        <f>tbl_ArchitectureOffices!D342</f>
        <v>Martens Sivilarkitekt, Trond</v>
      </c>
      <c r="L342" s="102">
        <f>tbl_ArchitectureOffices!C342</f>
        <v>172881</v>
      </c>
      <c r="M342" s="102" t="str">
        <f t="shared" si="15"/>
        <v>Martens Sivilarkitekt, Trond</v>
      </c>
      <c r="N342" s="102" t="str">
        <f>tbl_Companys!D342</f>
        <v>Espen Handegård sivilarkitekt MNAL</v>
      </c>
      <c r="O342" s="102">
        <f>tbl_Companys!C342</f>
        <v>209987</v>
      </c>
      <c r="P342" s="102" t="str">
        <f t="shared" si="16"/>
        <v>Espen Handegård sivilarkitekt MNAL</v>
      </c>
      <c r="Q342" s="102" t="str">
        <f>tbl_ConsultingCompanys!D342</f>
        <v>Lyse AS (energi)</v>
      </c>
      <c r="R342" s="102">
        <f>tbl_ConsultingCompanys!C342</f>
        <v>162882</v>
      </c>
      <c r="S342" s="102" t="str">
        <f t="shared" si="17"/>
        <v>Lyse AS (energi)</v>
      </c>
    </row>
    <row r="343" spans="11:19" x14ac:dyDescent="0.15">
      <c r="K343" s="102" t="str">
        <f>tbl_ArchitectureOffices!D343</f>
        <v>Medplan as Arkitekter</v>
      </c>
      <c r="L343" s="102">
        <f>tbl_ArchitectureOffices!C343</f>
        <v>171697</v>
      </c>
      <c r="M343" s="102" t="str">
        <f t="shared" si="15"/>
        <v>Medplan as Arkitekter</v>
      </c>
      <c r="N343" s="102" t="str">
        <f>tbl_Companys!D343</f>
        <v>eStatikk</v>
      </c>
      <c r="O343" s="102">
        <f>tbl_Companys!C343</f>
        <v>245833</v>
      </c>
      <c r="P343" s="102" t="str">
        <f t="shared" si="16"/>
        <v>eStatikk</v>
      </c>
      <c r="Q343" s="102" t="str">
        <f>tbl_ConsultingCompanys!D343</f>
        <v>Løvik K A A/S</v>
      </c>
      <c r="R343" s="102">
        <f>tbl_ConsultingCompanys!C343</f>
        <v>157871</v>
      </c>
      <c r="S343" s="102" t="str">
        <f t="shared" si="17"/>
        <v>Løvik K A A/S</v>
      </c>
    </row>
    <row r="344" spans="11:19" x14ac:dyDescent="0.15">
      <c r="K344" s="102" t="str">
        <f>tbl_ArchitectureOffices!D344</f>
        <v>Meinich Arkitekter AS</v>
      </c>
      <c r="L344" s="102">
        <f>tbl_ArchitectureOffices!C344</f>
        <v>178890</v>
      </c>
      <c r="M344" s="102" t="str">
        <f t="shared" si="15"/>
        <v>Meinich Arkitekter AS</v>
      </c>
      <c r="N344" s="102" t="str">
        <f>tbl_Companys!D344</f>
        <v>Eva Solheim sivilarkitekt MNAL</v>
      </c>
      <c r="O344" s="102">
        <f>tbl_Companys!C344</f>
        <v>249559</v>
      </c>
      <c r="P344" s="102" t="str">
        <f t="shared" si="16"/>
        <v>Eva Solheim sivilarkitekt MNAL</v>
      </c>
      <c r="Q344" s="102" t="str">
        <f>tbl_ConsultingCompanys!D344</f>
        <v>Løvold AS</v>
      </c>
      <c r="R344" s="102">
        <f>tbl_ConsultingCompanys!C344</f>
        <v>121071</v>
      </c>
      <c r="S344" s="102" t="str">
        <f t="shared" si="17"/>
        <v>Løvold AS</v>
      </c>
    </row>
    <row r="345" spans="11:19" x14ac:dyDescent="0.15">
      <c r="K345" s="102" t="str">
        <f>tbl_ArchitectureOffices!D345</f>
        <v>MEK Architects (Madrid)</v>
      </c>
      <c r="L345" s="102">
        <f>tbl_ArchitectureOffices!C345</f>
        <v>243120</v>
      </c>
      <c r="M345" s="102" t="str">
        <f t="shared" si="15"/>
        <v>MEK Architects (Madrid)</v>
      </c>
      <c r="N345" s="102" t="str">
        <f>tbl_Companys!D345</f>
        <v>Evotek AS</v>
      </c>
      <c r="O345" s="102">
        <f>tbl_Companys!C345</f>
        <v>98464</v>
      </c>
      <c r="P345" s="102" t="str">
        <f t="shared" si="16"/>
        <v>Evotek AS</v>
      </c>
      <c r="Q345" s="102" t="str">
        <f>tbl_ConsultingCompanys!D345</f>
        <v>Løyning AS</v>
      </c>
      <c r="R345" s="102">
        <f>tbl_ConsultingCompanys!C345</f>
        <v>103327</v>
      </c>
      <c r="S345" s="102" t="str">
        <f t="shared" si="17"/>
        <v>Løyning AS</v>
      </c>
    </row>
    <row r="346" spans="11:19" x14ac:dyDescent="0.15">
      <c r="K346" s="102" t="str">
        <f>tbl_ArchitectureOffices!D346</f>
        <v>Mellbye Arkitekter AS</v>
      </c>
      <c r="L346" s="102">
        <f>tbl_ArchitectureOffices!C346</f>
        <v>171695</v>
      </c>
      <c r="M346" s="102" t="str">
        <f t="shared" si="15"/>
        <v>Mellbye Arkitekter AS</v>
      </c>
      <c r="N346" s="102" t="str">
        <f>tbl_Companys!D346</f>
        <v>F S Platou</v>
      </c>
      <c r="O346" s="102">
        <f>tbl_Companys!C346</f>
        <v>235806</v>
      </c>
      <c r="P346" s="102" t="str">
        <f t="shared" si="16"/>
        <v>F S Platou</v>
      </c>
      <c r="Q346" s="102" t="str">
        <f>tbl_ConsultingCompanys!D346</f>
        <v>Malermester Per Johannesen AS</v>
      </c>
      <c r="R346" s="102">
        <f>tbl_ConsultingCompanys!C346</f>
        <v>157875</v>
      </c>
      <c r="S346" s="102" t="str">
        <f t="shared" si="17"/>
        <v>Malermester Per Johannesen AS</v>
      </c>
    </row>
    <row r="347" spans="11:19" x14ac:dyDescent="0.15">
      <c r="K347" s="102" t="str">
        <f>tbl_ArchitectureOffices!D347</f>
        <v>Metamorphosis</v>
      </c>
      <c r="L347" s="102">
        <f>tbl_ArchitectureOffices!C347</f>
        <v>205444</v>
      </c>
      <c r="M347" s="102" t="str">
        <f t="shared" si="15"/>
        <v>Metamorphosis</v>
      </c>
      <c r="N347" s="102" t="str">
        <f>tbl_Companys!D347</f>
        <v>F. Stensrud AS</v>
      </c>
      <c r="O347" s="102">
        <f>tbl_Companys!C347</f>
        <v>228141</v>
      </c>
      <c r="P347" s="102" t="str">
        <f t="shared" si="16"/>
        <v>F. Stensrud AS</v>
      </c>
      <c r="Q347" s="102" t="str">
        <f>tbl_ConsultingCompanys!D347</f>
        <v>Malnes og Endresen AS</v>
      </c>
      <c r="R347" s="102">
        <f>tbl_ConsultingCompanys!C347</f>
        <v>228643</v>
      </c>
      <c r="S347" s="102" t="str">
        <f t="shared" si="17"/>
        <v>Malnes og Endresen AS</v>
      </c>
    </row>
    <row r="348" spans="11:19" x14ac:dyDescent="0.15">
      <c r="K348" s="102" t="str">
        <f>tbl_ArchitectureOffices!D348</f>
        <v>Meter Arkitektur AS</v>
      </c>
      <c r="L348" s="102">
        <f>tbl_ArchitectureOffices!C348</f>
        <v>171694</v>
      </c>
      <c r="M348" s="102" t="str">
        <f t="shared" si="15"/>
        <v>Meter Arkitektur AS</v>
      </c>
      <c r="N348" s="102" t="str">
        <f>tbl_Companys!D348</f>
        <v>Faber bygg AS</v>
      </c>
      <c r="O348" s="102">
        <f>tbl_Companys!C348</f>
        <v>245789</v>
      </c>
      <c r="P348" s="102" t="str">
        <f t="shared" si="16"/>
        <v>Faber bygg AS</v>
      </c>
      <c r="Q348" s="102" t="str">
        <f>tbl_ConsultingCompanys!D348</f>
        <v>Malvin L. Hillestad</v>
      </c>
      <c r="R348" s="102">
        <f>tbl_ConsultingCompanys!C348</f>
        <v>192375</v>
      </c>
      <c r="S348" s="102" t="str">
        <f t="shared" si="17"/>
        <v>Malvin L. Hillestad</v>
      </c>
    </row>
    <row r="349" spans="11:19" x14ac:dyDescent="0.15">
      <c r="K349" s="102" t="str">
        <f>tbl_ArchitectureOffices!D349</f>
        <v>Metropolitan Workshop LLP</v>
      </c>
      <c r="L349" s="102">
        <f>tbl_ArchitectureOffices!C349</f>
        <v>171692</v>
      </c>
      <c r="M349" s="102" t="str">
        <f t="shared" si="15"/>
        <v>Metropolitan Workshop LLP</v>
      </c>
      <c r="N349" s="102" t="str">
        <f>tbl_Companys!D349</f>
        <v>Fagerborg menighet</v>
      </c>
      <c r="O349" s="102">
        <f>tbl_Companys!C349</f>
        <v>243665</v>
      </c>
      <c r="P349" s="102" t="str">
        <f t="shared" si="16"/>
        <v>Fagerborg menighet</v>
      </c>
      <c r="Q349" s="102" t="str">
        <f>tbl_ConsultingCompanys!D349</f>
        <v>Marianne og Kim Rudolph-Lund</v>
      </c>
      <c r="R349" s="102">
        <f>tbl_ConsultingCompanys!C349</f>
        <v>207411</v>
      </c>
      <c r="S349" s="102" t="str">
        <f t="shared" si="17"/>
        <v>Marianne og Kim Rudolph-Lund</v>
      </c>
    </row>
    <row r="350" spans="11:19" x14ac:dyDescent="0.15">
      <c r="K350" s="102" t="str">
        <f>tbl_ArchitectureOffices!D350</f>
        <v>Mir Arkitektur AS</v>
      </c>
      <c r="L350" s="102">
        <f>tbl_ArchitectureOffices!C350</f>
        <v>171691</v>
      </c>
      <c r="M350" s="102" t="str">
        <f t="shared" si="15"/>
        <v>Mir Arkitektur AS</v>
      </c>
      <c r="N350" s="102" t="str">
        <f>tbl_Companys!D350</f>
        <v xml:space="preserve">Falkenberg MNAL, Siv.ark. Thomas </v>
      </c>
      <c r="O350" s="102">
        <f>tbl_Companys!C350</f>
        <v>166717</v>
      </c>
      <c r="P350" s="102" t="str">
        <f t="shared" si="16"/>
        <v>Falkenberg MNAL, Siv.ark. Thomas</v>
      </c>
      <c r="Q350" s="102" t="str">
        <f>tbl_ConsultingCompanys!D350</f>
        <v>Martinsons Tre AB</v>
      </c>
      <c r="R350" s="102">
        <f>tbl_ConsultingCompanys!C350</f>
        <v>178156</v>
      </c>
      <c r="S350" s="102" t="str">
        <f t="shared" si="17"/>
        <v>Martinsons Tre AB</v>
      </c>
    </row>
    <row r="351" spans="11:19" x14ac:dyDescent="0.15">
      <c r="K351" s="102" t="str">
        <f>tbl_ArchitectureOffices!D351</f>
        <v>MMW sivilarkitekter mnal as</v>
      </c>
      <c r="L351" s="102">
        <f>tbl_ArchitectureOffices!C351</f>
        <v>171690</v>
      </c>
      <c r="M351" s="102" t="str">
        <f t="shared" si="15"/>
        <v>MMW sivilarkitekter mnal as</v>
      </c>
      <c r="N351" s="102" t="str">
        <f>tbl_Companys!D351</f>
        <v>Farsund kommune</v>
      </c>
      <c r="O351" s="102">
        <f>tbl_Companys!C351</f>
        <v>160582</v>
      </c>
      <c r="P351" s="102" t="str">
        <f t="shared" si="16"/>
        <v>Farsund kommune</v>
      </c>
      <c r="Q351" s="102" t="str">
        <f>tbl_ConsultingCompanys!D351</f>
        <v>Martinsons Tre AS</v>
      </c>
      <c r="R351" s="102">
        <f>tbl_ConsultingCompanys!C351</f>
        <v>232349</v>
      </c>
      <c r="S351" s="102" t="str">
        <f t="shared" si="17"/>
        <v>Martinsons Tre AS</v>
      </c>
    </row>
    <row r="352" spans="11:19" x14ac:dyDescent="0.15">
      <c r="K352" s="102" t="str">
        <f>tbl_ArchitectureOffices!D352</f>
        <v>Moe &amp; Løvseth AS</v>
      </c>
      <c r="L352" s="102">
        <f>tbl_ArchitectureOffices!C352</f>
        <v>171602</v>
      </c>
      <c r="M352" s="102" t="str">
        <f t="shared" si="15"/>
        <v>Moe &amp; Løvseth AS</v>
      </c>
      <c r="N352" s="102" t="str">
        <f>tbl_Companys!D352</f>
        <v>Fasting Arkitekter AS</v>
      </c>
      <c r="O352" s="102">
        <f>tbl_Companys!C352</f>
        <v>166718</v>
      </c>
      <c r="P352" s="102" t="str">
        <f t="shared" si="16"/>
        <v>Fasting Arkitekter AS</v>
      </c>
      <c r="Q352" s="102" t="str">
        <f>tbl_ConsultingCompanys!D352</f>
        <v>Martinsons Tre AS (rådgivn. massivtre)</v>
      </c>
      <c r="R352" s="102">
        <f>tbl_ConsultingCompanys!C352</f>
        <v>228145</v>
      </c>
      <c r="S352" s="102" t="str">
        <f t="shared" si="17"/>
        <v>Martinsons Tre AS (rådgivn. massivtre)</v>
      </c>
    </row>
    <row r="353" spans="11:19" x14ac:dyDescent="0.15">
      <c r="K353" s="102" t="str">
        <f>tbl_ArchitectureOffices!D353</f>
        <v xml:space="preserve">Moe Ltd, Sjur </v>
      </c>
      <c r="L353" s="102">
        <f>tbl_ArchitectureOffices!C353</f>
        <v>173043</v>
      </c>
      <c r="M353" s="102" t="str">
        <f t="shared" si="15"/>
        <v>Moe Ltd, Sjur</v>
      </c>
      <c r="N353" s="102" t="str">
        <f>tbl_Companys!D353</f>
        <v>Faveo Prosjektledelse AS</v>
      </c>
      <c r="O353" s="102">
        <f>tbl_Companys!C353</f>
        <v>233203</v>
      </c>
      <c r="P353" s="102" t="str">
        <f t="shared" si="16"/>
        <v>Faveo Prosjektledelse AS</v>
      </c>
      <c r="Q353" s="102" t="str">
        <f>tbl_ConsultingCompanys!D353</f>
        <v>Materialbanken AS (Malmfuru)</v>
      </c>
      <c r="R353" s="102">
        <f>tbl_ConsultingCompanys!C353</f>
        <v>162874</v>
      </c>
      <c r="S353" s="102" t="str">
        <f t="shared" si="17"/>
        <v>Materialbanken AS (Malmfuru)</v>
      </c>
    </row>
    <row r="354" spans="11:19" x14ac:dyDescent="0.15">
      <c r="K354" s="102" t="str">
        <f>tbl_ArchitectureOffices!D354</f>
        <v xml:space="preserve">Molden AS, Mette &amp; Morten </v>
      </c>
      <c r="L354" s="102">
        <f>tbl_ArchitectureOffices!C354</f>
        <v>171689</v>
      </c>
      <c r="M354" s="102" t="str">
        <f t="shared" si="15"/>
        <v>Molden AS, Mette &amp; Morten</v>
      </c>
      <c r="N354" s="102" t="str">
        <f>tbl_Companys!D354</f>
        <v>FAVEO/Grønn byggallianse v/Sverre Tiltnes (Miljøkoordinator)</v>
      </c>
      <c r="O354" s="102">
        <f>tbl_Companys!C354</f>
        <v>214152</v>
      </c>
      <c r="P354" s="102" t="str">
        <f t="shared" si="16"/>
        <v>FAVEO/Grønn byggallianse v/Sverre Tiltnes (Miljøkoordinator)</v>
      </c>
      <c r="Q354" s="102" t="str">
        <f>tbl_ConsultingCompanys!D354</f>
        <v>Maurstadgruppen</v>
      </c>
      <c r="R354" s="102">
        <f>tbl_ConsultingCompanys!C354</f>
        <v>182978</v>
      </c>
      <c r="S354" s="102" t="str">
        <f t="shared" si="17"/>
        <v>Maurstadgruppen</v>
      </c>
    </row>
    <row r="355" spans="11:19" x14ac:dyDescent="0.15">
      <c r="K355" s="102" t="str">
        <f>tbl_ArchitectureOffices!D355</f>
        <v>Momenta arkitekter</v>
      </c>
      <c r="L355" s="102">
        <f>tbl_ArchitectureOffices!C355</f>
        <v>171688</v>
      </c>
      <c r="M355" s="102" t="str">
        <f t="shared" si="15"/>
        <v>Momenta arkitekter</v>
      </c>
      <c r="N355" s="102" t="str">
        <f>tbl_Companys!D355</f>
        <v>Felix Arkitekter AS</v>
      </c>
      <c r="O355" s="102">
        <f>tbl_Companys!C355</f>
        <v>166720</v>
      </c>
      <c r="P355" s="102" t="str">
        <f t="shared" si="16"/>
        <v>Felix Arkitekter AS</v>
      </c>
      <c r="Q355" s="102" t="str">
        <f>tbl_ConsultingCompanys!D355</f>
        <v>May Bente Aronsen (kunstner, lobby)</v>
      </c>
      <c r="R355" s="102">
        <f>tbl_ConsultingCompanys!C355</f>
        <v>203158</v>
      </c>
      <c r="S355" s="102" t="str">
        <f t="shared" si="17"/>
        <v>May Bente Aronsen (kunstner, lobby)</v>
      </c>
    </row>
    <row r="356" spans="11:19" x14ac:dyDescent="0.15">
      <c r="K356" s="102" t="str">
        <f>tbl_ArchitectureOffices!D356</f>
        <v>Momentum Arkitekter AS</v>
      </c>
      <c r="L356" s="102">
        <f>tbl_ArchitectureOffices!C356</f>
        <v>186182</v>
      </c>
      <c r="M356" s="102" t="str">
        <f t="shared" si="15"/>
        <v>Momentum Arkitekter AS</v>
      </c>
      <c r="N356" s="102" t="str">
        <f>tbl_Companys!D356</f>
        <v>FERD K23 AS</v>
      </c>
      <c r="O356" s="102">
        <f>tbl_Companys!C356</f>
        <v>246723</v>
      </c>
      <c r="P356" s="102" t="str">
        <f t="shared" si="16"/>
        <v>FERD K23 AS</v>
      </c>
      <c r="Q356" s="102" t="str">
        <f>tbl_ConsultingCompanys!D356</f>
        <v>Mercur VVS Entreprenør AS</v>
      </c>
      <c r="R356" s="102">
        <f>tbl_ConsultingCompanys!C356</f>
        <v>110475</v>
      </c>
      <c r="S356" s="102" t="str">
        <f t="shared" si="17"/>
        <v>Mercur VVS Entreprenør AS</v>
      </c>
    </row>
    <row r="357" spans="11:19" x14ac:dyDescent="0.15">
      <c r="K357" s="102" t="str">
        <f>tbl_ArchitectureOffices!D357</f>
        <v>Morfeus Arkitekter</v>
      </c>
      <c r="L357" s="102">
        <f>tbl_ArchitectureOffices!C357</f>
        <v>172296</v>
      </c>
      <c r="M357" s="102" t="str">
        <f t="shared" si="15"/>
        <v>Morfeus Arkitekter</v>
      </c>
      <c r="N357" s="102" t="str">
        <f>tbl_Companys!D357</f>
        <v>Feste AS</v>
      </c>
      <c r="O357" s="102">
        <f>tbl_Companys!C357</f>
        <v>231899</v>
      </c>
      <c r="P357" s="102" t="str">
        <f t="shared" si="16"/>
        <v>Feste AS</v>
      </c>
      <c r="Q357" s="102" t="str">
        <f>tbl_ConsultingCompanys!D357</f>
        <v>Mesterbygg Namsos</v>
      </c>
      <c r="R357" s="102">
        <f>tbl_ConsultingCompanys!C357</f>
        <v>236724</v>
      </c>
      <c r="S357" s="102" t="str">
        <f t="shared" si="17"/>
        <v>Mesterbygg Namsos</v>
      </c>
    </row>
    <row r="358" spans="11:19" x14ac:dyDescent="0.15">
      <c r="K358" s="102" t="str">
        <f>tbl_ArchitectureOffices!D358</f>
        <v>moseng poulsen arkitektur as</v>
      </c>
      <c r="L358" s="102">
        <f>tbl_ArchitectureOffices!C358</f>
        <v>192072</v>
      </c>
      <c r="M358" s="102" t="str">
        <f t="shared" si="15"/>
        <v>moseng poulsen arkitektur as</v>
      </c>
      <c r="N358" s="102" t="str">
        <f>tbl_Companys!D358</f>
        <v>Feste Grenland AS</v>
      </c>
      <c r="O358" s="102">
        <f>tbl_Companys!C358</f>
        <v>242831</v>
      </c>
      <c r="P358" s="102" t="str">
        <f t="shared" si="16"/>
        <v>Feste Grenland AS</v>
      </c>
      <c r="Q358" s="102" t="str">
        <f>tbl_ConsultingCompanys!D358</f>
        <v>Mesterhus</v>
      </c>
      <c r="R358" s="102">
        <f>tbl_ConsultingCompanys!C358</f>
        <v>204956</v>
      </c>
      <c r="S358" s="102" t="str">
        <f t="shared" si="17"/>
        <v>Mesterhus</v>
      </c>
    </row>
    <row r="359" spans="11:19" x14ac:dyDescent="0.15">
      <c r="K359" s="102" t="str">
        <f>tbl_ArchitectureOffices!D359</f>
        <v>Mossige AS arkitekter</v>
      </c>
      <c r="L359" s="102">
        <f>tbl_ArchitectureOffices!C359</f>
        <v>171686</v>
      </c>
      <c r="M359" s="102" t="str">
        <f t="shared" si="15"/>
        <v>Mossige AS arkitekter</v>
      </c>
      <c r="N359" s="102" t="str">
        <f>tbl_Companys!D359</f>
        <v>Filter Arkitekter AS</v>
      </c>
      <c r="O359" s="102">
        <f>tbl_Companys!C359</f>
        <v>166721</v>
      </c>
      <c r="P359" s="102" t="str">
        <f t="shared" si="16"/>
        <v>Filter Arkitekter AS</v>
      </c>
      <c r="Q359" s="102" t="str">
        <f>tbl_ConsultingCompanys!D359</f>
        <v>Mesterhus</v>
      </c>
      <c r="R359" s="102">
        <f>tbl_ConsultingCompanys!C359</f>
        <v>204957</v>
      </c>
      <c r="S359" s="102" t="str">
        <f t="shared" si="17"/>
        <v>Mesterhus</v>
      </c>
    </row>
    <row r="360" spans="11:19" x14ac:dyDescent="0.15">
      <c r="K360" s="102" t="str">
        <f>tbl_ArchitectureOffices!D360</f>
        <v>M-TO sivilarkitekt MNAL</v>
      </c>
      <c r="L360" s="102">
        <f>tbl_ArchitectureOffices!C360</f>
        <v>171685</v>
      </c>
      <c r="M360" s="102" t="str">
        <f t="shared" si="15"/>
        <v>M-TO sivilarkitekt MNAL</v>
      </c>
      <c r="N360" s="102" t="str">
        <f>tbl_Companys!D360</f>
        <v>Fjord Arkitekter AS</v>
      </c>
      <c r="O360" s="102">
        <f>tbl_Companys!C360</f>
        <v>218791</v>
      </c>
      <c r="P360" s="102" t="str">
        <f t="shared" si="16"/>
        <v>Fjord Arkitekter AS</v>
      </c>
      <c r="Q360" s="102" t="str">
        <f>tbl_ConsultingCompanys!D360</f>
        <v>Meteorologisk institutt</v>
      </c>
      <c r="R360" s="102">
        <f>tbl_ConsultingCompanys!C360</f>
        <v>181037</v>
      </c>
      <c r="S360" s="102" t="str">
        <f t="shared" si="17"/>
        <v>Meteorologisk institutt</v>
      </c>
    </row>
    <row r="361" spans="11:19" x14ac:dyDescent="0.15">
      <c r="K361" s="102" t="str">
        <f>tbl_ArchitectureOffices!D361</f>
        <v xml:space="preserve">Mylius Arkitektkontor, E. </v>
      </c>
      <c r="L361" s="102">
        <f>tbl_ArchitectureOffices!C361</f>
        <v>178657</v>
      </c>
      <c r="M361" s="102" t="str">
        <f t="shared" si="15"/>
        <v>Mylius Arkitektkontor, E.</v>
      </c>
      <c r="N361" s="102" t="str">
        <f>tbl_Companys!D361</f>
        <v>Fjorden Arkitekter</v>
      </c>
      <c r="O361" s="102">
        <f>tbl_Companys!C361</f>
        <v>219703</v>
      </c>
      <c r="P361" s="102" t="str">
        <f t="shared" si="16"/>
        <v>Fjorden Arkitekter</v>
      </c>
      <c r="Q361" s="102" t="str">
        <f>tbl_ConsultingCompanys!D361</f>
        <v>Michael Blümlein AS (RIBr)</v>
      </c>
      <c r="R361" s="102">
        <f>tbl_ConsultingCompanys!C361</f>
        <v>215013</v>
      </c>
      <c r="S361" s="102" t="str">
        <f t="shared" si="17"/>
        <v>Michael Blümlein AS (RIBr)</v>
      </c>
    </row>
    <row r="362" spans="11:19" x14ac:dyDescent="0.15">
      <c r="K362" s="102" t="str">
        <f>tbl_ArchitectureOffices!D362</f>
        <v xml:space="preserve">Myrstad AS, Arkitekt Jim </v>
      </c>
      <c r="L362" s="102">
        <f>tbl_ArchitectureOffices!C362</f>
        <v>171683</v>
      </c>
      <c r="M362" s="102" t="str">
        <f t="shared" si="15"/>
        <v>Myrstad AS, Arkitekt Jim</v>
      </c>
      <c r="N362" s="102" t="str">
        <f>tbl_Companys!D362</f>
        <v>Flux Arkitekter AS</v>
      </c>
      <c r="O362" s="102">
        <f>tbl_Companys!C362</f>
        <v>166724</v>
      </c>
      <c r="P362" s="102" t="str">
        <f t="shared" si="16"/>
        <v>Flux Arkitekter AS</v>
      </c>
      <c r="Q362" s="102" t="str">
        <f>tbl_ConsultingCompanys!D362</f>
        <v>Miljøbyen Granås AS</v>
      </c>
      <c r="R362" s="102">
        <f>tbl_ConsultingCompanys!C362</f>
        <v>246977</v>
      </c>
      <c r="S362" s="102" t="str">
        <f t="shared" si="17"/>
        <v>Miljøbyen Granås AS</v>
      </c>
    </row>
    <row r="363" spans="11:19" x14ac:dyDescent="0.15">
      <c r="K363" s="102" t="str">
        <f>tbl_ArchitectureOffices!D363</f>
        <v xml:space="preserve">Møller, Arkitektfirmaet C.F. </v>
      </c>
      <c r="L363" s="102">
        <f>tbl_ArchitectureOffices!C363</f>
        <v>171681</v>
      </c>
      <c r="M363" s="102" t="str">
        <f t="shared" si="15"/>
        <v>Møller, Arkitektfirmaet C.F.</v>
      </c>
      <c r="N363" s="102" t="str">
        <f>tbl_Companys!D363</f>
        <v>Flyt arkitektur as</v>
      </c>
      <c r="O363" s="102">
        <f>tbl_Companys!C363</f>
        <v>199549</v>
      </c>
      <c r="P363" s="102" t="str">
        <f t="shared" si="16"/>
        <v>Flyt arkitektur as</v>
      </c>
      <c r="Q363" s="102" t="str">
        <f>tbl_ConsultingCompanys!D363</f>
        <v>Miljøconsult AS</v>
      </c>
      <c r="R363" s="102">
        <f>tbl_ConsultingCompanys!C363</f>
        <v>247297</v>
      </c>
      <c r="S363" s="102" t="str">
        <f t="shared" si="17"/>
        <v>Miljøconsult AS</v>
      </c>
    </row>
    <row r="364" spans="11:19" x14ac:dyDescent="0.15">
      <c r="K364" s="102" t="str">
        <f>tbl_ArchitectureOffices!D364</f>
        <v>Møystad + Nielsen Arkitektur AS</v>
      </c>
      <c r="L364" s="102">
        <f>tbl_ArchitectureOffices!C364</f>
        <v>171680</v>
      </c>
      <c r="M364" s="102" t="str">
        <f t="shared" si="15"/>
        <v>Møystad + Nielsen Arkitektur AS</v>
      </c>
      <c r="N364" s="102" t="str">
        <f>tbl_Companys!D364</f>
        <v>Fløibanen</v>
      </c>
      <c r="O364" s="102">
        <f>tbl_Companys!C364</f>
        <v>182799</v>
      </c>
      <c r="P364" s="102" t="str">
        <f t="shared" si="16"/>
        <v>Fløibanen</v>
      </c>
      <c r="Q364" s="102" t="str">
        <f>tbl_ConsultingCompanys!D364</f>
        <v>Miljøforskningssenteret ANS</v>
      </c>
      <c r="R364" s="102">
        <f>tbl_ConsultingCompanys!C364</f>
        <v>160588</v>
      </c>
      <c r="S364" s="102" t="str">
        <f t="shared" si="17"/>
        <v>Miljøforskningssenteret ANS</v>
      </c>
    </row>
    <row r="365" spans="11:19" x14ac:dyDescent="0.15">
      <c r="K365" s="102" t="str">
        <f>tbl_ArchitectureOffices!D365</f>
        <v>Narud-Stokke-Wiig sivilarkitekter as</v>
      </c>
      <c r="L365" s="102">
        <f>tbl_ArchitectureOffices!C365</f>
        <v>171508</v>
      </c>
      <c r="M365" s="102" t="str">
        <f t="shared" si="15"/>
        <v>Narud-Stokke-Wiig sivilarkitekter as</v>
      </c>
      <c r="N365" s="102" t="str">
        <f>tbl_Companys!D365</f>
        <v>Follo Bygg og Eiendom AS</v>
      </c>
      <c r="O365" s="102">
        <f>tbl_Companys!C365</f>
        <v>243669</v>
      </c>
      <c r="P365" s="102" t="str">
        <f t="shared" si="16"/>
        <v>Follo Bygg og Eiendom AS</v>
      </c>
      <c r="Q365" s="102" t="str">
        <f>tbl_ConsultingCompanys!D365</f>
        <v>Minera Norge AS (skifer)</v>
      </c>
      <c r="R365" s="102">
        <f>tbl_ConsultingCompanys!C365</f>
        <v>155751</v>
      </c>
      <c r="S365" s="102" t="str">
        <f t="shared" si="17"/>
        <v>Minera Norge AS (skifer)</v>
      </c>
    </row>
    <row r="366" spans="11:19" x14ac:dyDescent="0.15">
      <c r="K366" s="102" t="str">
        <f>tbl_ArchitectureOffices!D366</f>
        <v xml:space="preserve">Nataas, Gisle </v>
      </c>
      <c r="L366" s="102">
        <f>tbl_ArchitectureOffices!C366</f>
        <v>171507</v>
      </c>
      <c r="M366" s="102" t="str">
        <f t="shared" si="15"/>
        <v>Nataas, Gisle</v>
      </c>
      <c r="N366" s="102" t="str">
        <f>tbl_Companys!D366</f>
        <v>Forente Arkitektkontorer A/S</v>
      </c>
      <c r="O366" s="102">
        <f>tbl_Companys!C366</f>
        <v>166725</v>
      </c>
      <c r="P366" s="102" t="str">
        <f t="shared" si="16"/>
        <v>Forente Arkitektkontorer A/S</v>
      </c>
      <c r="Q366" s="102" t="str">
        <f>tbl_ConsultingCompanys!D366</f>
        <v>Modalsli Prosjektering</v>
      </c>
      <c r="R366" s="102">
        <f>tbl_ConsultingCompanys!C366</f>
        <v>162870</v>
      </c>
      <c r="S366" s="102" t="str">
        <f t="shared" si="17"/>
        <v>Modalsli Prosjektering</v>
      </c>
    </row>
    <row r="367" spans="11:19" x14ac:dyDescent="0.15">
      <c r="K367" s="102" t="str">
        <f>tbl_ArchitectureOffices!D367</f>
        <v>NAV A.S. Arkitekter MNAL NPA</v>
      </c>
      <c r="L367" s="102">
        <f>tbl_ArchitectureOffices!C367</f>
        <v>171506</v>
      </c>
      <c r="M367" s="102" t="str">
        <f t="shared" si="15"/>
        <v>NAV A.S. Arkitekter MNAL NPA</v>
      </c>
      <c r="N367" s="102" t="str">
        <f>tbl_Companys!D367</f>
        <v>Formgiverne d.a.</v>
      </c>
      <c r="O367" s="102">
        <f>tbl_Companys!C367</f>
        <v>166726</v>
      </c>
      <c r="P367" s="102" t="str">
        <f t="shared" si="16"/>
        <v>Formgiverne d.a.</v>
      </c>
      <c r="Q367" s="102" t="str">
        <f>tbl_ConsultingCompanys!D367</f>
        <v>Moelven Elektro AS (RIE)</v>
      </c>
      <c r="R367" s="102">
        <f>tbl_ConsultingCompanys!C367</f>
        <v>214149</v>
      </c>
      <c r="S367" s="102" t="str">
        <f t="shared" si="17"/>
        <v>Moelven Elektro AS (RIE)</v>
      </c>
    </row>
    <row r="368" spans="11:19" x14ac:dyDescent="0.15">
      <c r="K368" s="102" t="str">
        <f>tbl_ArchitectureOffices!D368</f>
        <v xml:space="preserve">Nes Arkitekter, Leiv </v>
      </c>
      <c r="L368" s="102">
        <f>tbl_ArchitectureOffices!C368</f>
        <v>172651</v>
      </c>
      <c r="M368" s="102" t="str">
        <f t="shared" si="15"/>
        <v>Nes Arkitekter, Leiv</v>
      </c>
      <c r="N368" s="102" t="str">
        <f>tbl_Companys!D368</f>
        <v>Forsvarsbygg</v>
      </c>
      <c r="O368" s="102">
        <f>tbl_Companys!C368</f>
        <v>248971</v>
      </c>
      <c r="P368" s="102" t="str">
        <f t="shared" si="16"/>
        <v>Forsvarsbygg</v>
      </c>
      <c r="Q368" s="102" t="str">
        <f>tbl_ConsultingCompanys!D368</f>
        <v xml:space="preserve">Moelven limtre </v>
      </c>
      <c r="R368" s="102">
        <f>tbl_ConsultingCompanys!C368</f>
        <v>162861</v>
      </c>
      <c r="S368" s="102" t="str">
        <f t="shared" si="17"/>
        <v>Moelven limtre</v>
      </c>
    </row>
    <row r="369" spans="11:19" x14ac:dyDescent="0.15">
      <c r="K369" s="102" t="str">
        <f>tbl_ArchitectureOffices!D369</f>
        <v>Nesodden Arkitektkontor AS</v>
      </c>
      <c r="L369" s="102">
        <f>tbl_ArchitectureOffices!C369</f>
        <v>172656</v>
      </c>
      <c r="M369" s="102" t="str">
        <f t="shared" si="15"/>
        <v>Nesodden Arkitektkontor AS</v>
      </c>
      <c r="N369" s="102" t="str">
        <f>tbl_Companys!D369</f>
        <v>Fortunen Arkitekter AS</v>
      </c>
      <c r="O369" s="102">
        <f>tbl_Companys!C369</f>
        <v>166727</v>
      </c>
      <c r="P369" s="102" t="str">
        <f t="shared" si="16"/>
        <v>Fortunen Arkitekter AS</v>
      </c>
      <c r="Q369" s="102" t="str">
        <f>tbl_ConsultingCompanys!D369</f>
        <v>Moelven massivtre (dekker, veggelementer)</v>
      </c>
      <c r="R369" s="102">
        <f>tbl_ConsultingCompanys!C369</f>
        <v>162862</v>
      </c>
      <c r="S369" s="102" t="str">
        <f t="shared" si="17"/>
        <v>Moelven massivtre (dekker, veggelementer)</v>
      </c>
    </row>
    <row r="370" spans="11:19" x14ac:dyDescent="0.15">
      <c r="K370" s="102" t="str">
        <f>tbl_ArchitectureOffices!D370</f>
        <v>Noncon:form (Østerrike)</v>
      </c>
      <c r="L370" s="102">
        <f>tbl_ArchitectureOffices!C370</f>
        <v>245866</v>
      </c>
      <c r="M370" s="102" t="str">
        <f t="shared" si="15"/>
        <v>Noncon:form (Østerrike)</v>
      </c>
      <c r="N370" s="102" t="str">
        <f>tbl_Companys!D370</f>
        <v>Forum Arkitekter AS</v>
      </c>
      <c r="O370" s="102">
        <f>tbl_Companys!C370</f>
        <v>166728</v>
      </c>
      <c r="P370" s="102" t="str">
        <f t="shared" si="16"/>
        <v>Forum Arkitekter AS</v>
      </c>
      <c r="Q370" s="102" t="str">
        <f>tbl_ConsultingCompanys!D370</f>
        <v>Morten Hagen</v>
      </c>
      <c r="R370" s="102">
        <f>tbl_ConsultingCompanys!C370</f>
        <v>110658</v>
      </c>
      <c r="S370" s="102" t="str">
        <f t="shared" si="17"/>
        <v>Morten Hagen</v>
      </c>
    </row>
    <row r="371" spans="11:19" x14ac:dyDescent="0.15">
      <c r="K371" s="102" t="str">
        <f>tbl_ArchitectureOffices!D371</f>
        <v>Norconsult AS</v>
      </c>
      <c r="L371" s="102">
        <f>tbl_ArchitectureOffices!C371</f>
        <v>247295</v>
      </c>
      <c r="M371" s="102" t="str">
        <f t="shared" si="15"/>
        <v>Norconsult AS</v>
      </c>
      <c r="N371" s="102" t="str">
        <f>tbl_Companys!D371</f>
        <v>Forus Næringspark AS</v>
      </c>
      <c r="O371" s="102">
        <f>tbl_Companys!C371</f>
        <v>163053</v>
      </c>
      <c r="P371" s="102" t="str">
        <f t="shared" si="16"/>
        <v>Forus Næringspark AS</v>
      </c>
      <c r="Q371" s="102" t="str">
        <f>tbl_ConsultingCompanys!D371</f>
        <v>Mossemøllene eiendom</v>
      </c>
      <c r="R371" s="102">
        <f>tbl_ConsultingCompanys!C371</f>
        <v>224058</v>
      </c>
      <c r="S371" s="102" t="str">
        <f t="shared" si="17"/>
        <v>Mossemøllene eiendom</v>
      </c>
    </row>
    <row r="372" spans="11:19" x14ac:dyDescent="0.15">
      <c r="K372" s="102" t="str">
        <f>tbl_ArchitectureOffices!D372</f>
        <v xml:space="preserve">Nord AS, Arkitektkontoret </v>
      </c>
      <c r="L372" s="102">
        <f>tbl_ArchitectureOffices!C372</f>
        <v>171505</v>
      </c>
      <c r="M372" s="102" t="str">
        <f t="shared" si="15"/>
        <v>Nord AS, Arkitektkontoret</v>
      </c>
      <c r="N372" s="102" t="str">
        <f>tbl_Companys!D372</f>
        <v>Forus Rør AS</v>
      </c>
      <c r="O372" s="102">
        <f>tbl_Companys!C372</f>
        <v>155841</v>
      </c>
      <c r="P372" s="102" t="str">
        <f t="shared" si="16"/>
        <v>Forus Rør AS</v>
      </c>
      <c r="Q372" s="102" t="str">
        <f>tbl_ConsultingCompanys!D372</f>
        <v>Multiconsult</v>
      </c>
      <c r="R372" s="102">
        <f>tbl_ConsultingCompanys!C372</f>
        <v>97927</v>
      </c>
      <c r="S372" s="102" t="str">
        <f t="shared" si="17"/>
        <v>Multiconsult</v>
      </c>
    </row>
    <row r="373" spans="11:19" x14ac:dyDescent="0.15">
      <c r="K373" s="102" t="str">
        <f>tbl_ArchitectureOffices!D373</f>
        <v xml:space="preserve">Nordberg As, Sissel </v>
      </c>
      <c r="L373" s="102">
        <f>tbl_ArchitectureOffices!C373</f>
        <v>172680</v>
      </c>
      <c r="M373" s="102" t="str">
        <f t="shared" si="15"/>
        <v>Nordberg As, Sissel</v>
      </c>
      <c r="N373" s="102" t="str">
        <f>tbl_Companys!D373</f>
        <v>fossland as, arkitekt</v>
      </c>
      <c r="O373" s="102">
        <f>tbl_Companys!C373</f>
        <v>172996</v>
      </c>
      <c r="P373" s="102" t="str">
        <f t="shared" si="16"/>
        <v>fossland as, arkitekt</v>
      </c>
      <c r="Q373" s="102" t="str">
        <f>tbl_ConsultingCompanys!D373</f>
        <v>Multiteknikk AS</v>
      </c>
      <c r="R373" s="102">
        <f>tbl_ConsultingCompanys!C373</f>
        <v>155701</v>
      </c>
      <c r="S373" s="102" t="str">
        <f t="shared" si="17"/>
        <v>Multiteknikk AS</v>
      </c>
    </row>
    <row r="374" spans="11:19" x14ac:dyDescent="0.15">
      <c r="K374" s="102" t="str">
        <f>tbl_ArchitectureOffices!D374</f>
        <v>Nordic - Office of Architecture</v>
      </c>
      <c r="L374" s="102">
        <f>tbl_ArchitectureOffices!C374</f>
        <v>172792</v>
      </c>
      <c r="M374" s="102" t="str">
        <f t="shared" si="15"/>
        <v>Nordic - Office of Architecture</v>
      </c>
      <c r="N374" s="102" t="str">
        <f>tbl_Companys!D374</f>
        <v xml:space="preserve">Frank a/s, Arkitektkontoret Lene </v>
      </c>
      <c r="O374" s="102">
        <f>tbl_Companys!C374</f>
        <v>166729</v>
      </c>
      <c r="P374" s="102" t="str">
        <f t="shared" si="16"/>
        <v>Frank a/s, Arkitektkontoret Lene</v>
      </c>
      <c r="Q374" s="102" t="str">
        <f>tbl_ConsultingCompanys!D374</f>
        <v>Murermester Tore Sjømæling</v>
      </c>
      <c r="R374" s="102">
        <f>tbl_ConsultingCompanys!C374</f>
        <v>225762</v>
      </c>
      <c r="S374" s="102" t="str">
        <f t="shared" si="17"/>
        <v>Murermester Tore Sjømæling</v>
      </c>
    </row>
    <row r="375" spans="11:19" x14ac:dyDescent="0.15">
      <c r="K375" s="102" t="str">
        <f>tbl_ArchitectureOffices!D375</f>
        <v>Nordplan AS</v>
      </c>
      <c r="L375" s="102">
        <f>tbl_ArchitectureOffices!C375</f>
        <v>171504</v>
      </c>
      <c r="M375" s="102" t="str">
        <f t="shared" si="15"/>
        <v>Nordplan AS</v>
      </c>
      <c r="N375" s="102" t="str">
        <f>tbl_Companys!D375</f>
        <v>Frank Hansen, Åfjord (Strandbar)</v>
      </c>
      <c r="O375" s="102">
        <f>tbl_Companys!C375</f>
        <v>230107</v>
      </c>
      <c r="P375" s="102" t="str">
        <f t="shared" si="16"/>
        <v>Frank Hansen, Åfjord (Strandbar)</v>
      </c>
      <c r="Q375" s="102" t="str">
        <f>tbl_ConsultingCompanys!D375</f>
        <v>Murmester Aksel Hansen</v>
      </c>
      <c r="R375" s="102">
        <f>tbl_ConsultingCompanys!C375</f>
        <v>157873</v>
      </c>
      <c r="S375" s="102" t="str">
        <f t="shared" si="17"/>
        <v>Murmester Aksel Hansen</v>
      </c>
    </row>
    <row r="376" spans="11:19" x14ac:dyDescent="0.15">
      <c r="K376" s="102" t="str">
        <f>tbl_ArchitectureOffices!D376</f>
        <v>Nordvest Prosjekt AS</v>
      </c>
      <c r="L376" s="102">
        <f>tbl_ArchitectureOffices!C376</f>
        <v>171501</v>
      </c>
      <c r="M376" s="102" t="str">
        <f t="shared" si="15"/>
        <v>Nordvest Prosjekt AS</v>
      </c>
      <c r="N376" s="102" t="str">
        <f>tbl_Companys!D376</f>
        <v>Fredricia Miller siv.ark MNAL</v>
      </c>
      <c r="O376" s="102">
        <f>tbl_Companys!C376</f>
        <v>119975</v>
      </c>
      <c r="P376" s="102" t="str">
        <f t="shared" si="16"/>
        <v>Fredricia Miller siv.ark MNAL</v>
      </c>
      <c r="Q376" s="102" t="str">
        <f>tbl_ConsultingCompanys!D376</f>
        <v>Murmester Rolf Holm as</v>
      </c>
      <c r="R376" s="102">
        <f>tbl_ConsultingCompanys!C376</f>
        <v>112153</v>
      </c>
      <c r="S376" s="102" t="str">
        <f t="shared" si="17"/>
        <v>Murmester Rolf Holm as</v>
      </c>
    </row>
    <row r="377" spans="11:19" x14ac:dyDescent="0.15">
      <c r="K377" s="102" t="str">
        <f>tbl_ArchitectureOffices!D377</f>
        <v>Norgeshus</v>
      </c>
      <c r="L377" s="102">
        <f>tbl_ArchitectureOffices!C377</f>
        <v>246279</v>
      </c>
      <c r="M377" s="102" t="str">
        <f t="shared" si="15"/>
        <v>Norgeshus</v>
      </c>
      <c r="N377" s="102" t="str">
        <f>tbl_Companys!D377</f>
        <v>Fredrikstad kommune</v>
      </c>
      <c r="O377" s="102">
        <f>tbl_Companys!C377</f>
        <v>241086</v>
      </c>
      <c r="P377" s="102" t="str">
        <f t="shared" si="16"/>
        <v>Fredrikstad kommune</v>
      </c>
      <c r="Q377" s="102" t="str">
        <f>tbl_ConsultingCompanys!D377</f>
        <v>Myhrerenga BRL</v>
      </c>
      <c r="R377" s="102">
        <f>tbl_ConsultingCompanys!C377</f>
        <v>191299</v>
      </c>
      <c r="S377" s="102" t="str">
        <f t="shared" si="17"/>
        <v>Myhrerenga BRL</v>
      </c>
    </row>
    <row r="378" spans="11:19" x14ac:dyDescent="0.15">
      <c r="K378" s="102" t="str">
        <f>tbl_ArchitectureOffices!D378</f>
        <v>Nuno arkitektur AS</v>
      </c>
      <c r="L378" s="102">
        <f>tbl_ArchitectureOffices!C378</f>
        <v>166535</v>
      </c>
      <c r="M378" s="102" t="str">
        <f t="shared" si="15"/>
        <v>Nuno arkitektur AS</v>
      </c>
      <c r="N378" s="102" t="str">
        <f>tbl_Companys!D378</f>
        <v>Fredrikstad kommune, Teknisk drift</v>
      </c>
      <c r="O378" s="102">
        <f>tbl_Companys!C378</f>
        <v>241087</v>
      </c>
      <c r="P378" s="102" t="str">
        <f t="shared" si="16"/>
        <v>Fredrikstad kommune, Teknisk drift</v>
      </c>
      <c r="Q378" s="102" t="str">
        <f>tbl_ConsultingCompanys!D378</f>
        <v>Myklebust AS</v>
      </c>
      <c r="R378" s="102">
        <f>tbl_ConsultingCompanys!C378</f>
        <v>178927</v>
      </c>
      <c r="S378" s="102" t="str">
        <f t="shared" si="17"/>
        <v>Myklebust AS</v>
      </c>
    </row>
    <row r="379" spans="11:19" x14ac:dyDescent="0.15">
      <c r="K379" s="102" t="str">
        <f>tbl_ArchitectureOffices!D379</f>
        <v>Nydesign AS</v>
      </c>
      <c r="L379" s="102">
        <f>tbl_ArchitectureOffices!C379</f>
        <v>207042</v>
      </c>
      <c r="M379" s="102" t="str">
        <f t="shared" si="15"/>
        <v>Nydesign AS</v>
      </c>
      <c r="N379" s="102" t="str">
        <f>tbl_Companys!D379</f>
        <v>Friis Arkitekter AS</v>
      </c>
      <c r="O379" s="102">
        <f>tbl_Companys!C379</f>
        <v>178010</v>
      </c>
      <c r="P379" s="102" t="str">
        <f t="shared" si="16"/>
        <v>Friis Arkitekter AS</v>
      </c>
      <c r="Q379" s="102" t="str">
        <f>tbl_ConsultingCompanys!D379</f>
        <v>Myrvold Utemiljø</v>
      </c>
      <c r="R379" s="102">
        <f>tbl_ConsultingCompanys!C379</f>
        <v>178583</v>
      </c>
      <c r="S379" s="102" t="str">
        <f t="shared" si="17"/>
        <v>Myrvold Utemiljø</v>
      </c>
    </row>
    <row r="380" spans="11:19" x14ac:dyDescent="0.15">
      <c r="K380" s="102" t="str">
        <f>tbl_ArchitectureOffices!D380</f>
        <v>Og Arkitekter as</v>
      </c>
      <c r="L380" s="102">
        <f>tbl_ArchitectureOffices!C380</f>
        <v>166671</v>
      </c>
      <c r="M380" s="102" t="str">
        <f t="shared" si="15"/>
        <v>Og Arkitekter as</v>
      </c>
      <c r="N380" s="102" t="str">
        <f>tbl_Companys!D380</f>
        <v>Frode Olsson AS (forskaling, støp)</v>
      </c>
      <c r="O380" s="102">
        <f>tbl_Companys!C380</f>
        <v>155839</v>
      </c>
      <c r="P380" s="102" t="str">
        <f t="shared" si="16"/>
        <v>Frode Olsson AS (forskaling, støp)</v>
      </c>
      <c r="Q380" s="102" t="str">
        <f>tbl_ConsultingCompanys!D380</f>
        <v>Møre og Romsdal fylkeskommune</v>
      </c>
      <c r="R380" s="102">
        <f>tbl_ConsultingCompanys!C380</f>
        <v>247286</v>
      </c>
      <c r="S380" s="102" t="str">
        <f t="shared" si="17"/>
        <v>Møre og Romsdal fylkeskommune</v>
      </c>
    </row>
    <row r="381" spans="11:19" x14ac:dyDescent="0.15">
      <c r="K381" s="102" t="str">
        <f>tbl_ArchitectureOffices!D381</f>
        <v>OHC arkitektur &amp; design as</v>
      </c>
      <c r="L381" s="102">
        <f>tbl_ArchitectureOffices!C381</f>
        <v>172686</v>
      </c>
      <c r="M381" s="102" t="str">
        <f t="shared" si="15"/>
        <v>OHC arkitektur &amp; design as</v>
      </c>
      <c r="N381" s="102" t="str">
        <f>tbl_Companys!D381</f>
        <v>Froland kommune</v>
      </c>
      <c r="O381" s="102">
        <f>tbl_Companys!C381</f>
        <v>215887</v>
      </c>
      <c r="P381" s="102" t="str">
        <f t="shared" si="16"/>
        <v>Froland kommune</v>
      </c>
      <c r="Q381" s="102" t="str">
        <f>tbl_ConsultingCompanys!D381</f>
        <v>National Elektro AS</v>
      </c>
      <c r="R381" s="102">
        <f>tbl_ConsultingCompanys!C381</f>
        <v>110479</v>
      </c>
      <c r="S381" s="102" t="str">
        <f t="shared" si="17"/>
        <v>National Elektro AS</v>
      </c>
    </row>
    <row r="382" spans="11:19" x14ac:dyDescent="0.15">
      <c r="K382" s="102" t="str">
        <f>tbl_ArchitectureOffices!D382</f>
        <v>OK arkitekter</v>
      </c>
      <c r="L382" s="102">
        <f>tbl_ArchitectureOffices!C382</f>
        <v>171500</v>
      </c>
      <c r="M382" s="102" t="str">
        <f t="shared" si="15"/>
        <v>OK arkitekter</v>
      </c>
      <c r="N382" s="102" t="str">
        <f>tbl_Companys!D382</f>
        <v>Frost Entrepenør AS (bygningsmessige arbeider)</v>
      </c>
      <c r="O382" s="102">
        <f>tbl_Companys!C382</f>
        <v>162920</v>
      </c>
      <c r="P382" s="102" t="str">
        <f t="shared" si="16"/>
        <v>Frost Entrepenør AS (bygningsmessige arbeider)</v>
      </c>
      <c r="Q382" s="102" t="str">
        <f>tbl_ConsultingCompanys!D382</f>
        <v>Naturbygg AS</v>
      </c>
      <c r="R382" s="102">
        <f>tbl_ConsultingCompanys!C382</f>
        <v>103262</v>
      </c>
      <c r="S382" s="102" t="str">
        <f t="shared" si="17"/>
        <v>Naturbygg AS</v>
      </c>
    </row>
    <row r="383" spans="11:19" x14ac:dyDescent="0.15">
      <c r="K383" s="102" t="str">
        <f>tbl_ArchitectureOffices!D383</f>
        <v>ONIX (nederland)</v>
      </c>
      <c r="L383" s="102">
        <f>tbl_ArchitectureOffices!C383</f>
        <v>245863</v>
      </c>
      <c r="M383" s="102" t="str">
        <f t="shared" si="15"/>
        <v>ONIX (nederland)</v>
      </c>
      <c r="N383" s="102" t="str">
        <f>tbl_Companys!D383</f>
        <v>Frost Entreprenør AS</v>
      </c>
      <c r="O383" s="102">
        <f>tbl_Companys!C383</f>
        <v>111932</v>
      </c>
      <c r="P383" s="102" t="str">
        <f t="shared" si="16"/>
        <v>Frost Entreprenør AS</v>
      </c>
      <c r="Q383" s="102" t="str">
        <f>tbl_ConsultingCompanys!D383</f>
        <v>NCC Construction AS</v>
      </c>
      <c r="R383" s="102">
        <f>tbl_ConsultingCompanys!C383</f>
        <v>97922</v>
      </c>
      <c r="S383" s="102" t="str">
        <f t="shared" si="17"/>
        <v>NCC Construction AS</v>
      </c>
    </row>
    <row r="384" spans="11:19" x14ac:dyDescent="0.15">
      <c r="K384" s="102" t="str">
        <f>tbl_ArchitectureOffices!D384</f>
        <v>Opus Arkitekter as</v>
      </c>
      <c r="L384" s="102">
        <f>tbl_ArchitectureOffices!C384</f>
        <v>171499</v>
      </c>
      <c r="M384" s="102" t="str">
        <f t="shared" si="15"/>
        <v>Opus Arkitekter as</v>
      </c>
      <c r="N384" s="102" t="str">
        <f>tbl_Companys!D384</f>
        <v>Frydenlund og Høyer AS</v>
      </c>
      <c r="O384" s="102">
        <f>tbl_Companys!C384</f>
        <v>243868</v>
      </c>
      <c r="P384" s="102" t="str">
        <f t="shared" si="16"/>
        <v>Frydenlund og Høyer AS</v>
      </c>
      <c r="Q384" s="102" t="str">
        <f>tbl_ConsultingCompanys!D384</f>
        <v>NCC Construction AS</v>
      </c>
      <c r="R384" s="102">
        <f>tbl_ConsultingCompanys!C384</f>
        <v>165388</v>
      </c>
      <c r="S384" s="102" t="str">
        <f t="shared" si="17"/>
        <v>NCC Construction AS</v>
      </c>
    </row>
    <row r="385" spans="11:19" x14ac:dyDescent="0.15">
      <c r="K385" s="102" t="str">
        <f>tbl_ArchitectureOffices!D385</f>
        <v>Origo arkitektgruppe as</v>
      </c>
      <c r="L385" s="102">
        <f>tbl_ArchitectureOffices!C385</f>
        <v>171498</v>
      </c>
      <c r="M385" s="102" t="str">
        <f t="shared" si="15"/>
        <v>Origo arkitektgruppe as</v>
      </c>
      <c r="N385" s="102" t="str">
        <f>tbl_Companys!D385</f>
        <v>Frøiland Bygg</v>
      </c>
      <c r="O385" s="102">
        <f>tbl_Companys!C385</f>
        <v>158043</v>
      </c>
      <c r="P385" s="102" t="str">
        <f t="shared" si="16"/>
        <v>Frøiland Bygg</v>
      </c>
      <c r="Q385" s="102" t="str">
        <f>tbl_ConsultingCompanys!D385</f>
        <v>NCC Property Development</v>
      </c>
      <c r="R385" s="102">
        <f>tbl_ConsultingCompanys!C385</f>
        <v>207445</v>
      </c>
      <c r="S385" s="102" t="str">
        <f t="shared" si="17"/>
        <v>NCC Property Development</v>
      </c>
    </row>
    <row r="386" spans="11:19" x14ac:dyDescent="0.15">
      <c r="K386" s="102" t="str">
        <f>tbl_ArchitectureOffices!D386</f>
        <v>Ottar arkitekter as</v>
      </c>
      <c r="L386" s="102">
        <f>tbl_ArchitectureOffices!C386</f>
        <v>171497</v>
      </c>
      <c r="M386" s="102" t="str">
        <f t="shared" si="15"/>
        <v>Ottar arkitekter as</v>
      </c>
      <c r="N386" s="102" t="str">
        <f>tbl_Companys!D386</f>
        <v>Fyllingen Maskinstasjon</v>
      </c>
      <c r="O386" s="102">
        <f>tbl_Companys!C386</f>
        <v>182796</v>
      </c>
      <c r="P386" s="102" t="str">
        <f t="shared" si="16"/>
        <v>Fyllingen Maskinstasjon</v>
      </c>
      <c r="Q386" s="102" t="str">
        <f>tbl_ConsultingCompanys!D386</f>
        <v>Neas Consulting</v>
      </c>
      <c r="R386" s="102">
        <f>tbl_ConsultingCompanys!C386</f>
        <v>178155</v>
      </c>
      <c r="S386" s="102" t="str">
        <f t="shared" si="17"/>
        <v>Neas Consulting</v>
      </c>
    </row>
    <row r="387" spans="11:19" x14ac:dyDescent="0.15">
      <c r="K387" s="102" t="str">
        <f>tbl_ArchitectureOffices!D387</f>
        <v>P. A. Holst sivilarkitekt mnal</v>
      </c>
      <c r="L387" s="102">
        <f>tbl_ArchitectureOffices!C387</f>
        <v>210155</v>
      </c>
      <c r="M387" s="102" t="str">
        <f t="shared" ref="M387:M450" si="18">IFERROR(REPLACE(K387,FIND(" ",K387,LEN(K387)),1,""),K387)</f>
        <v>P. A. Holst sivilarkitekt mnal</v>
      </c>
      <c r="N387" s="102" t="str">
        <f>tbl_Companys!D387</f>
        <v>Gaia Arkitekter</v>
      </c>
      <c r="O387" s="102">
        <f>tbl_Companys!C387</f>
        <v>166730</v>
      </c>
      <c r="P387" s="102" t="str">
        <f t="shared" ref="P387:P450" si="19">IFERROR(REPLACE(N387,FIND(" ",N387,LEN(N387)),1,""),N387)</f>
        <v>Gaia Arkitekter</v>
      </c>
      <c r="Q387" s="102" t="str">
        <f>tbl_ConsultingCompanys!D387</f>
        <v>Nedig AS</v>
      </c>
      <c r="R387" s="102">
        <f>tbl_ConsultingCompanys!C387</f>
        <v>103150</v>
      </c>
      <c r="S387" s="102" t="str">
        <f t="shared" ref="S387:S450" si="20">IFERROR(REPLACE(Q387,FIND(" ",Q387,LEN(Q387)),1,""),Q387)</f>
        <v>Nedig AS</v>
      </c>
    </row>
    <row r="388" spans="11:19" x14ac:dyDescent="0.15">
      <c r="K388" s="102" t="str">
        <f>tbl_ArchitectureOffices!D388</f>
        <v>Panark AS</v>
      </c>
      <c r="L388" s="102">
        <f>tbl_ArchitectureOffices!C388</f>
        <v>171490</v>
      </c>
      <c r="M388" s="102" t="str">
        <f t="shared" si="18"/>
        <v>Panark AS</v>
      </c>
      <c r="N388" s="102" t="str">
        <f>tbl_Companys!D388</f>
        <v>GAIA Lista AS (RIV)</v>
      </c>
      <c r="O388" s="102">
        <f>tbl_Companys!C388</f>
        <v>207493</v>
      </c>
      <c r="P388" s="102" t="str">
        <f t="shared" si="19"/>
        <v>GAIA Lista AS (RIV)</v>
      </c>
      <c r="Q388" s="102" t="str">
        <f>tbl_ConsultingCompanys!D388</f>
        <v>Nedre Buskerud Boligbyggelag (NBBO)</v>
      </c>
      <c r="R388" s="102">
        <f>tbl_ConsultingCompanys!C388</f>
        <v>207456</v>
      </c>
      <c r="S388" s="102" t="str">
        <f t="shared" si="20"/>
        <v>Nedre Buskerud Boligbyggelag (NBBO)</v>
      </c>
    </row>
    <row r="389" spans="11:19" x14ac:dyDescent="0.15">
      <c r="K389" s="102" t="str">
        <f>tbl_ArchitectureOffices!D389</f>
        <v xml:space="preserve">Pedersen arkitekter as, Kyrre </v>
      </c>
      <c r="L389" s="102">
        <f>tbl_ArchitectureOffices!C389</f>
        <v>171489</v>
      </c>
      <c r="M389" s="102" t="str">
        <f t="shared" si="18"/>
        <v>Pedersen arkitekter as, Kyrre</v>
      </c>
      <c r="N389" s="102" t="str">
        <f>tbl_Companys!D389</f>
        <v>Gaia Tjøme</v>
      </c>
      <c r="O389" s="102">
        <f>tbl_Companys!C389</f>
        <v>172711</v>
      </c>
      <c r="P389" s="102" t="str">
        <f t="shared" si="19"/>
        <v>Gaia Tjøme</v>
      </c>
      <c r="Q389" s="102" t="str">
        <f>tbl_ConsultingCompanys!D389</f>
        <v>Nesodden kommune</v>
      </c>
      <c r="R389" s="102">
        <f>tbl_ConsultingCompanys!C389</f>
        <v>160571</v>
      </c>
      <c r="S389" s="102" t="str">
        <f t="shared" si="20"/>
        <v>Nesodden kommune</v>
      </c>
    </row>
    <row r="390" spans="11:19" x14ac:dyDescent="0.15">
      <c r="K390" s="102" t="str">
        <f>tbl_ArchitectureOffices!D390</f>
        <v>Pedersen/ Ege Arkitekter AS</v>
      </c>
      <c r="L390" s="102">
        <f>tbl_ArchitectureOffices!C390</f>
        <v>173039</v>
      </c>
      <c r="M390" s="102" t="str">
        <f t="shared" si="18"/>
        <v>Pedersen/ Ege Arkitekter AS</v>
      </c>
      <c r="N390" s="102" t="str">
        <f>tbl_Companys!D390</f>
        <v xml:space="preserve">Gasa A/S, Arkitektkontoret </v>
      </c>
      <c r="O390" s="102">
        <f>tbl_Companys!C390</f>
        <v>166731</v>
      </c>
      <c r="P390" s="102" t="str">
        <f t="shared" si="19"/>
        <v>Gasa A/S, Arkitektkontoret</v>
      </c>
      <c r="Q390" s="102" t="str">
        <f>tbl_ConsultingCompanys!D390</f>
        <v>Nexi Bygg as</v>
      </c>
      <c r="R390" s="102">
        <f>tbl_ConsultingCompanys!C390</f>
        <v>94533</v>
      </c>
      <c r="S390" s="102" t="str">
        <f t="shared" si="20"/>
        <v>Nexi Bygg as</v>
      </c>
    </row>
    <row r="391" spans="11:19" x14ac:dyDescent="0.15">
      <c r="K391" s="102" t="str">
        <f>tbl_ArchitectureOffices!D391</f>
        <v>Perspektiv Arkitekter AS</v>
      </c>
      <c r="L391" s="102">
        <f>tbl_ArchitectureOffices!C391</f>
        <v>171488</v>
      </c>
      <c r="M391" s="102" t="str">
        <f t="shared" si="18"/>
        <v>Perspektiv Arkitekter AS</v>
      </c>
      <c r="N391" s="102" t="str">
        <f>tbl_Companys!D391</f>
        <v>Gauldal Bygg AS</v>
      </c>
      <c r="O391" s="102">
        <f>tbl_Companys!C391</f>
        <v>222846</v>
      </c>
      <c r="P391" s="102" t="str">
        <f t="shared" si="19"/>
        <v>Gauldal Bygg AS</v>
      </c>
      <c r="Q391" s="102" t="str">
        <f>tbl_ConsultingCompanys!D391</f>
        <v>Nils Ivar Bovim</v>
      </c>
      <c r="R391" s="102">
        <f>tbl_ConsultingCompanys!C391</f>
        <v>193869</v>
      </c>
      <c r="S391" s="102" t="str">
        <f t="shared" si="20"/>
        <v>Nils Ivar Bovim</v>
      </c>
    </row>
    <row r="392" spans="11:19" x14ac:dyDescent="0.15">
      <c r="K392" s="102" t="str">
        <f>tbl_ArchitectureOffices!D392</f>
        <v>Pettersen &amp; Partners - Hospital Planning and Design</v>
      </c>
      <c r="L392" s="102">
        <f>tbl_ArchitectureOffices!C392</f>
        <v>171486</v>
      </c>
      <c r="M392" s="102" t="str">
        <f t="shared" si="18"/>
        <v>Pettersen &amp; Partners - Hospital Planning and Design</v>
      </c>
      <c r="N392" s="102" t="str">
        <f>tbl_Companys!D392</f>
        <v>Geir Knudsen AS</v>
      </c>
      <c r="O392" s="102">
        <f>tbl_Companys!C392</f>
        <v>166298</v>
      </c>
      <c r="P392" s="102" t="str">
        <f t="shared" si="19"/>
        <v>Geir Knudsen AS</v>
      </c>
      <c r="Q392" s="102" t="str">
        <f>tbl_ConsultingCompanys!D392</f>
        <v>NODE rådgivende ing.AS</v>
      </c>
      <c r="R392" s="102">
        <f>tbl_ConsultingCompanys!C392</f>
        <v>166297</v>
      </c>
      <c r="S392" s="102" t="str">
        <f t="shared" si="20"/>
        <v>NODE rådgivende ing.AS</v>
      </c>
    </row>
    <row r="393" spans="11:19" x14ac:dyDescent="0.15">
      <c r="K393" s="102" t="str">
        <f>tbl_ArchitectureOffices!D393</f>
        <v>Pir II AS</v>
      </c>
      <c r="L393" s="102">
        <f>tbl_ArchitectureOffices!C393</f>
        <v>171485</v>
      </c>
      <c r="M393" s="102" t="str">
        <f t="shared" si="18"/>
        <v>Pir II AS</v>
      </c>
      <c r="N393" s="102" t="str">
        <f>tbl_Companys!D393</f>
        <v>Geoenergi as</v>
      </c>
      <c r="O393" s="102">
        <f>tbl_Companys!C393</f>
        <v>120246</v>
      </c>
      <c r="P393" s="102" t="str">
        <f t="shared" si="19"/>
        <v>Geoenergi as</v>
      </c>
      <c r="Q393" s="102" t="str">
        <f>tbl_ConsultingCompanys!D393</f>
        <v>NODE rådgivende ingeniører as (RIB)</v>
      </c>
      <c r="R393" s="102">
        <f>tbl_ConsultingCompanys!C393</f>
        <v>215424</v>
      </c>
      <c r="S393" s="102" t="str">
        <f t="shared" si="20"/>
        <v>NODE rådgivende ingeniører as (RIB)</v>
      </c>
    </row>
    <row r="394" spans="11:19" x14ac:dyDescent="0.15">
      <c r="K394" s="102" t="str">
        <f>tbl_ArchitectureOffices!D394</f>
        <v>Pir II Oslo AS</v>
      </c>
      <c r="L394" s="102">
        <f>tbl_ArchitectureOffices!C394</f>
        <v>233236</v>
      </c>
      <c r="M394" s="102" t="str">
        <f t="shared" si="18"/>
        <v>Pir II Oslo AS</v>
      </c>
      <c r="N394" s="102" t="str">
        <f>tbl_Companys!D394</f>
        <v>Ghilardi+Hellsten Arkitekter</v>
      </c>
      <c r="O394" s="102">
        <f>tbl_Companys!C394</f>
        <v>166732</v>
      </c>
      <c r="P394" s="102" t="str">
        <f t="shared" si="19"/>
        <v>Ghilardi+Hellsten Arkitekter</v>
      </c>
      <c r="Q394" s="102" t="str">
        <f>tbl_ConsultingCompanys!D394</f>
        <v>Norconsult AS</v>
      </c>
      <c r="R394" s="102">
        <f>tbl_ConsultingCompanys!C394</f>
        <v>103147</v>
      </c>
      <c r="S394" s="102" t="str">
        <f t="shared" si="20"/>
        <v>Norconsult AS</v>
      </c>
    </row>
    <row r="395" spans="11:19" x14ac:dyDescent="0.15">
      <c r="K395" s="102" t="str">
        <f>tbl_ArchitectureOffices!D395</f>
        <v>PirII i samarbeid med Studenter ved Högskolan för Design och Konsthandtverk i Göteborg (SUB lugarer)</v>
      </c>
      <c r="L395" s="102">
        <f>tbl_ArchitectureOffices!C395</f>
        <v>230105</v>
      </c>
      <c r="M395" s="102" t="str">
        <f t="shared" si="18"/>
        <v>PirII i samarbeid med Studenter ved Högskolan för Design och Konsthandtverk i Göteborg (SUB lugarer)</v>
      </c>
      <c r="N395" s="102" t="str">
        <f>tbl_Companys!D395</f>
        <v xml:space="preserve">Gjøen, Arne </v>
      </c>
      <c r="O395" s="102">
        <f>tbl_Companys!C395</f>
        <v>166733</v>
      </c>
      <c r="P395" s="102" t="str">
        <f t="shared" si="19"/>
        <v>Gjøen, Arne</v>
      </c>
      <c r="Q395" s="102" t="str">
        <f>tbl_ConsultingCompanys!D395</f>
        <v>NorDan AS (dører, vinduer, glassfasade)</v>
      </c>
      <c r="R395" s="102">
        <f>tbl_ConsultingCompanys!C395</f>
        <v>172953</v>
      </c>
      <c r="S395" s="102" t="str">
        <f t="shared" si="20"/>
        <v>NorDan AS (dører, vinduer, glassfasade)</v>
      </c>
    </row>
    <row r="396" spans="11:19" x14ac:dyDescent="0.15">
      <c r="K396" s="102" t="str">
        <f>tbl_ArchitectureOffices!D396</f>
        <v>pka Arkitekter</v>
      </c>
      <c r="L396" s="102">
        <f>tbl_ArchitectureOffices!C396</f>
        <v>232085</v>
      </c>
      <c r="M396" s="102" t="str">
        <f t="shared" si="18"/>
        <v>pka Arkitekter</v>
      </c>
      <c r="N396" s="102" t="str">
        <f>tbl_Companys!D396</f>
        <v xml:space="preserve">Gjørven AS, Arkitektkontoret Ingrid Ulving </v>
      </c>
      <c r="O396" s="102">
        <f>tbl_Companys!C396</f>
        <v>166734</v>
      </c>
      <c r="P396" s="102" t="str">
        <f t="shared" si="19"/>
        <v>Gjørven AS, Arkitektkontoret Ingrid Ulving</v>
      </c>
      <c r="Q396" s="102" t="str">
        <f>tbl_ConsultingCompanys!D396</f>
        <v xml:space="preserve">Nordbohus AS v/ ingeniør Randi Nåvik </v>
      </c>
      <c r="R396" s="102">
        <f>tbl_ConsultingCompanys!C396</f>
        <v>111983</v>
      </c>
      <c r="S396" s="102" t="str">
        <f t="shared" si="20"/>
        <v>Nordbohus AS v/ ingeniør Randi Nåvik</v>
      </c>
    </row>
    <row r="397" spans="11:19" x14ac:dyDescent="0.15">
      <c r="K397" s="102" t="str">
        <f>tbl_ArchitectureOffices!D397</f>
        <v>Plan arkitekter AS</v>
      </c>
      <c r="L397" s="102">
        <f>tbl_ArchitectureOffices!C397</f>
        <v>171483</v>
      </c>
      <c r="M397" s="102" t="str">
        <f t="shared" si="18"/>
        <v>Plan arkitekter AS</v>
      </c>
      <c r="N397" s="102" t="str">
        <f>tbl_Companys!D397</f>
        <v>GK Norge AS</v>
      </c>
      <c r="O397" s="102">
        <f>tbl_Companys!C397</f>
        <v>245787</v>
      </c>
      <c r="P397" s="102" t="str">
        <f t="shared" si="19"/>
        <v>GK Norge AS</v>
      </c>
      <c r="Q397" s="102" t="str">
        <f>tbl_ConsultingCompanys!D397</f>
        <v>Nordesign</v>
      </c>
      <c r="R397" s="102">
        <f>tbl_ConsultingCompanys!C397</f>
        <v>232352</v>
      </c>
      <c r="S397" s="102" t="str">
        <f t="shared" si="20"/>
        <v>Nordesign</v>
      </c>
    </row>
    <row r="398" spans="11:19" x14ac:dyDescent="0.15">
      <c r="K398" s="102" t="str">
        <f>tbl_ArchitectureOffices!D398</f>
        <v>PlanA AS</v>
      </c>
      <c r="L398" s="102">
        <f>tbl_ArchitectureOffices!C398</f>
        <v>171484</v>
      </c>
      <c r="M398" s="102" t="str">
        <f t="shared" si="18"/>
        <v>PlanA AS</v>
      </c>
      <c r="N398" s="102" t="str">
        <f>tbl_Companys!D398</f>
        <v>Glassbygg AS</v>
      </c>
      <c r="O398" s="102">
        <f>tbl_Companys!C398</f>
        <v>233807</v>
      </c>
      <c r="P398" s="102" t="str">
        <f t="shared" si="19"/>
        <v>Glassbygg AS</v>
      </c>
      <c r="Q398" s="102" t="str">
        <f>tbl_ConsultingCompanys!D398</f>
        <v>Nordland Fylkeskommune</v>
      </c>
      <c r="R398" s="102">
        <f>tbl_ConsultingCompanys!C398</f>
        <v>223331</v>
      </c>
      <c r="S398" s="102" t="str">
        <f t="shared" si="20"/>
        <v>Nordland Fylkeskommune</v>
      </c>
    </row>
    <row r="399" spans="11:19" x14ac:dyDescent="0.15">
      <c r="K399" s="102" t="str">
        <f>tbl_ArchitectureOffices!D399</f>
        <v>Plan-AE</v>
      </c>
      <c r="L399" s="102">
        <f>tbl_ArchitectureOffices!C399</f>
        <v>171482</v>
      </c>
      <c r="M399" s="102" t="str">
        <f t="shared" si="18"/>
        <v>Plan-AE</v>
      </c>
      <c r="N399" s="102" t="str">
        <f>tbl_Companys!D399</f>
        <v>Glassfasade GF01: Skandinaviska Glassystem</v>
      </c>
      <c r="O399" s="102">
        <f>tbl_Companys!C399</f>
        <v>202823</v>
      </c>
      <c r="P399" s="102" t="str">
        <f t="shared" si="19"/>
        <v>Glassfasade GF01: Skandinaviska Glassystem</v>
      </c>
      <c r="Q399" s="102" t="str">
        <f>tbl_ConsultingCompanys!D399</f>
        <v>Norelement (PREFAB)</v>
      </c>
      <c r="R399" s="102">
        <f>tbl_ConsultingCompanys!C399</f>
        <v>158234</v>
      </c>
      <c r="S399" s="102" t="str">
        <f t="shared" si="20"/>
        <v>Norelement (PREFAB)</v>
      </c>
    </row>
    <row r="400" spans="11:19" x14ac:dyDescent="0.15">
      <c r="K400" s="102" t="str">
        <f>tbl_ArchitectureOffices!D400</f>
        <v>Planforum Arkitekter AS</v>
      </c>
      <c r="L400" s="102">
        <f>tbl_ArchitectureOffices!C400</f>
        <v>171481</v>
      </c>
      <c r="M400" s="102" t="str">
        <f t="shared" si="18"/>
        <v>Planforum Arkitekter AS</v>
      </c>
      <c r="N400" s="102" t="str">
        <f>tbl_Companys!D400</f>
        <v>glava as</v>
      </c>
      <c r="O400" s="102">
        <f>tbl_Companys!C400</f>
        <v>155325</v>
      </c>
      <c r="P400" s="102" t="str">
        <f t="shared" si="19"/>
        <v>glava as</v>
      </c>
      <c r="Q400" s="102" t="str">
        <f>tbl_ConsultingCompanys!D400</f>
        <v>Norelement Dag Kerlefsen (PREFAB)</v>
      </c>
      <c r="R400" s="102">
        <f>tbl_ConsultingCompanys!C400</f>
        <v>158196</v>
      </c>
      <c r="S400" s="102" t="str">
        <f t="shared" si="20"/>
        <v>Norelement Dag Kerlefsen (PREFAB)</v>
      </c>
    </row>
    <row r="401" spans="11:19" x14ac:dyDescent="0.15">
      <c r="K401" s="102" t="str">
        <f>tbl_ArchitectureOffices!D401</f>
        <v>Plank arkitekter AS</v>
      </c>
      <c r="L401" s="102">
        <f>tbl_ArchitectureOffices!C401</f>
        <v>171480</v>
      </c>
      <c r="M401" s="102" t="str">
        <f t="shared" si="18"/>
        <v>Plank arkitekter AS</v>
      </c>
      <c r="N401" s="102" t="str">
        <f>tbl_Companys!D401</f>
        <v>Gravbrøt siv.ark. MNAL, Pia Maria</v>
      </c>
      <c r="O401" s="102">
        <f>tbl_Companys!C401</f>
        <v>166735</v>
      </c>
      <c r="P401" s="102" t="str">
        <f t="shared" si="19"/>
        <v>Gravbrøt siv.ark. MNAL, Pia Maria</v>
      </c>
      <c r="Q401" s="102" t="str">
        <f>tbl_ConsultingCompanys!D401</f>
        <v>Norgeshus AS</v>
      </c>
      <c r="R401" s="102">
        <f>tbl_ConsultingCompanys!C401</f>
        <v>246401</v>
      </c>
      <c r="S401" s="102" t="str">
        <f t="shared" si="20"/>
        <v>Norgeshus AS</v>
      </c>
    </row>
    <row r="402" spans="11:19" x14ac:dyDescent="0.15">
      <c r="K402" s="102" t="str">
        <f>tbl_ArchitectureOffices!D402</f>
        <v>Plot arkitekter as</v>
      </c>
      <c r="L402" s="102">
        <f>tbl_ArchitectureOffices!C402</f>
        <v>230009</v>
      </c>
      <c r="M402" s="102" t="str">
        <f t="shared" si="18"/>
        <v>Plot arkitekter as</v>
      </c>
      <c r="N402" s="102" t="str">
        <f>tbl_Companys!D402</f>
        <v>Graveentreprenør Geir Stuberg</v>
      </c>
      <c r="O402" s="102">
        <f>tbl_Companys!C402</f>
        <v>225761</v>
      </c>
      <c r="P402" s="102" t="str">
        <f t="shared" si="19"/>
        <v>Graveentreprenør Geir Stuberg</v>
      </c>
      <c r="Q402" s="102" t="str">
        <f>tbl_ConsultingCompanys!D402</f>
        <v>Norsas</v>
      </c>
      <c r="R402" s="102">
        <f>tbl_ConsultingCompanys!C402</f>
        <v>184491</v>
      </c>
      <c r="S402" s="102" t="str">
        <f t="shared" si="20"/>
        <v>Norsas</v>
      </c>
    </row>
    <row r="403" spans="11:19" x14ac:dyDescent="0.15">
      <c r="K403" s="102" t="str">
        <f>tbl_ArchitectureOffices!D403</f>
        <v>Plus arkitektur AS</v>
      </c>
      <c r="L403" s="102">
        <f>tbl_ArchitectureOffices!C403</f>
        <v>182236</v>
      </c>
      <c r="M403" s="102" t="str">
        <f t="shared" si="18"/>
        <v>Plus arkitektur AS</v>
      </c>
      <c r="N403" s="102" t="str">
        <f>tbl_Companys!D403</f>
        <v>Greåker VVS AS</v>
      </c>
      <c r="O403" s="102">
        <f>tbl_Companys!C403</f>
        <v>103364</v>
      </c>
      <c r="P403" s="102" t="str">
        <f t="shared" si="19"/>
        <v>Greåker VVS AS</v>
      </c>
      <c r="Q403" s="102" t="str">
        <f>tbl_ConsultingCompanys!D403</f>
        <v>Norsk brannvernforening</v>
      </c>
      <c r="R403" s="102">
        <f>tbl_ConsultingCompanys!C403</f>
        <v>247312</v>
      </c>
      <c r="S403" s="102" t="str">
        <f t="shared" si="20"/>
        <v>Norsk brannvernforening</v>
      </c>
    </row>
    <row r="404" spans="11:19" x14ac:dyDescent="0.15">
      <c r="K404" s="102" t="str">
        <f>tbl_ArchitectureOffices!D404</f>
        <v>PML Arkitektur, sivilarkitekt Per Martin Landfald MNAL</v>
      </c>
      <c r="L404" s="102">
        <f>tbl_ArchitectureOffices!C404</f>
        <v>171479</v>
      </c>
      <c r="M404" s="102" t="str">
        <f t="shared" si="18"/>
        <v>PML Arkitektur, sivilarkitekt Per Martin Landfald MNAL</v>
      </c>
      <c r="N404" s="102" t="str">
        <f>tbl_Companys!D404</f>
        <v xml:space="preserve">Grieg AS, Arkitektkontoret </v>
      </c>
      <c r="O404" s="102">
        <f>tbl_Companys!C404</f>
        <v>166736</v>
      </c>
      <c r="P404" s="102" t="str">
        <f t="shared" si="19"/>
        <v>Grieg AS, Arkitektkontoret</v>
      </c>
      <c r="Q404" s="102" t="str">
        <f>tbl_ConsultingCompanys!D404</f>
        <v>Norsk institutt for naturforskning (NINA)</v>
      </c>
      <c r="R404" s="102">
        <f>tbl_ConsultingCompanys!C404</f>
        <v>246946</v>
      </c>
      <c r="S404" s="102" t="str">
        <f t="shared" si="20"/>
        <v>Norsk institutt for naturforskning (NINA)</v>
      </c>
    </row>
    <row r="405" spans="11:19" x14ac:dyDescent="0.15">
      <c r="K405" s="102" t="str">
        <f>tbl_ArchitectureOffices!D405</f>
        <v>Point AS arkitektur+konseptdesign</v>
      </c>
      <c r="L405" s="102">
        <f>tbl_ArchitectureOffices!C405</f>
        <v>171478</v>
      </c>
      <c r="M405" s="102" t="str">
        <f t="shared" si="18"/>
        <v>Point AS arkitektur+konseptdesign</v>
      </c>
      <c r="N405" s="102" t="str">
        <f>tbl_Companys!D405</f>
        <v>Grinde AS</v>
      </c>
      <c r="O405" s="102">
        <f>tbl_Companys!C405</f>
        <v>166737</v>
      </c>
      <c r="P405" s="102" t="str">
        <f t="shared" si="19"/>
        <v>Grinde AS</v>
      </c>
      <c r="Q405" s="102" t="str">
        <f>tbl_ConsultingCompanys!D405</f>
        <v>Norsk Massivtre AS</v>
      </c>
      <c r="R405" s="102">
        <f>tbl_ConsultingCompanys!C405</f>
        <v>177615</v>
      </c>
      <c r="S405" s="102" t="str">
        <f t="shared" si="20"/>
        <v>Norsk Massivtre AS</v>
      </c>
    </row>
    <row r="406" spans="11:19" x14ac:dyDescent="0.15">
      <c r="K406" s="102" t="str">
        <f>tbl_ArchitectureOffices!D406</f>
        <v>Poulsson/Pran AS</v>
      </c>
      <c r="L406" s="102">
        <f>tbl_ArchitectureOffices!C406</f>
        <v>166525</v>
      </c>
      <c r="M406" s="102" t="str">
        <f t="shared" si="18"/>
        <v>Poulsson/Pran AS</v>
      </c>
      <c r="N406" s="102" t="str">
        <f>tbl_Companys!D406</f>
        <v>Grip og Zen Resort (miljøsertifisering)</v>
      </c>
      <c r="O406" s="102">
        <f>tbl_Companys!C406</f>
        <v>178591</v>
      </c>
      <c r="P406" s="102" t="str">
        <f t="shared" si="19"/>
        <v>Grip og Zen Resort (miljøsertifisering)</v>
      </c>
      <c r="Q406" s="102" t="str">
        <f>tbl_ConsultingCompanys!D406</f>
        <v>Norsk Oljemuseum</v>
      </c>
      <c r="R406" s="102">
        <f>tbl_ConsultingCompanys!C406</f>
        <v>192372</v>
      </c>
      <c r="S406" s="102" t="str">
        <f t="shared" si="20"/>
        <v>Norsk Oljemuseum</v>
      </c>
    </row>
    <row r="407" spans="11:19" x14ac:dyDescent="0.15">
      <c r="K407" s="102" t="str">
        <f>tbl_ArchitectureOffices!D407</f>
        <v>PPR arkitektur &amp; design AS</v>
      </c>
      <c r="L407" s="102">
        <f>tbl_ArchitectureOffices!C407</f>
        <v>171491</v>
      </c>
      <c r="M407" s="102" t="str">
        <f t="shared" si="18"/>
        <v>PPR arkitektur &amp; design AS</v>
      </c>
      <c r="N407" s="102" t="str">
        <f>tbl_Companys!D407</f>
        <v>Gro Hovda sivilarkitekt mnal</v>
      </c>
      <c r="O407" s="102">
        <f>tbl_Companys!C407</f>
        <v>229124</v>
      </c>
      <c r="P407" s="102" t="str">
        <f t="shared" si="19"/>
        <v>Gro Hovda sivilarkitekt mnal</v>
      </c>
      <c r="Q407" s="102" t="str">
        <f>tbl_ConsultingCompanys!D407</f>
        <v xml:space="preserve">Noveta AS </v>
      </c>
      <c r="R407" s="102">
        <f>tbl_ConsultingCompanys!C407</f>
        <v>202451</v>
      </c>
      <c r="S407" s="102" t="str">
        <f t="shared" si="20"/>
        <v>Noveta AS</v>
      </c>
    </row>
    <row r="408" spans="11:19" x14ac:dyDescent="0.15">
      <c r="K408" s="102" t="str">
        <f>tbl_ArchitectureOffices!D408</f>
        <v>Praksis sivilarkitekter as</v>
      </c>
      <c r="L408" s="102">
        <f>tbl_ArchitectureOffices!C408</f>
        <v>171477</v>
      </c>
      <c r="M408" s="102" t="str">
        <f t="shared" si="18"/>
        <v>Praksis sivilarkitekter as</v>
      </c>
      <c r="N408" s="102" t="str">
        <f>tbl_Companys!D408</f>
        <v>Grong kommune</v>
      </c>
      <c r="O408" s="102">
        <f>tbl_Companys!C408</f>
        <v>160603</v>
      </c>
      <c r="P408" s="102" t="str">
        <f t="shared" si="19"/>
        <v>Grong kommune</v>
      </c>
      <c r="Q408" s="102" t="str">
        <f>tbl_ConsultingCompanys!D408</f>
        <v>NTNU</v>
      </c>
      <c r="R408" s="102">
        <f>tbl_ConsultingCompanys!C408</f>
        <v>178928</v>
      </c>
      <c r="S408" s="102" t="str">
        <f t="shared" si="20"/>
        <v>NTNU</v>
      </c>
    </row>
    <row r="409" spans="11:19" x14ac:dyDescent="0.15">
      <c r="K409" s="102" t="str">
        <f>tbl_ArchitectureOffices!D409</f>
        <v xml:space="preserve">Pran, Peter </v>
      </c>
      <c r="L409" s="102">
        <f>tbl_ArchitectureOffices!C409</f>
        <v>171476</v>
      </c>
      <c r="M409" s="102" t="str">
        <f t="shared" si="18"/>
        <v>Pran, Peter</v>
      </c>
      <c r="N409" s="102" t="str">
        <f>tbl_Companys!D409</f>
        <v>Grøner AS</v>
      </c>
      <c r="O409" s="102">
        <f>tbl_Companys!C409</f>
        <v>103250</v>
      </c>
      <c r="P409" s="102" t="str">
        <f t="shared" si="19"/>
        <v>Grøner AS</v>
      </c>
      <c r="Q409" s="102" t="str">
        <f>tbl_ConsultingCompanys!D409</f>
        <v>Nygaard AS</v>
      </c>
      <c r="R409" s="102">
        <f>tbl_ConsultingCompanys!C409</f>
        <v>192282</v>
      </c>
      <c r="S409" s="102" t="str">
        <f t="shared" si="20"/>
        <v>Nygaard AS</v>
      </c>
    </row>
    <row r="410" spans="11:19" x14ac:dyDescent="0.15">
      <c r="K410" s="102" t="str">
        <f>tbl_ArchitectureOffices!D410</f>
        <v>Puls Arkitekter AS</v>
      </c>
      <c r="L410" s="102">
        <f>tbl_ArchitectureOffices!C410</f>
        <v>171473</v>
      </c>
      <c r="M410" s="102" t="str">
        <f t="shared" si="18"/>
        <v>Puls Arkitekter AS</v>
      </c>
      <c r="N410" s="102" t="str">
        <f>tbl_Companys!D410</f>
        <v>Grønmyr Barnehage</v>
      </c>
      <c r="O410" s="102">
        <f>tbl_Companys!C410</f>
        <v>218416</v>
      </c>
      <c r="P410" s="102" t="str">
        <f t="shared" si="19"/>
        <v>Grønmyr Barnehage</v>
      </c>
      <c r="Q410" s="102" t="str">
        <f>tbl_ConsultingCompanys!D410</f>
        <v>Nyland byggeadministrasjon AS</v>
      </c>
      <c r="R410" s="102">
        <f>tbl_ConsultingCompanys!C410</f>
        <v>245784</v>
      </c>
      <c r="S410" s="102" t="str">
        <f t="shared" si="20"/>
        <v>Nyland byggeadministrasjon AS</v>
      </c>
    </row>
    <row r="411" spans="11:19" x14ac:dyDescent="0.15">
      <c r="K411" s="102" t="str">
        <f>tbl_ArchitectureOffices!D411</f>
        <v>Pushak arkitekter</v>
      </c>
      <c r="L411" s="102">
        <f>tbl_ArchitectureOffices!C411</f>
        <v>171472</v>
      </c>
      <c r="M411" s="102" t="str">
        <f t="shared" si="18"/>
        <v>Pushak arkitekter</v>
      </c>
      <c r="N411" s="102" t="str">
        <f>tbl_Companys!D411</f>
        <v>Grønmyr Bygg v/Ole Eliassen</v>
      </c>
      <c r="O411" s="102">
        <f>tbl_Companys!C411</f>
        <v>218412</v>
      </c>
      <c r="P411" s="102" t="str">
        <f t="shared" si="19"/>
        <v>Grønmyr Bygg v/Ole Eliassen</v>
      </c>
      <c r="Q411" s="102" t="str">
        <f>tbl_ConsultingCompanys!D411</f>
        <v>OBAS</v>
      </c>
      <c r="R411" s="102">
        <f>tbl_ConsultingCompanys!C411</f>
        <v>204487</v>
      </c>
      <c r="S411" s="102" t="str">
        <f t="shared" si="20"/>
        <v>OBAS</v>
      </c>
    </row>
    <row r="412" spans="11:19" x14ac:dyDescent="0.15">
      <c r="K412" s="102" t="str">
        <f>tbl_ArchitectureOffices!D412</f>
        <v>PV arkitekter as</v>
      </c>
      <c r="L412" s="102">
        <f>tbl_ArchitectureOffices!C412</f>
        <v>172662</v>
      </c>
      <c r="M412" s="102" t="str">
        <f t="shared" si="18"/>
        <v>PV arkitekter as</v>
      </c>
      <c r="N412" s="102" t="str">
        <f>tbl_Companys!D412</f>
        <v>Grønn strek as</v>
      </c>
      <c r="O412" s="102">
        <f>tbl_Companys!C412</f>
        <v>242868</v>
      </c>
      <c r="P412" s="102" t="str">
        <f t="shared" si="19"/>
        <v>Grønn strek as</v>
      </c>
      <c r="Q412" s="102" t="str">
        <f>tbl_ConsultingCompanys!D412</f>
        <v>OBOS nye hjem</v>
      </c>
      <c r="R412" s="102">
        <f>tbl_ConsultingCompanys!C412</f>
        <v>160585</v>
      </c>
      <c r="S412" s="102" t="str">
        <f t="shared" si="20"/>
        <v>OBOS nye hjem</v>
      </c>
    </row>
    <row r="413" spans="11:19" x14ac:dyDescent="0.15">
      <c r="K413" s="102" t="str">
        <f>tbl_ArchitectureOffices!D413</f>
        <v>PW Arkitekter AS</v>
      </c>
      <c r="L413" s="102">
        <f>tbl_ArchitectureOffices!C413</f>
        <v>171471</v>
      </c>
      <c r="M413" s="102" t="str">
        <f t="shared" si="18"/>
        <v>PW Arkitekter AS</v>
      </c>
      <c r="N413" s="102" t="str">
        <f>tbl_Companys!D413</f>
        <v xml:space="preserve">Gsella, Christian </v>
      </c>
      <c r="O413" s="102">
        <f>tbl_Companys!C413</f>
        <v>166738</v>
      </c>
      <c r="P413" s="102" t="str">
        <f t="shared" si="19"/>
        <v>Gsella, Christian</v>
      </c>
      <c r="Q413" s="102" t="str">
        <f>tbl_ConsultingCompanys!D413</f>
        <v>OBOS Nye Hjem</v>
      </c>
      <c r="R413" s="102">
        <f>tbl_ConsultingCompanys!C413</f>
        <v>204958</v>
      </c>
      <c r="S413" s="102" t="str">
        <f t="shared" si="20"/>
        <v>OBOS Nye Hjem</v>
      </c>
    </row>
    <row r="414" spans="11:19" x14ac:dyDescent="0.15">
      <c r="K414" s="102" t="str">
        <f>tbl_ArchitectureOffices!D414</f>
        <v>RAM arkitektur as</v>
      </c>
      <c r="L414" s="102">
        <f>tbl_ArchitectureOffices!C414</f>
        <v>172784</v>
      </c>
      <c r="M414" s="102" t="str">
        <f t="shared" si="18"/>
        <v>RAM arkitektur as</v>
      </c>
      <c r="N414" s="102" t="str">
        <f>tbl_Companys!D414</f>
        <v>Gunnar Karlsen AS (automatisering)</v>
      </c>
      <c r="O414" s="102">
        <f>tbl_Companys!C414</f>
        <v>172629</v>
      </c>
      <c r="P414" s="102" t="str">
        <f t="shared" si="19"/>
        <v>Gunnar Karlsen AS (automatisering)</v>
      </c>
      <c r="Q414" s="102" t="str">
        <f>tbl_ConsultingCompanys!D414</f>
        <v>OEC Consulting AS</v>
      </c>
      <c r="R414" s="102">
        <f>tbl_ConsultingCompanys!C414</f>
        <v>214495</v>
      </c>
      <c r="S414" s="102" t="str">
        <f t="shared" si="20"/>
        <v>OEC Consulting AS</v>
      </c>
    </row>
    <row r="415" spans="11:19" x14ac:dyDescent="0.15">
      <c r="K415" s="102" t="str">
        <f>tbl_ArchitectureOffices!D415</f>
        <v xml:space="preserve">Ramberg AS sivilarkitekter MNAL, Torstein </v>
      </c>
      <c r="L415" s="102">
        <f>tbl_ArchitectureOffices!C415</f>
        <v>166682</v>
      </c>
      <c r="M415" s="102" t="str">
        <f t="shared" si="18"/>
        <v>Ramberg AS sivilarkitekter MNAL, Torstein</v>
      </c>
      <c r="N415" s="102" t="str">
        <f>tbl_Companys!D415</f>
        <v>h. arkitektiner as</v>
      </c>
      <c r="O415" s="102">
        <f>tbl_Companys!C415</f>
        <v>171509</v>
      </c>
      <c r="P415" s="102" t="str">
        <f t="shared" si="19"/>
        <v>h. arkitektiner as</v>
      </c>
      <c r="Q415" s="102" t="str">
        <f>tbl_ConsultingCompanys!D415</f>
        <v>OFE AS</v>
      </c>
      <c r="R415" s="102">
        <f>tbl_ConsultingCompanys!C415</f>
        <v>101079</v>
      </c>
      <c r="S415" s="102" t="str">
        <f t="shared" si="20"/>
        <v>OFE AS</v>
      </c>
    </row>
    <row r="416" spans="11:19" x14ac:dyDescent="0.15">
      <c r="K416" s="102" t="str">
        <f>tbl_ArchitectureOffices!D416</f>
        <v>Rambøll Aros AS</v>
      </c>
      <c r="L416" s="102">
        <f>tbl_ArchitectureOffices!C416</f>
        <v>166680</v>
      </c>
      <c r="M416" s="102" t="str">
        <f t="shared" si="18"/>
        <v>Rambøll Aros AS</v>
      </c>
      <c r="N416" s="102" t="str">
        <f>tbl_Companys!D416</f>
        <v>H2 Byggeteknikk AS</v>
      </c>
      <c r="O416" s="102">
        <f>tbl_Companys!C416</f>
        <v>231963</v>
      </c>
      <c r="P416" s="102" t="str">
        <f t="shared" si="19"/>
        <v>H2 Byggeteknikk AS</v>
      </c>
      <c r="Q416" s="102" t="str">
        <f>tbl_ConsultingCompanys!D416</f>
        <v>OKK Entreprenør AS</v>
      </c>
      <c r="R416" s="102">
        <f>tbl_ConsultingCompanys!C416</f>
        <v>214156</v>
      </c>
      <c r="S416" s="102" t="str">
        <f t="shared" si="20"/>
        <v>OKK Entreprenør AS</v>
      </c>
    </row>
    <row r="417" spans="11:19" x14ac:dyDescent="0.15">
      <c r="K417" s="102" t="str">
        <f>tbl_ArchitectureOffices!D417</f>
        <v>Rambøll AS</v>
      </c>
      <c r="L417" s="102">
        <f>tbl_ArchitectureOffices!C417</f>
        <v>247615</v>
      </c>
      <c r="M417" s="102" t="str">
        <f t="shared" si="18"/>
        <v>Rambøll AS</v>
      </c>
      <c r="N417" s="102" t="str">
        <f>tbl_Companys!D417</f>
        <v xml:space="preserve">Haaland AS Siv.ark. MNAL, Arkitektkontoret </v>
      </c>
      <c r="O417" s="102">
        <f>tbl_Companys!C417</f>
        <v>172847</v>
      </c>
      <c r="P417" s="102" t="str">
        <f t="shared" si="19"/>
        <v>Haaland AS Siv.ark. MNAL, Arkitektkontoret</v>
      </c>
      <c r="Q417" s="102" t="str">
        <f>tbl_ConsultingCompanys!D417</f>
        <v>Olaussen AS</v>
      </c>
      <c r="R417" s="102">
        <f>tbl_ConsultingCompanys!C417</f>
        <v>213832</v>
      </c>
      <c r="S417" s="102" t="str">
        <f t="shared" si="20"/>
        <v>Olaussen AS</v>
      </c>
    </row>
    <row r="418" spans="11:19" x14ac:dyDescent="0.15">
      <c r="K418" s="102" t="str">
        <f>tbl_ArchitectureOffices!D418</f>
        <v>Rambøll Norge AS Arkitektur og Plan</v>
      </c>
      <c r="L418" s="102">
        <f>tbl_ArchitectureOffices!C418</f>
        <v>166681</v>
      </c>
      <c r="M418" s="102" t="str">
        <f t="shared" si="18"/>
        <v>Rambøll Norge AS Arkitektur og Plan</v>
      </c>
      <c r="N418" s="102" t="str">
        <f>tbl_Companys!D418</f>
        <v>Haarklau og Lindeberg AS</v>
      </c>
      <c r="O418" s="102">
        <f>tbl_Companys!C418</f>
        <v>171141</v>
      </c>
      <c r="P418" s="102" t="str">
        <f t="shared" si="19"/>
        <v>Haarklau og Lindeberg AS</v>
      </c>
      <c r="Q418" s="102" t="str">
        <f>tbl_ConsultingCompanys!D418</f>
        <v xml:space="preserve">Olav Olsen </v>
      </c>
      <c r="R418" s="102">
        <f>tbl_ConsultingCompanys!C418</f>
        <v>120134</v>
      </c>
      <c r="S418" s="102" t="str">
        <f t="shared" si="20"/>
        <v>Olav Olsen</v>
      </c>
    </row>
    <row r="419" spans="11:19" x14ac:dyDescent="0.15">
      <c r="K419" s="102" t="str">
        <f>tbl_ArchitectureOffices!D419</f>
        <v>Ramm Salbu Arkitekter</v>
      </c>
      <c r="L419" s="102">
        <f>tbl_ArchitectureOffices!C419</f>
        <v>166626</v>
      </c>
      <c r="M419" s="102" t="str">
        <f t="shared" si="18"/>
        <v>Ramm Salbu Arkitekter</v>
      </c>
      <c r="N419" s="102" t="str">
        <f>tbl_Companys!D419</f>
        <v>Haga og Grov AS, sivilarkitekter MNAL</v>
      </c>
      <c r="O419" s="102">
        <f>tbl_Companys!C419</f>
        <v>171073</v>
      </c>
      <c r="P419" s="102" t="str">
        <f t="shared" si="19"/>
        <v>Haga og Grov AS, sivilarkitekter MNAL</v>
      </c>
      <c r="Q419" s="102" t="str">
        <f>tbl_ConsultingCompanys!D419</f>
        <v>Ole Jørgen Furdal, Sveio kommune</v>
      </c>
      <c r="R419" s="102">
        <f>tbl_ConsultingCompanys!C419</f>
        <v>172749</v>
      </c>
      <c r="S419" s="102" t="str">
        <f t="shared" si="20"/>
        <v>Ole Jørgen Furdal, Sveio kommune</v>
      </c>
    </row>
    <row r="420" spans="11:19" x14ac:dyDescent="0.15">
      <c r="K420" s="102" t="str">
        <f>tbl_ArchitectureOffices!D420</f>
        <v>Ramsfjell Arkitekter AS</v>
      </c>
      <c r="L420" s="102">
        <f>tbl_ArchitectureOffices!C420</f>
        <v>166679</v>
      </c>
      <c r="M420" s="102" t="str">
        <f t="shared" si="18"/>
        <v>Ramsfjell Arkitekter AS</v>
      </c>
      <c r="N420" s="102" t="str">
        <f>tbl_Companys!D420</f>
        <v>HAK, Holen Arkitektkontor</v>
      </c>
      <c r="O420" s="102">
        <f>tbl_Companys!C420</f>
        <v>171135</v>
      </c>
      <c r="P420" s="102" t="str">
        <f t="shared" si="19"/>
        <v>HAK, Holen Arkitektkontor</v>
      </c>
      <c r="Q420" s="102" t="str">
        <f>tbl_ConsultingCompanys!D420</f>
        <v>Ole K. Karlsen Entreprenør AS</v>
      </c>
      <c r="R420" s="102">
        <f>tbl_ConsultingCompanys!C420</f>
        <v>103185</v>
      </c>
      <c r="S420" s="102" t="str">
        <f t="shared" si="20"/>
        <v>Ole K. Karlsen Entreprenør AS</v>
      </c>
    </row>
    <row r="421" spans="11:19" x14ac:dyDescent="0.15">
      <c r="K421" s="102" t="str">
        <f>tbl_ArchitectureOffices!D421</f>
        <v xml:space="preserve">Ramstad Arkitekter as, Reiulf </v>
      </c>
      <c r="L421" s="102">
        <f>tbl_ArchitectureOffices!C421</f>
        <v>166684</v>
      </c>
      <c r="M421" s="102" t="str">
        <f t="shared" si="18"/>
        <v>Ramstad Arkitekter as, Reiulf</v>
      </c>
      <c r="N421" s="102" t="str">
        <f>tbl_Companys!D421</f>
        <v>Haldde arkitekter AS</v>
      </c>
      <c r="O421" s="102">
        <f>tbl_Companys!C421</f>
        <v>242813</v>
      </c>
      <c r="P421" s="102" t="str">
        <f t="shared" si="19"/>
        <v>Haldde arkitekter AS</v>
      </c>
      <c r="Q421" s="102" t="str">
        <f>tbl_ConsultingCompanys!D421</f>
        <v>Ole Sivertsen AS</v>
      </c>
      <c r="R421" s="102">
        <f>tbl_ConsultingCompanys!C421</f>
        <v>244639</v>
      </c>
      <c r="S421" s="102" t="str">
        <f t="shared" si="20"/>
        <v>Ole Sivertsen AS</v>
      </c>
    </row>
    <row r="422" spans="11:19" x14ac:dyDescent="0.15">
      <c r="K422" s="102" t="str">
        <f>tbl_ArchitectureOffices!D422</f>
        <v>Rastad &amp; Relling Arkitektkontor AS</v>
      </c>
      <c r="L422" s="102">
        <f>tbl_ArchitectureOffices!C422</f>
        <v>166678</v>
      </c>
      <c r="M422" s="102" t="str">
        <f t="shared" si="18"/>
        <v>Rastad &amp; Relling Arkitektkontor AS</v>
      </c>
      <c r="N422" s="102" t="str">
        <f>tbl_Companys!D422</f>
        <v>Halden Arkitektkontor AS</v>
      </c>
      <c r="O422" s="102">
        <f>tbl_Companys!C422</f>
        <v>172598</v>
      </c>
      <c r="P422" s="102" t="str">
        <f t="shared" si="19"/>
        <v>Halden Arkitektkontor AS</v>
      </c>
      <c r="Q422" s="102" t="str">
        <f>tbl_ConsultingCompanys!D422</f>
        <v>Oleivsgard Byggconsult AS</v>
      </c>
      <c r="R422" s="102">
        <f>tbl_ConsultingCompanys!C422</f>
        <v>247302</v>
      </c>
      <c r="S422" s="102" t="str">
        <f t="shared" si="20"/>
        <v>Oleivsgard Byggconsult AS</v>
      </c>
    </row>
    <row r="423" spans="11:19" x14ac:dyDescent="0.15">
      <c r="K423" s="102" t="str">
        <f>tbl_ArchitectureOffices!D423</f>
        <v>Ratio arkitekter as</v>
      </c>
      <c r="L423" s="102">
        <f>tbl_ArchitectureOffices!C423</f>
        <v>206444</v>
      </c>
      <c r="M423" s="102" t="str">
        <f t="shared" si="18"/>
        <v>Ratio arkitekter as</v>
      </c>
      <c r="N423" s="102" t="str">
        <f>tbl_Companys!D423</f>
        <v>Halvorsen &amp; Reine AS</v>
      </c>
      <c r="O423" s="102">
        <f>tbl_Companys!C423</f>
        <v>171075</v>
      </c>
      <c r="P423" s="102" t="str">
        <f t="shared" si="19"/>
        <v>Halvorsen &amp; Reine AS</v>
      </c>
      <c r="Q423" s="102" t="str">
        <f>tbl_ConsultingCompanys!D423</f>
        <v>Olset AS</v>
      </c>
      <c r="R423" s="102">
        <f>tbl_ConsultingCompanys!C423</f>
        <v>103002</v>
      </c>
      <c r="S423" s="102" t="str">
        <f t="shared" si="20"/>
        <v>Olset AS</v>
      </c>
    </row>
    <row r="424" spans="11:19" x14ac:dyDescent="0.15">
      <c r="K424" s="102" t="str">
        <f>tbl_ArchitectureOffices!D424</f>
        <v>Raugstad Arkitektur AS</v>
      </c>
      <c r="L424" s="102">
        <f>tbl_ArchitectureOffices!C424</f>
        <v>244037</v>
      </c>
      <c r="M424" s="102" t="str">
        <f t="shared" si="18"/>
        <v>Raugstad Arkitektur AS</v>
      </c>
      <c r="N424" s="102" t="str">
        <f>tbl_Companys!D424</f>
        <v>Halvorsen AS sivilarkitekt MNAL, Stein</v>
      </c>
      <c r="O424" s="102">
        <f>tbl_Companys!C424</f>
        <v>171076</v>
      </c>
      <c r="P424" s="102" t="str">
        <f t="shared" si="19"/>
        <v>Halvorsen AS sivilarkitekt MNAL, Stein</v>
      </c>
      <c r="Q424" s="102" t="str">
        <f>tbl_ConsultingCompanys!D424</f>
        <v>Omsorgsbygg Oslo KF</v>
      </c>
      <c r="R424" s="102">
        <f>tbl_ConsultingCompanys!C424</f>
        <v>215026</v>
      </c>
      <c r="S424" s="102" t="str">
        <f t="shared" si="20"/>
        <v>Omsorgsbygg Oslo KF</v>
      </c>
    </row>
    <row r="425" spans="11:19" x14ac:dyDescent="0.15">
      <c r="K425" s="102" t="str">
        <f>tbl_ArchitectureOffices!D425</f>
        <v>Re Arkitektur AS</v>
      </c>
      <c r="L425" s="102">
        <f>tbl_ArchitectureOffices!C425</f>
        <v>166677</v>
      </c>
      <c r="M425" s="102" t="str">
        <f t="shared" si="18"/>
        <v>Re Arkitektur AS</v>
      </c>
      <c r="N425" s="102" t="str">
        <f>tbl_Companys!D425</f>
        <v xml:space="preserve">Halvorsen AS, Arkitektkontoret Konrad </v>
      </c>
      <c r="O425" s="102">
        <f>tbl_Companys!C425</f>
        <v>171074</v>
      </c>
      <c r="P425" s="102" t="str">
        <f t="shared" si="19"/>
        <v>Halvorsen AS, Arkitektkontoret Konrad</v>
      </c>
      <c r="Q425" s="102" t="str">
        <f>tbl_ConsultingCompanys!D425</f>
        <v>OPAK AS</v>
      </c>
      <c r="R425" s="102">
        <f>tbl_ConsultingCompanys!C425</f>
        <v>178578</v>
      </c>
      <c r="S425" s="102" t="str">
        <f t="shared" si="20"/>
        <v>OPAK AS</v>
      </c>
    </row>
    <row r="426" spans="11:19" x14ac:dyDescent="0.15">
      <c r="K426" s="102" t="str">
        <f>tbl_ArchitectureOffices!D426</f>
        <v>Rede arkitekter as</v>
      </c>
      <c r="L426" s="102">
        <f>tbl_ArchitectureOffices!C426</f>
        <v>172606</v>
      </c>
      <c r="M426" s="102" t="str">
        <f t="shared" si="18"/>
        <v>Rede arkitekter as</v>
      </c>
      <c r="N426" s="102" t="str">
        <f>tbl_Companys!D426</f>
        <v>Hambra</v>
      </c>
      <c r="O426" s="102">
        <f>tbl_Companys!C426</f>
        <v>110466</v>
      </c>
      <c r="P426" s="102" t="str">
        <f t="shared" si="19"/>
        <v>Hambra</v>
      </c>
      <c r="Q426" s="102" t="str">
        <f>tbl_ConsultingCompanys!D426</f>
        <v>Oppland bygg ans</v>
      </c>
      <c r="R426" s="102">
        <f>tbl_ConsultingCompanys!C426</f>
        <v>247309</v>
      </c>
      <c r="S426" s="102" t="str">
        <f t="shared" si="20"/>
        <v>Oppland bygg ans</v>
      </c>
    </row>
    <row r="427" spans="11:19" x14ac:dyDescent="0.15">
      <c r="K427" s="102" t="str">
        <f>tbl_ArchitectureOffices!D427</f>
        <v>Rever og Drage</v>
      </c>
      <c r="L427" s="102">
        <f>tbl_ArchitectureOffices!C427</f>
        <v>247285</v>
      </c>
      <c r="M427" s="102" t="str">
        <f t="shared" si="18"/>
        <v>Rever og Drage</v>
      </c>
      <c r="N427" s="102" t="str">
        <f>tbl_Companys!D427</f>
        <v>Hammer Rådgivning</v>
      </c>
      <c r="O427" s="102">
        <f>tbl_Companys!C427</f>
        <v>103260</v>
      </c>
      <c r="P427" s="102" t="str">
        <f t="shared" si="19"/>
        <v>Hammer Rådgivning</v>
      </c>
      <c r="Q427" s="102" t="str">
        <f>tbl_ConsultingCompanys!D427</f>
        <v>Oppland fylkeskommune</v>
      </c>
      <c r="R427" s="102">
        <f>tbl_ConsultingCompanys!C427</f>
        <v>247307</v>
      </c>
      <c r="S427" s="102" t="str">
        <f t="shared" si="20"/>
        <v>Oppland fylkeskommune</v>
      </c>
    </row>
    <row r="428" spans="11:19" x14ac:dyDescent="0.15">
      <c r="K428" s="102" t="str">
        <f>tbl_ArchitectureOffices!D428</f>
        <v>RIFT AS</v>
      </c>
      <c r="L428" s="102">
        <f>tbl_ArchitectureOffices!C428</f>
        <v>193622</v>
      </c>
      <c r="M428" s="102" t="str">
        <f t="shared" si="18"/>
        <v>RIFT AS</v>
      </c>
      <c r="N428" s="102" t="str">
        <f>tbl_Companys!D428</f>
        <v xml:space="preserve">Hamre Arkitektkontor as, Stein </v>
      </c>
      <c r="O428" s="102">
        <f>tbl_Companys!C428</f>
        <v>171077</v>
      </c>
      <c r="P428" s="102" t="str">
        <f t="shared" si="19"/>
        <v>Hamre Arkitektkontor as, Stein</v>
      </c>
      <c r="Q428" s="102" t="str">
        <f>tbl_ConsultingCompanys!D428</f>
        <v>Opticonsult as</v>
      </c>
      <c r="R428" s="102">
        <f>tbl_ConsultingCompanys!C428</f>
        <v>155959</v>
      </c>
      <c r="S428" s="102" t="str">
        <f t="shared" si="20"/>
        <v>Opticonsult as</v>
      </c>
    </row>
    <row r="429" spans="11:19" x14ac:dyDescent="0.15">
      <c r="K429" s="102" t="str">
        <f>tbl_ArchitectureOffices!D429</f>
        <v>RiK Arkitektur AS</v>
      </c>
      <c r="L429" s="102">
        <f>tbl_ArchitectureOffices!C429</f>
        <v>166683</v>
      </c>
      <c r="M429" s="102" t="str">
        <f t="shared" si="18"/>
        <v>RiK Arkitektur AS</v>
      </c>
      <c r="N429" s="102" t="str">
        <f>tbl_Companys!D429</f>
        <v>Hamstad AS (RIV)</v>
      </c>
      <c r="O429" s="102">
        <f>tbl_Companys!C429</f>
        <v>162916</v>
      </c>
      <c r="P429" s="102" t="str">
        <f t="shared" si="19"/>
        <v>Hamstad AS (RIV)</v>
      </c>
      <c r="Q429" s="102" t="str">
        <f>tbl_ConsultingCompanys!D429</f>
        <v>Opticonsult Førde (EL)</v>
      </c>
      <c r="R429" s="102">
        <f>tbl_ConsultingCompanys!C429</f>
        <v>136170</v>
      </c>
      <c r="S429" s="102" t="str">
        <f t="shared" si="20"/>
        <v>Opticonsult Førde (EL)</v>
      </c>
    </row>
    <row r="430" spans="11:19" x14ac:dyDescent="0.15">
      <c r="K430" s="102" t="str">
        <f>tbl_ArchitectureOffices!D430</f>
        <v>Rintala Eggertsson Arkitekter</v>
      </c>
      <c r="L430" s="102">
        <f>tbl_ArchitectureOffices!C430</f>
        <v>204162</v>
      </c>
      <c r="M430" s="102" t="str">
        <f t="shared" si="18"/>
        <v>Rintala Eggertsson Arkitekter</v>
      </c>
      <c r="N430" s="102" t="str">
        <f>tbl_Companys!D430</f>
        <v>Handegård &amp; Pedersen AS</v>
      </c>
      <c r="O430" s="102">
        <f>tbl_Companys!C430</f>
        <v>218047</v>
      </c>
      <c r="P430" s="102" t="str">
        <f t="shared" si="19"/>
        <v>Handegård &amp; Pedersen AS</v>
      </c>
      <c r="Q430" s="102" t="str">
        <f>tbl_ConsultingCompanys!D430</f>
        <v>Optimo Prosjekt AS</v>
      </c>
      <c r="R430" s="102">
        <f>tbl_ConsultingCompanys!C430</f>
        <v>223602</v>
      </c>
      <c r="S430" s="102" t="str">
        <f t="shared" si="20"/>
        <v>Optimo Prosjekt AS</v>
      </c>
    </row>
    <row r="431" spans="11:19" x14ac:dyDescent="0.15">
      <c r="K431" s="102" t="str">
        <f>tbl_ArchitectureOffices!D431</f>
        <v>Riss Landskap AS</v>
      </c>
      <c r="L431" s="102">
        <f>tbl_ArchitectureOffices!C431</f>
        <v>245864</v>
      </c>
      <c r="M431" s="102" t="str">
        <f t="shared" si="18"/>
        <v>Riss Landskap AS</v>
      </c>
      <c r="N431" s="102" t="str">
        <f>tbl_Companys!D431</f>
        <v>Hans Helgesen og sønner AS</v>
      </c>
      <c r="O431" s="102">
        <f>tbl_Companys!C431</f>
        <v>110764</v>
      </c>
      <c r="P431" s="102" t="str">
        <f t="shared" si="19"/>
        <v>Hans Helgesen og sønner AS</v>
      </c>
      <c r="Q431" s="102" t="str">
        <f>tbl_ConsultingCompanys!D431</f>
        <v>ORAS Agder AS</v>
      </c>
      <c r="R431" s="102">
        <f>tbl_ConsultingCompanys!C431</f>
        <v>103149</v>
      </c>
      <c r="S431" s="102" t="str">
        <f t="shared" si="20"/>
        <v>ORAS Agder AS</v>
      </c>
    </row>
    <row r="432" spans="11:19" x14ac:dyDescent="0.15">
      <c r="K432" s="102" t="str">
        <f>tbl_ArchitectureOffices!D432</f>
        <v xml:space="preserve">Roald AS Arkitektur, Ola </v>
      </c>
      <c r="L432" s="102">
        <f>tbl_ArchitectureOffices!C432</f>
        <v>166676</v>
      </c>
      <c r="M432" s="102" t="str">
        <f t="shared" si="18"/>
        <v>Roald AS Arkitektur, Ola</v>
      </c>
      <c r="N432" s="102" t="str">
        <f>tbl_Companys!D432</f>
        <v>Hansaparken AS</v>
      </c>
      <c r="O432" s="102">
        <f>tbl_Companys!C432</f>
        <v>160606</v>
      </c>
      <c r="P432" s="102" t="str">
        <f t="shared" si="19"/>
        <v>Hansaparken AS</v>
      </c>
      <c r="Q432" s="102" t="str">
        <f>tbl_ConsultingCompanys!D432</f>
        <v>Oras AS</v>
      </c>
      <c r="R432" s="102">
        <f>tbl_ConsultingCompanys!C432</f>
        <v>248371</v>
      </c>
      <c r="S432" s="102" t="str">
        <f t="shared" si="20"/>
        <v>Oras AS</v>
      </c>
    </row>
    <row r="433" spans="11:19" x14ac:dyDescent="0.15">
      <c r="K433" s="102" t="str">
        <f>tbl_ArchitectureOffices!D433</f>
        <v>Rodeo arkitekter as</v>
      </c>
      <c r="L433" s="102">
        <f>tbl_ArchitectureOffices!C433</f>
        <v>166675</v>
      </c>
      <c r="M433" s="102" t="str">
        <f t="shared" si="18"/>
        <v>Rodeo arkitekter as</v>
      </c>
      <c r="N433" s="102" t="str">
        <f>tbl_Companys!D433</f>
        <v>Hansen/Bjørndal Arkitekter AS</v>
      </c>
      <c r="O433" s="102">
        <f>tbl_Companys!C433</f>
        <v>171071</v>
      </c>
      <c r="P433" s="102" t="str">
        <f t="shared" si="19"/>
        <v>Hansen/Bjørndal Arkitekter AS</v>
      </c>
      <c r="Q433" s="102" t="str">
        <f>tbl_ConsultingCompanys!D433</f>
        <v>Oras as (RIV)</v>
      </c>
      <c r="R433" s="102">
        <f>tbl_ConsultingCompanys!C433</f>
        <v>214148</v>
      </c>
      <c r="S433" s="102" t="str">
        <f t="shared" si="20"/>
        <v>Oras as (RIV)</v>
      </c>
    </row>
    <row r="434" spans="11:19" x14ac:dyDescent="0.15">
      <c r="K434" s="102" t="str">
        <f>tbl_ArchitectureOffices!D434</f>
        <v>Rojo arkitekter as</v>
      </c>
      <c r="L434" s="102">
        <f>tbl_ArchitectureOffices!C434</f>
        <v>172675</v>
      </c>
      <c r="M434" s="102" t="str">
        <f t="shared" si="18"/>
        <v>Rojo arkitekter as</v>
      </c>
      <c r="N434" s="102" t="str">
        <f>tbl_Companys!D434</f>
        <v>HAPTIC</v>
      </c>
      <c r="O434" s="102">
        <f>tbl_Companys!C434</f>
        <v>202235</v>
      </c>
      <c r="P434" s="102" t="str">
        <f t="shared" si="19"/>
        <v>HAPTIC</v>
      </c>
      <c r="Q434" s="102" t="str">
        <f>tbl_ConsultingCompanys!D434</f>
        <v>Oras AS (VVS)</v>
      </c>
      <c r="R434" s="102">
        <f>tbl_ConsultingCompanys!C434</f>
        <v>165637</v>
      </c>
      <c r="S434" s="102" t="str">
        <f t="shared" si="20"/>
        <v>Oras AS (VVS)</v>
      </c>
    </row>
    <row r="435" spans="11:19" x14ac:dyDescent="0.15">
      <c r="K435" s="102" t="str">
        <f>tbl_ArchitectureOffices!D435</f>
        <v>Romerike Arkitekter AS</v>
      </c>
      <c r="L435" s="102">
        <f>tbl_ArchitectureOffices!C435</f>
        <v>166674</v>
      </c>
      <c r="M435" s="102" t="str">
        <f t="shared" si="18"/>
        <v>Romerike Arkitekter AS</v>
      </c>
      <c r="N435" s="102" t="str">
        <f>tbl_Companys!D435</f>
        <v>Harboe og Leganger</v>
      </c>
      <c r="O435" s="102">
        <f>tbl_Companys!C435</f>
        <v>165391</v>
      </c>
      <c r="P435" s="102" t="str">
        <f t="shared" si="19"/>
        <v>Harboe og Leganger</v>
      </c>
      <c r="Q435" s="102" t="str">
        <f>tbl_ConsultingCompanys!D435</f>
        <v xml:space="preserve">Oras AS (VVS) </v>
      </c>
      <c r="R435" s="102">
        <f>tbl_ConsultingCompanys!C435</f>
        <v>163045</v>
      </c>
      <c r="S435" s="102" t="str">
        <f t="shared" si="20"/>
        <v>Oras AS (VVS)</v>
      </c>
    </row>
    <row r="436" spans="11:19" x14ac:dyDescent="0.15">
      <c r="K436" s="102" t="str">
        <f>tbl_ArchitectureOffices!D436</f>
        <v>Romlaboratoriet AS</v>
      </c>
      <c r="L436" s="102">
        <f>tbl_ArchitectureOffices!C436</f>
        <v>219471</v>
      </c>
      <c r="M436" s="102" t="str">
        <f t="shared" si="18"/>
        <v>Romlaboratoriet AS</v>
      </c>
      <c r="N436" s="102" t="str">
        <f>tbl_Companys!D436</f>
        <v>Harsem prosjektering AS</v>
      </c>
      <c r="O436" s="102">
        <f>tbl_Companys!C436</f>
        <v>112300</v>
      </c>
      <c r="P436" s="102" t="str">
        <f t="shared" si="19"/>
        <v>Harsem prosjektering AS</v>
      </c>
      <c r="Q436" s="102" t="str">
        <f>tbl_ConsultingCompanys!D436</f>
        <v xml:space="preserve">Oras buskerud </v>
      </c>
      <c r="R436" s="102">
        <f>tbl_ConsultingCompanys!C436</f>
        <v>119896</v>
      </c>
      <c r="S436" s="102" t="str">
        <f t="shared" si="20"/>
        <v>Oras buskerud</v>
      </c>
    </row>
    <row r="437" spans="11:19" x14ac:dyDescent="0.15">
      <c r="K437" s="102" t="str">
        <f>tbl_ArchitectureOffices!D437</f>
        <v xml:space="preserve">Rønsen Arkitekter AS, Jostein </v>
      </c>
      <c r="L437" s="102">
        <f>tbl_ArchitectureOffices!C437</f>
        <v>166672</v>
      </c>
      <c r="M437" s="102" t="str">
        <f t="shared" si="18"/>
        <v>Rønsen Arkitekter AS, Jostein</v>
      </c>
      <c r="N437" s="102" t="str">
        <f>tbl_Companys!D437</f>
        <v>Hartmann Prosjektrådgiving AS</v>
      </c>
      <c r="O437" s="102">
        <f>tbl_Companys!C437</f>
        <v>240270</v>
      </c>
      <c r="P437" s="102" t="str">
        <f t="shared" si="19"/>
        <v>Hartmann Prosjektrådgiving AS</v>
      </c>
      <c r="Q437" s="102" t="str">
        <f>tbl_ConsultingCompanys!D437</f>
        <v>Oras Trondheim as</v>
      </c>
      <c r="R437" s="102">
        <f>tbl_ConsultingCompanys!C437</f>
        <v>164721</v>
      </c>
      <c r="S437" s="102" t="str">
        <f t="shared" si="20"/>
        <v>Oras Trondheim as</v>
      </c>
    </row>
    <row r="438" spans="11:19" x14ac:dyDescent="0.15">
      <c r="K438" s="102" t="str">
        <f>tbl_ArchitectureOffices!D438</f>
        <v>Rørby AS, Arkitekt Terje</v>
      </c>
      <c r="L438" s="102">
        <f>tbl_ArchitectureOffices!C438</f>
        <v>172668</v>
      </c>
      <c r="M438" s="102" t="str">
        <f t="shared" si="18"/>
        <v>Rørby AS, Arkitekt Terje</v>
      </c>
      <c r="N438" s="102" t="str">
        <f>tbl_Companys!D438</f>
        <v>Hartmann Prosjektrådgivning AS</v>
      </c>
      <c r="O438" s="102">
        <f>tbl_Companys!C438</f>
        <v>246978</v>
      </c>
      <c r="P438" s="102" t="str">
        <f t="shared" si="19"/>
        <v>Hartmann Prosjektrådgivning AS</v>
      </c>
      <c r="Q438" s="102" t="str">
        <f>tbl_ConsultingCompanys!D438</f>
        <v>Origo AS (VVA)</v>
      </c>
      <c r="R438" s="102">
        <f>tbl_ConsultingCompanys!C438</f>
        <v>155700</v>
      </c>
      <c r="S438" s="102" t="str">
        <f t="shared" si="20"/>
        <v>Origo AS (VVA)</v>
      </c>
    </row>
    <row r="439" spans="11:19" x14ac:dyDescent="0.15">
      <c r="K439" s="102" t="str">
        <f>tbl_ArchitectureOffices!D439</f>
        <v>Sandbakk &amp; Pettersen Arkitekter AS</v>
      </c>
      <c r="L439" s="102">
        <f>tbl_ArchitectureOffices!C439</f>
        <v>199606</v>
      </c>
      <c r="M439" s="102" t="str">
        <f t="shared" si="18"/>
        <v>Sandbakk &amp; Pettersen Arkitekter AS</v>
      </c>
      <c r="N439" s="102" t="str">
        <f>tbl_Companys!D439</f>
        <v xml:space="preserve">Haugedal, Arnar </v>
      </c>
      <c r="O439" s="102">
        <f>tbl_Companys!C439</f>
        <v>171079</v>
      </c>
      <c r="P439" s="102" t="str">
        <f t="shared" si="19"/>
        <v>Haugedal, Arnar</v>
      </c>
      <c r="Q439" s="102" t="str">
        <f>tbl_ConsultingCompanys!D439</f>
        <v>Orkdal kommune</v>
      </c>
      <c r="R439" s="102">
        <f>tbl_ConsultingCompanys!C439</f>
        <v>246803</v>
      </c>
      <c r="S439" s="102" t="str">
        <f t="shared" si="20"/>
        <v>Orkdal kommune</v>
      </c>
    </row>
    <row r="440" spans="11:19" x14ac:dyDescent="0.15">
      <c r="K440" s="102" t="str">
        <f>tbl_ArchitectureOffices!D440</f>
        <v xml:space="preserve">Sandvik, Siv. ark. mnal Jarle </v>
      </c>
      <c r="L440" s="102">
        <f>tbl_ArchitectureOffices!C440</f>
        <v>172890</v>
      </c>
      <c r="M440" s="102" t="str">
        <f t="shared" si="18"/>
        <v>Sandvik, Siv. ark. mnal Jarle</v>
      </c>
      <c r="N440" s="102" t="str">
        <f>tbl_Companys!D440</f>
        <v xml:space="preserve">Haugen as, Arkitektkontoret Erling </v>
      </c>
      <c r="O440" s="102">
        <f>tbl_Companys!C440</f>
        <v>171080</v>
      </c>
      <c r="P440" s="102" t="str">
        <f t="shared" si="19"/>
        <v>Haugen as, Arkitektkontoret Erling</v>
      </c>
      <c r="Q440" s="102" t="str">
        <f>tbl_ConsultingCompanys!D440</f>
        <v>Oslo Byggentreprenør AS</v>
      </c>
      <c r="R440" s="102">
        <f>tbl_ConsultingCompanys!C440</f>
        <v>246926</v>
      </c>
      <c r="S440" s="102" t="str">
        <f t="shared" si="20"/>
        <v>Oslo Byggentreprenør AS</v>
      </c>
    </row>
    <row r="441" spans="11:19" x14ac:dyDescent="0.15">
      <c r="K441" s="102" t="str">
        <f>tbl_ArchitectureOffices!D441</f>
        <v>Saunders Arkitektur AS</v>
      </c>
      <c r="L441" s="102">
        <f>tbl_ArchitectureOffices!C441</f>
        <v>166623</v>
      </c>
      <c r="M441" s="102" t="str">
        <f t="shared" si="18"/>
        <v>Saunders Arkitektur AS</v>
      </c>
      <c r="N441" s="102" t="str">
        <f>tbl_Companys!D441</f>
        <v>Haugen/ Zohar Arkitekter</v>
      </c>
      <c r="O441" s="102">
        <f>tbl_Companys!C441</f>
        <v>172684</v>
      </c>
      <c r="P441" s="102" t="str">
        <f t="shared" si="19"/>
        <v>Haugen/ Zohar Arkitekter</v>
      </c>
      <c r="Q441" s="102" t="str">
        <f>tbl_ConsultingCompanys!D441</f>
        <v>Oslo kommune</v>
      </c>
      <c r="R441" s="102">
        <f>tbl_ConsultingCompanys!C441</f>
        <v>160568</v>
      </c>
      <c r="S441" s="102" t="str">
        <f t="shared" si="20"/>
        <v>Oslo kommune</v>
      </c>
    </row>
    <row r="442" spans="11:19" x14ac:dyDescent="0.15">
      <c r="K442" s="102" t="str">
        <f>tbl_ArchitectureOffices!D442</f>
        <v>Scala arkitekter AS</v>
      </c>
      <c r="L442" s="102">
        <f>tbl_ArchitectureOffices!C442</f>
        <v>166622</v>
      </c>
      <c r="M442" s="102" t="str">
        <f t="shared" si="18"/>
        <v>Scala arkitekter AS</v>
      </c>
      <c r="N442" s="102" t="str">
        <f>tbl_Companys!D442</f>
        <v xml:space="preserve">Hausberg siv.ark. MNAL, Egil J </v>
      </c>
      <c r="O442" s="102">
        <f>tbl_Companys!C442</f>
        <v>171081</v>
      </c>
      <c r="P442" s="102" t="str">
        <f t="shared" si="19"/>
        <v>Hausberg siv.ark. MNAL, Egil J</v>
      </c>
      <c r="Q442" s="102" t="str">
        <f>tbl_ConsultingCompanys!D442</f>
        <v>Oslo Kommune ved Vann- og avløpsetaten og Friluftsetaten</v>
      </c>
      <c r="R442" s="102">
        <f>tbl_ConsultingCompanys!C442</f>
        <v>162435</v>
      </c>
      <c r="S442" s="102" t="str">
        <f t="shared" si="20"/>
        <v>Oslo Kommune ved Vann- og avløpsetaten og Friluftsetaten</v>
      </c>
    </row>
    <row r="443" spans="11:19" x14ac:dyDescent="0.15">
      <c r="K443" s="102" t="str">
        <f>tbl_ArchitectureOffices!D443</f>
        <v>Scenario</v>
      </c>
      <c r="L443" s="102">
        <f>tbl_ArchitectureOffices!C443</f>
        <v>235782</v>
      </c>
      <c r="M443" s="102" t="str">
        <f t="shared" si="18"/>
        <v>Scenario</v>
      </c>
      <c r="N443" s="102" t="str">
        <f>tbl_Companys!D443</f>
        <v>HBBL</v>
      </c>
      <c r="O443" s="102">
        <f>tbl_Companys!C443</f>
        <v>155837</v>
      </c>
      <c r="P443" s="102" t="str">
        <f t="shared" si="19"/>
        <v>HBBL</v>
      </c>
      <c r="Q443" s="102" t="str">
        <f>tbl_ConsultingCompanys!D443</f>
        <v>Oslo kommune, Bydel Alna</v>
      </c>
      <c r="R443" s="102">
        <f>tbl_ConsultingCompanys!C443</f>
        <v>214717</v>
      </c>
      <c r="S443" s="102" t="str">
        <f t="shared" si="20"/>
        <v>Oslo kommune, Bydel Alna</v>
      </c>
    </row>
    <row r="444" spans="11:19" x14ac:dyDescent="0.15">
      <c r="K444" s="102" t="str">
        <f>tbl_ArchitectureOffices!D444</f>
        <v xml:space="preserve">Schjelderup AS sivilarkitekter MNAL NPA, Helge </v>
      </c>
      <c r="L444" s="102">
        <f>tbl_ArchitectureOffices!C444</f>
        <v>172786</v>
      </c>
      <c r="M444" s="102" t="str">
        <f t="shared" si="18"/>
        <v>Schjelderup AS sivilarkitekter MNAL NPA, Helge</v>
      </c>
      <c r="N444" s="102" t="str">
        <f>tbl_Companys!D444</f>
        <v>Heggelund og Koxvold AS Arkitekter MNAL</v>
      </c>
      <c r="O444" s="102">
        <f>tbl_Companys!C444</f>
        <v>171082</v>
      </c>
      <c r="P444" s="102" t="str">
        <f t="shared" si="19"/>
        <v>Heggelund og Koxvold AS Arkitekter MNAL</v>
      </c>
      <c r="Q444" s="102" t="str">
        <f>tbl_ConsultingCompanys!D444</f>
        <v>Oslo kommune, Bydel Stovner</v>
      </c>
      <c r="R444" s="102">
        <f>tbl_ConsultingCompanys!C444</f>
        <v>214749</v>
      </c>
      <c r="S444" s="102" t="str">
        <f t="shared" si="20"/>
        <v>Oslo kommune, Bydel Stovner</v>
      </c>
    </row>
    <row r="445" spans="11:19" x14ac:dyDescent="0.15">
      <c r="K445" s="102" t="str">
        <f>tbl_ArchitectureOffices!D445</f>
        <v>Schmitthenner arkitekter</v>
      </c>
      <c r="L445" s="102">
        <f>tbl_ArchitectureOffices!C445</f>
        <v>177781</v>
      </c>
      <c r="M445" s="102" t="str">
        <f t="shared" si="18"/>
        <v>Schmitthenner arkitekter</v>
      </c>
      <c r="N445" s="102" t="str">
        <f>tbl_Companys!D445</f>
        <v>Heggenhougen Arkitekter AS</v>
      </c>
      <c r="O445" s="102">
        <f>tbl_Companys!C445</f>
        <v>171083</v>
      </c>
      <c r="P445" s="102" t="str">
        <f t="shared" si="19"/>
        <v>Heggenhougen Arkitekter AS</v>
      </c>
      <c r="Q445" s="102" t="str">
        <f>tbl_ConsultingCompanys!D445</f>
        <v>Oslo kommune, Bydel Stovner</v>
      </c>
      <c r="R445" s="102">
        <f>tbl_ConsultingCompanys!C445</f>
        <v>214750</v>
      </c>
      <c r="S445" s="102" t="str">
        <f t="shared" si="20"/>
        <v>Oslo kommune, Bydel Stovner</v>
      </c>
    </row>
    <row r="446" spans="11:19" x14ac:dyDescent="0.15">
      <c r="K446" s="102" t="str">
        <f>tbl_ArchitectureOffices!D446</f>
        <v>Schønherr landskab KS</v>
      </c>
      <c r="L446" s="102">
        <f>tbl_ArchitectureOffices!C446</f>
        <v>245865</v>
      </c>
      <c r="M446" s="102" t="str">
        <f t="shared" si="18"/>
        <v>Schønherr landskab KS</v>
      </c>
      <c r="N446" s="102" t="str">
        <f>tbl_Companys!D446</f>
        <v>Heiberg &amp; Tveter (RIE)</v>
      </c>
      <c r="O446" s="102">
        <f>tbl_Companys!C446</f>
        <v>178580</v>
      </c>
      <c r="P446" s="102" t="str">
        <f t="shared" si="19"/>
        <v>Heiberg &amp; Tveter (RIE)</v>
      </c>
      <c r="Q446" s="102" t="str">
        <f>tbl_ConsultingCompanys!D446</f>
        <v>Oslo kommune, Friluftsetaten</v>
      </c>
      <c r="R446" s="102">
        <f>tbl_ConsultingCompanys!C446</f>
        <v>160595</v>
      </c>
      <c r="S446" s="102" t="str">
        <f t="shared" si="20"/>
        <v>Oslo kommune, Friluftsetaten</v>
      </c>
    </row>
    <row r="447" spans="11:19" x14ac:dyDescent="0.15">
      <c r="K447" s="102" t="str">
        <f>tbl_ArchitectureOffices!D447</f>
        <v>SE-Arkitektur A/S</v>
      </c>
      <c r="L447" s="102">
        <f>tbl_ArchitectureOffices!C447</f>
        <v>166621</v>
      </c>
      <c r="M447" s="102" t="str">
        <f t="shared" si="18"/>
        <v>SE-Arkitektur A/S</v>
      </c>
      <c r="N447" s="102" t="str">
        <f>tbl_Companys!D447</f>
        <v>Heimdal Bolig</v>
      </c>
      <c r="O447" s="102">
        <f>tbl_Companys!C447</f>
        <v>240269</v>
      </c>
      <c r="P447" s="102" t="str">
        <f t="shared" si="19"/>
        <v>Heimdal Bolig</v>
      </c>
      <c r="Q447" s="102" t="str">
        <f>tbl_ConsultingCompanys!D447</f>
        <v>Oslo kommune, Friluftsetaten og Bydel Alna</v>
      </c>
      <c r="R447" s="102">
        <f>tbl_ConsultingCompanys!C447</f>
        <v>214740</v>
      </c>
      <c r="S447" s="102" t="str">
        <f t="shared" si="20"/>
        <v>Oslo kommune, Friluftsetaten og Bydel Alna</v>
      </c>
    </row>
    <row r="448" spans="11:19" x14ac:dyDescent="0.15">
      <c r="K448" s="102" t="str">
        <f>tbl_ArchitectureOffices!D448</f>
        <v>Selberg Arkitekter AS</v>
      </c>
      <c r="L448" s="102">
        <f>tbl_ArchitectureOffices!C448</f>
        <v>166619</v>
      </c>
      <c r="M448" s="102" t="str">
        <f t="shared" si="18"/>
        <v>Selberg Arkitekter AS</v>
      </c>
      <c r="N448" s="102" t="str">
        <f>tbl_Companys!D448</f>
        <v>Heimdal Entreprenør AS</v>
      </c>
      <c r="O448" s="102">
        <f>tbl_Companys!C448</f>
        <v>164727</v>
      </c>
      <c r="P448" s="102" t="str">
        <f t="shared" si="19"/>
        <v>Heimdal Entreprenør AS</v>
      </c>
      <c r="Q448" s="102" t="str">
        <f>tbl_ConsultingCompanys!D448</f>
        <v>Oslo kommune, idrettsetaten</v>
      </c>
      <c r="R448" s="102">
        <f>tbl_ConsultingCompanys!C448</f>
        <v>218624</v>
      </c>
      <c r="S448" s="102" t="str">
        <f t="shared" si="20"/>
        <v>Oslo kommune, idrettsetaten</v>
      </c>
    </row>
    <row r="449" spans="11:19" x14ac:dyDescent="0.15">
      <c r="K449" s="102" t="str">
        <f>tbl_ArchitectureOffices!D449</f>
        <v>September Arkitekter</v>
      </c>
      <c r="L449" s="102">
        <f>tbl_ArchitectureOffices!C449</f>
        <v>213205</v>
      </c>
      <c r="M449" s="102" t="str">
        <f t="shared" si="18"/>
        <v>September Arkitekter</v>
      </c>
      <c r="N449" s="102" t="str">
        <f>tbl_Companys!D449</f>
        <v>Heindenreich-Ris &amp; Lillefjære A/S</v>
      </c>
      <c r="O449" s="102">
        <f>tbl_Companys!C449</f>
        <v>120139</v>
      </c>
      <c r="P449" s="102" t="str">
        <f t="shared" si="19"/>
        <v>Heindenreich-Ris &amp; Lillefjære A/S</v>
      </c>
      <c r="Q449" s="102" t="str">
        <f>tbl_ConsultingCompanys!D449</f>
        <v>Oslo Kommune, Kulturbyggene i Bjørvika</v>
      </c>
      <c r="R449" s="102">
        <f>tbl_ConsultingCompanys!C449</f>
        <v>217291</v>
      </c>
      <c r="S449" s="102" t="str">
        <f t="shared" si="20"/>
        <v>Oslo Kommune, Kulturbyggene i Bjørvika</v>
      </c>
    </row>
    <row r="450" spans="11:19" x14ac:dyDescent="0.15">
      <c r="K450" s="102" t="str">
        <f>tbl_ArchitectureOffices!D450</f>
        <v>SG Arkitekter AS</v>
      </c>
      <c r="L450" s="102">
        <f>tbl_ArchitectureOffices!C450</f>
        <v>166618</v>
      </c>
      <c r="M450" s="102" t="str">
        <f t="shared" si="18"/>
        <v>SG Arkitekter AS</v>
      </c>
      <c r="N450" s="102" t="str">
        <f>tbl_Companys!D450</f>
        <v>HE-Kjelleveien AS</v>
      </c>
      <c r="O450" s="102">
        <f>tbl_Companys!C450</f>
        <v>246267</v>
      </c>
      <c r="P450" s="102" t="str">
        <f t="shared" si="19"/>
        <v>HE-Kjelleveien AS</v>
      </c>
      <c r="Q450" s="102" t="str">
        <f>tbl_ConsultingCompanys!D450</f>
        <v>Oslo kommune, Utdanningsetaten</v>
      </c>
      <c r="R450" s="102">
        <f>tbl_ConsultingCompanys!C450</f>
        <v>217493</v>
      </c>
      <c r="S450" s="102" t="str">
        <f t="shared" si="20"/>
        <v>Oslo kommune, Utdanningsetaten</v>
      </c>
    </row>
    <row r="451" spans="11:19" x14ac:dyDescent="0.15">
      <c r="K451" s="102" t="str">
        <f>tbl_ArchitectureOffices!D451</f>
        <v>Signatur Arkitekter AS</v>
      </c>
      <c r="L451" s="102">
        <f>tbl_ArchitectureOffices!C451</f>
        <v>166617</v>
      </c>
      <c r="M451" s="102" t="str">
        <f t="shared" ref="M451:M514" si="21">IFERROR(REPLACE(K451,FIND(" ",K451,LEN(K451)),1,""),K451)</f>
        <v>Signatur Arkitekter AS</v>
      </c>
      <c r="N451" s="102" t="str">
        <f>tbl_Companys!D451</f>
        <v>Helen &amp; Hard AS</v>
      </c>
      <c r="O451" s="102">
        <f>tbl_Companys!C451</f>
        <v>192377</v>
      </c>
      <c r="P451" s="102" t="str">
        <f t="shared" ref="P451:P514" si="22">IFERROR(REPLACE(N451,FIND(" ",N451,LEN(N451)),1,""),N451)</f>
        <v>Helen &amp; Hard AS</v>
      </c>
      <c r="Q451" s="102" t="str">
        <f>tbl_ConsultingCompanys!D451</f>
        <v>Oslo Prosjektadministrasjon AS v/Terje Inglingstad</v>
      </c>
      <c r="R451" s="102">
        <f>tbl_ConsultingCompanys!C451</f>
        <v>214154</v>
      </c>
      <c r="S451" s="102" t="str">
        <f t="shared" ref="S451:S514" si="23">IFERROR(REPLACE(Q451,FIND(" ",Q451,LEN(Q451)),1,""),Q451)</f>
        <v>Oslo Prosjektadministrasjon AS v/Terje Inglingstad</v>
      </c>
    </row>
    <row r="452" spans="11:19" x14ac:dyDescent="0.15">
      <c r="K452" s="102" t="str">
        <f>tbl_ArchitectureOffices!D452</f>
        <v>Sivilarkitekt MNAL Randi Slåtten</v>
      </c>
      <c r="L452" s="102">
        <f>tbl_ArchitectureOffices!C452</f>
        <v>247055</v>
      </c>
      <c r="M452" s="102" t="str">
        <f t="shared" si="21"/>
        <v>Sivilarkitekt MNAL Randi Slåtten</v>
      </c>
      <c r="N452" s="102" t="str">
        <f>tbl_Companys!D452</f>
        <v>Helen &amp; Hard AS</v>
      </c>
      <c r="O452" s="102">
        <f>tbl_Companys!C452</f>
        <v>229017</v>
      </c>
      <c r="P452" s="102" t="str">
        <f t="shared" si="22"/>
        <v>Helen &amp; Hard AS</v>
      </c>
      <c r="Q452" s="102" t="str">
        <f>tbl_ConsultingCompanys!D452</f>
        <v>Oslo S Utvikling AS</v>
      </c>
      <c r="R452" s="102">
        <f>tbl_ConsultingCompanys!C452</f>
        <v>218166</v>
      </c>
      <c r="S452" s="102" t="str">
        <f t="shared" si="23"/>
        <v>Oslo S Utvikling AS</v>
      </c>
    </row>
    <row r="453" spans="11:19" x14ac:dyDescent="0.15">
      <c r="K453" s="102" t="str">
        <f>tbl_ArchitectureOffices!D453</f>
        <v>Sivilarkitekt MNAL Steinar Romedal AS</v>
      </c>
      <c r="L453" s="102">
        <f>tbl_ArchitectureOffices!C453</f>
        <v>238532</v>
      </c>
      <c r="M453" s="102" t="str">
        <f t="shared" si="21"/>
        <v>Sivilarkitekt MNAL Steinar Romedal AS</v>
      </c>
      <c r="N453" s="102" t="str">
        <f>tbl_Companys!D453</f>
        <v xml:space="preserve">Helén Arkitekter AS, Bernt </v>
      </c>
      <c r="O453" s="102">
        <f>tbl_Companys!C453</f>
        <v>171084</v>
      </c>
      <c r="P453" s="102" t="str">
        <f t="shared" si="22"/>
        <v>Helén Arkitekter AS, Bernt</v>
      </c>
      <c r="Q453" s="102" t="str">
        <f>tbl_ConsultingCompanys!D453</f>
        <v>Oslo Vei AS</v>
      </c>
      <c r="R453" s="102">
        <f>tbl_ConsultingCompanys!C453</f>
        <v>172255</v>
      </c>
      <c r="S453" s="102" t="str">
        <f t="shared" si="23"/>
        <v>Oslo Vei AS</v>
      </c>
    </row>
    <row r="454" spans="11:19" x14ac:dyDescent="0.15">
      <c r="K454" s="102" t="str">
        <f>tbl_ArchitectureOffices!D454</f>
        <v>Sivilarkitekt mnal Øyvind Poulsson</v>
      </c>
      <c r="L454" s="102">
        <f>tbl_ArchitectureOffices!C454</f>
        <v>198799</v>
      </c>
      <c r="M454" s="102" t="str">
        <f t="shared" si="21"/>
        <v>Sivilarkitekt mnal Øyvind Poulsson</v>
      </c>
      <c r="N454" s="102" t="str">
        <f>tbl_Companys!D454</f>
        <v>Helge Lunde</v>
      </c>
      <c r="O454" s="102">
        <f>tbl_Companys!C454</f>
        <v>204511</v>
      </c>
      <c r="P454" s="102" t="str">
        <f t="shared" si="22"/>
        <v>Helge Lunde</v>
      </c>
      <c r="Q454" s="102" t="str">
        <f>tbl_ConsultingCompanys!D454</f>
        <v>Otium AS</v>
      </c>
      <c r="R454" s="102">
        <f>tbl_ConsultingCompanys!C454</f>
        <v>158042</v>
      </c>
      <c r="S454" s="102" t="str">
        <f t="shared" si="23"/>
        <v>Otium AS</v>
      </c>
    </row>
    <row r="455" spans="11:19" x14ac:dyDescent="0.15">
      <c r="K455" s="102" t="str">
        <f>tbl_ArchitectureOffices!D455</f>
        <v>Sivilarkitekt Stein Stoknes MNAL</v>
      </c>
      <c r="L455" s="102">
        <f>tbl_ArchitectureOffices!C455</f>
        <v>234655</v>
      </c>
      <c r="M455" s="102" t="str">
        <f t="shared" si="21"/>
        <v>Sivilarkitekt Stein Stoknes MNAL</v>
      </c>
      <c r="N455" s="102" t="str">
        <f>tbl_Companys!D455</f>
        <v xml:space="preserve">Helling Arkitekter Oslo AS, Lars </v>
      </c>
      <c r="O455" s="102">
        <f>tbl_Companys!C455</f>
        <v>171086</v>
      </c>
      <c r="P455" s="102" t="str">
        <f t="shared" si="22"/>
        <v>Helling Arkitekter Oslo AS, Lars</v>
      </c>
      <c r="Q455" s="102" t="str">
        <f>tbl_ConsultingCompanys!D455</f>
        <v>Overhalla kommune</v>
      </c>
      <c r="R455" s="102">
        <f>tbl_ConsultingCompanys!C455</f>
        <v>236723</v>
      </c>
      <c r="S455" s="102" t="str">
        <f t="shared" si="23"/>
        <v>Overhalla kommune</v>
      </c>
    </row>
    <row r="456" spans="11:19" x14ac:dyDescent="0.15">
      <c r="K456" s="102" t="str">
        <f>tbl_ArchitectureOffices!D456</f>
        <v>Sivilarkitekt Tordis Hoem as</v>
      </c>
      <c r="L456" s="102">
        <f>tbl_ArchitectureOffices!C456</f>
        <v>171093</v>
      </c>
      <c r="M456" s="102" t="str">
        <f t="shared" si="21"/>
        <v>Sivilarkitekt Tordis Hoem as</v>
      </c>
      <c r="N456" s="102" t="str">
        <f>tbl_Companys!D456</f>
        <v>Helsebygg Midt-Norge</v>
      </c>
      <c r="O456" s="102">
        <f>tbl_Companys!C456</f>
        <v>243126</v>
      </c>
      <c r="P456" s="102" t="str">
        <f t="shared" si="22"/>
        <v>Helsebygg Midt-Norge</v>
      </c>
      <c r="Q456" s="102" t="str">
        <f>tbl_ConsultingCompanys!D456</f>
        <v>Papirbredden Eiendom AS</v>
      </c>
      <c r="R456" s="102">
        <f>tbl_ConsultingCompanys!C456</f>
        <v>207270</v>
      </c>
      <c r="S456" s="102" t="str">
        <f t="shared" si="23"/>
        <v>Papirbredden Eiendom AS</v>
      </c>
    </row>
    <row r="457" spans="11:19" x14ac:dyDescent="0.15">
      <c r="K457" s="102" t="str">
        <f>tbl_ArchitectureOffices!D457</f>
        <v>Sjo Fasting Arkitekter</v>
      </c>
      <c r="L457" s="102">
        <f>tbl_ArchitectureOffices!C457</f>
        <v>245837</v>
      </c>
      <c r="M457" s="102" t="str">
        <f t="shared" si="21"/>
        <v>Sjo Fasting Arkitekter</v>
      </c>
      <c r="N457" s="102" t="str">
        <f>tbl_Companys!D457</f>
        <v>Hemato Eiendom</v>
      </c>
      <c r="O457" s="102">
        <f>tbl_Companys!C457</f>
        <v>242773</v>
      </c>
      <c r="P457" s="102" t="str">
        <f t="shared" si="22"/>
        <v>Hemato Eiendom</v>
      </c>
      <c r="Q457" s="102" t="str">
        <f>tbl_ConsultingCompanys!D457</f>
        <v>Pascal Rådgivning AS</v>
      </c>
      <c r="R457" s="102">
        <f>tbl_ConsultingCompanys!C457</f>
        <v>192376</v>
      </c>
      <c r="S457" s="102" t="str">
        <f t="shared" si="23"/>
        <v>Pascal Rådgivning AS</v>
      </c>
    </row>
    <row r="458" spans="11:19" x14ac:dyDescent="0.15">
      <c r="K458" s="102" t="str">
        <f>tbl_ArchitectureOffices!D458</f>
        <v>Sjåtil &amp; Fornæss AS</v>
      </c>
      <c r="L458" s="102">
        <f>tbl_ArchitectureOffices!C458</f>
        <v>250062</v>
      </c>
      <c r="M458" s="102" t="str">
        <f t="shared" si="21"/>
        <v>Sjåtil &amp; Fornæss AS</v>
      </c>
      <c r="N458" s="102" t="str">
        <f>tbl_Companys!D458</f>
        <v>Henning Stokke</v>
      </c>
      <c r="O458" s="102">
        <f>tbl_Companys!C458</f>
        <v>162859</v>
      </c>
      <c r="P458" s="102" t="str">
        <f t="shared" si="22"/>
        <v>Henning Stokke</v>
      </c>
      <c r="Q458" s="102" t="str">
        <f>tbl_ConsultingCompanys!D458</f>
        <v>Passivhus Norge a/s</v>
      </c>
      <c r="R458" s="102">
        <f>tbl_ConsultingCompanys!C458</f>
        <v>111941</v>
      </c>
      <c r="S458" s="102" t="str">
        <f t="shared" si="23"/>
        <v>Passivhus Norge a/s</v>
      </c>
    </row>
    <row r="459" spans="11:19" x14ac:dyDescent="0.15">
      <c r="K459" s="102" t="str">
        <f>tbl_ArchitectureOffices!D459</f>
        <v xml:space="preserve">Sjåvåg sivilarkitekt MNALm Helle </v>
      </c>
      <c r="L459" s="102">
        <f>tbl_ArchitectureOffices!C459</f>
        <v>166616</v>
      </c>
      <c r="M459" s="102" t="str">
        <f t="shared" si="21"/>
        <v>Sjåvåg sivilarkitekt MNALm Helle</v>
      </c>
      <c r="N459" s="102" t="str">
        <f>tbl_Companys!D459</f>
        <v xml:space="preserve">Henriksen Arkitekter AS, Arne </v>
      </c>
      <c r="O459" s="102">
        <f>tbl_Companys!C459</f>
        <v>172665</v>
      </c>
      <c r="P459" s="102" t="str">
        <f t="shared" si="22"/>
        <v>Henriksen Arkitekter AS, Arne</v>
      </c>
      <c r="Q459" s="102" t="str">
        <f>tbl_ConsultingCompanys!D459</f>
        <v>Peggy Brilke</v>
      </c>
      <c r="R459" s="102">
        <f>tbl_ConsultingCompanys!C459</f>
        <v>244637</v>
      </c>
      <c r="S459" s="102" t="str">
        <f t="shared" si="23"/>
        <v>Peggy Brilke</v>
      </c>
    </row>
    <row r="460" spans="11:19" x14ac:dyDescent="0.15">
      <c r="K460" s="102" t="str">
        <f>tbl_ArchitectureOffices!D460</f>
        <v>Skaane Arkitektur + Design</v>
      </c>
      <c r="L460" s="102">
        <f>tbl_ArchitectureOffices!C460</f>
        <v>166612</v>
      </c>
      <c r="M460" s="102" t="str">
        <f t="shared" si="21"/>
        <v>Skaane Arkitektur + Design</v>
      </c>
      <c r="N460" s="102" t="str">
        <f>tbl_Companys!D460</f>
        <v xml:space="preserve">HENT AS </v>
      </c>
      <c r="O460" s="102">
        <f>tbl_Companys!C460</f>
        <v>157573</v>
      </c>
      <c r="P460" s="102" t="str">
        <f t="shared" si="22"/>
        <v>HENT AS</v>
      </c>
      <c r="Q460" s="102" t="str">
        <f>tbl_ConsultingCompanys!D460</f>
        <v>Per Arne Hestetun og Anne Grete Gruben</v>
      </c>
      <c r="R460" s="102">
        <f>tbl_ConsultingCompanys!C460</f>
        <v>160590</v>
      </c>
      <c r="S460" s="102" t="str">
        <f t="shared" si="23"/>
        <v>Per Arne Hestetun og Anne Grete Gruben</v>
      </c>
    </row>
    <row r="461" spans="11:19" x14ac:dyDescent="0.15">
      <c r="K461" s="102" t="str">
        <f>tbl_ArchitectureOffices!D461</f>
        <v>Skaara Arkitekter AS</v>
      </c>
      <c r="L461" s="102">
        <f>tbl_ArchitectureOffices!C461</f>
        <v>166523</v>
      </c>
      <c r="M461" s="102" t="str">
        <f t="shared" si="21"/>
        <v>Skaara Arkitekter AS</v>
      </c>
      <c r="N461" s="102" t="str">
        <f>tbl_Companys!D461</f>
        <v>Hent AS (Knut Alstad)</v>
      </c>
      <c r="O461" s="102">
        <f>tbl_Companys!C461</f>
        <v>157568</v>
      </c>
      <c r="P461" s="102" t="str">
        <f t="shared" si="22"/>
        <v>Hent AS (Knut Alstad)</v>
      </c>
      <c r="Q461" s="102" t="str">
        <f>tbl_ConsultingCompanys!D461</f>
        <v xml:space="preserve">Per Rasmussen AS, Bærum </v>
      </c>
      <c r="R461" s="102">
        <f>tbl_ConsultingCompanys!C461</f>
        <v>120020</v>
      </c>
      <c r="S461" s="102" t="str">
        <f t="shared" si="23"/>
        <v>Per Rasmussen AS, Bærum</v>
      </c>
    </row>
    <row r="462" spans="11:19" x14ac:dyDescent="0.15">
      <c r="K462" s="102" t="str">
        <f>tbl_ArchitectureOffices!D462</f>
        <v>Skagenarkitektene</v>
      </c>
      <c r="L462" s="102">
        <f>tbl_ArchitectureOffices!C462</f>
        <v>166521</v>
      </c>
      <c r="M462" s="102" t="str">
        <f t="shared" si="21"/>
        <v>Skagenarkitektene</v>
      </c>
      <c r="N462" s="102" t="str">
        <f>tbl_Companys!D462</f>
        <v>HENT AS (totalentreprenør)</v>
      </c>
      <c r="O462" s="102">
        <f>tbl_Companys!C462</f>
        <v>228147</v>
      </c>
      <c r="P462" s="102" t="str">
        <f t="shared" si="22"/>
        <v>HENT AS (totalentreprenør)</v>
      </c>
      <c r="Q462" s="102" t="str">
        <f>tbl_ConsultingCompanys!D462</f>
        <v>Pilestredet Park Boligutbygging ANS</v>
      </c>
      <c r="R462" s="102">
        <f>tbl_ConsultingCompanys!C462</f>
        <v>164812</v>
      </c>
      <c r="S462" s="102" t="str">
        <f t="shared" si="23"/>
        <v>Pilestredet Park Boligutbygging ANS</v>
      </c>
    </row>
    <row r="463" spans="11:19" x14ac:dyDescent="0.15">
      <c r="K463" s="102" t="str">
        <f>tbl_ArchitectureOffices!D463</f>
        <v>Skagenarkitektene</v>
      </c>
      <c r="L463" s="102">
        <f>tbl_ArchitectureOffices!C463</f>
        <v>166614</v>
      </c>
      <c r="M463" s="102" t="str">
        <f t="shared" si="21"/>
        <v>Skagenarkitektene</v>
      </c>
      <c r="N463" s="102" t="str">
        <f>tbl_Companys!D463</f>
        <v>Hille Melbye Arkitekter AS</v>
      </c>
      <c r="O463" s="102">
        <f>tbl_Companys!C463</f>
        <v>171087</v>
      </c>
      <c r="P463" s="102" t="str">
        <f t="shared" si="22"/>
        <v>Hille Melbye Arkitekter AS</v>
      </c>
      <c r="Q463" s="102" t="str">
        <f>tbl_ConsultingCompanys!D463</f>
        <v>Pir II AS</v>
      </c>
      <c r="R463" s="102">
        <f>tbl_ConsultingCompanys!C463</f>
        <v>247808</v>
      </c>
      <c r="S463" s="102" t="str">
        <f t="shared" si="23"/>
        <v>Pir II AS</v>
      </c>
    </row>
    <row r="464" spans="11:19" x14ac:dyDescent="0.15">
      <c r="K464" s="102" t="str">
        <f>tbl_ArchitectureOffices!D464</f>
        <v>Skibnes Arkitekter AS</v>
      </c>
      <c r="L464" s="102">
        <f>tbl_ArchitectureOffices!C464</f>
        <v>249788</v>
      </c>
      <c r="M464" s="102" t="str">
        <f t="shared" si="21"/>
        <v>Skibnes Arkitekter AS</v>
      </c>
      <c r="N464" s="102" t="str">
        <f>tbl_Companys!D464</f>
        <v>Hille Strandskogen AS arkitekter MNAL</v>
      </c>
      <c r="O464" s="102">
        <f>tbl_Companys!C464</f>
        <v>171088</v>
      </c>
      <c r="P464" s="102" t="str">
        <f t="shared" si="22"/>
        <v>Hille Strandskogen AS arkitekter MNAL</v>
      </c>
      <c r="Q464" s="102" t="str">
        <f>tbl_ConsultingCompanys!D464</f>
        <v>Planteknikk AS</v>
      </c>
      <c r="R464" s="102">
        <f>tbl_ConsultingCompanys!C464</f>
        <v>241090</v>
      </c>
      <c r="S464" s="102" t="str">
        <f t="shared" si="23"/>
        <v>Planteknikk AS</v>
      </c>
    </row>
    <row r="465" spans="11:19" x14ac:dyDescent="0.15">
      <c r="K465" s="102" t="str">
        <f>tbl_ArchitectureOffices!D465</f>
        <v xml:space="preserve">Skylstad as, Arkitekt Svein </v>
      </c>
      <c r="L465" s="102">
        <f>tbl_ArchitectureOffices!C465</f>
        <v>172685</v>
      </c>
      <c r="M465" s="102" t="str">
        <f t="shared" si="21"/>
        <v>Skylstad as, Arkitekt Svein</v>
      </c>
      <c r="N465" s="102" t="str">
        <f>tbl_Companys!D465</f>
        <v>Hindhamar Landskapsarkitekter AS</v>
      </c>
      <c r="O465" s="102">
        <f>tbl_Companys!C465</f>
        <v>244003</v>
      </c>
      <c r="P465" s="102" t="str">
        <f t="shared" si="22"/>
        <v>Hindhamar Landskapsarkitekter AS</v>
      </c>
      <c r="Q465" s="102" t="str">
        <f>tbl_ConsultingCompanys!D465</f>
        <v xml:space="preserve">Polyplan AS </v>
      </c>
      <c r="R465" s="102">
        <f>tbl_ConsultingCompanys!C465</f>
        <v>121067</v>
      </c>
      <c r="S465" s="102" t="str">
        <f t="shared" si="23"/>
        <v>Polyplan AS</v>
      </c>
    </row>
    <row r="466" spans="11:19" x14ac:dyDescent="0.15">
      <c r="K466" s="102" t="str">
        <f>tbl_ArchitectureOffices!D466</f>
        <v>Sletvold Arkitekter MNAL</v>
      </c>
      <c r="L466" s="102">
        <f>tbl_ArchitectureOffices!C466</f>
        <v>166517</v>
      </c>
      <c r="M466" s="102" t="str">
        <f t="shared" si="21"/>
        <v>Sletvold Arkitekter MNAL</v>
      </c>
      <c r="N466" s="102" t="str">
        <f>tbl_Companys!D466</f>
        <v xml:space="preserve">Hjelle Arkitekter AS, Harald </v>
      </c>
      <c r="O466" s="102">
        <f>tbl_Companys!C466</f>
        <v>171089</v>
      </c>
      <c r="P466" s="102" t="str">
        <f t="shared" si="22"/>
        <v>Hjelle Arkitekter AS, Harald</v>
      </c>
      <c r="Q466" s="102" t="str">
        <f>tbl_ConsultingCompanys!D466</f>
        <v>Porsgrunn kommune</v>
      </c>
      <c r="R466" s="102">
        <f>tbl_ConsultingCompanys!C466</f>
        <v>248316</v>
      </c>
      <c r="S466" s="102" t="str">
        <f t="shared" si="23"/>
        <v>Porsgrunn kommune</v>
      </c>
    </row>
    <row r="467" spans="11:19" x14ac:dyDescent="0.15">
      <c r="K467" s="102" t="str">
        <f>tbl_ArchitectureOffices!D467</f>
        <v>Slyngstad Aamlid Arkitekter AS</v>
      </c>
      <c r="L467" s="102">
        <f>tbl_ArchitectureOffices!C467</f>
        <v>166609</v>
      </c>
      <c r="M467" s="102" t="str">
        <f t="shared" si="21"/>
        <v>Slyngstad Aamlid Arkitekter AS</v>
      </c>
      <c r="N467" s="102" t="str">
        <f>tbl_Companys!D467</f>
        <v>Hjellnes Consult AS</v>
      </c>
      <c r="O467" s="102">
        <f>tbl_Companys!C467</f>
        <v>225259</v>
      </c>
      <c r="P467" s="102" t="str">
        <f t="shared" si="22"/>
        <v>Hjellnes Consult AS</v>
      </c>
      <c r="Q467" s="102" t="str">
        <f>tbl_ConsultingCompanys!D467</f>
        <v>Prima-Hus AS</v>
      </c>
      <c r="R467" s="102">
        <f>tbl_ConsultingCompanys!C467</f>
        <v>111931</v>
      </c>
      <c r="S467" s="102" t="str">
        <f t="shared" si="23"/>
        <v>Prima-Hus AS</v>
      </c>
    </row>
    <row r="468" spans="11:19" x14ac:dyDescent="0.15">
      <c r="K468" s="102" t="str">
        <f>tbl_ArchitectureOffices!D468</f>
        <v>SMS arkitekter AS</v>
      </c>
      <c r="L468" s="102">
        <f>tbl_ArchitectureOffices!C468</f>
        <v>166510</v>
      </c>
      <c r="M468" s="102" t="str">
        <f t="shared" si="21"/>
        <v>SMS arkitekter AS</v>
      </c>
      <c r="N468" s="102" t="str">
        <f>tbl_Companys!D468</f>
        <v>Hjelmeland Mur &amp; Flis AS (mur og gulv)</v>
      </c>
      <c r="O468" s="102">
        <f>tbl_Companys!C468</f>
        <v>172954</v>
      </c>
      <c r="P468" s="102" t="str">
        <f t="shared" si="22"/>
        <v>Hjelmeland Mur &amp; Flis AS (mur og gulv)</v>
      </c>
      <c r="Q468" s="102" t="str">
        <f>tbl_ConsultingCompanys!D468</f>
        <v>Procon AS</v>
      </c>
      <c r="R468" s="102">
        <f>tbl_ConsultingCompanys!C468</f>
        <v>245786</v>
      </c>
      <c r="S468" s="102" t="str">
        <f t="shared" si="23"/>
        <v>Procon AS</v>
      </c>
    </row>
    <row r="469" spans="11:19" x14ac:dyDescent="0.15">
      <c r="K469" s="102" t="str">
        <f>tbl_ArchitectureOffices!D469</f>
        <v>Snøhetta as</v>
      </c>
      <c r="L469" s="102">
        <f>tbl_ArchitectureOffices!C469</f>
        <v>166509</v>
      </c>
      <c r="M469" s="102" t="str">
        <f t="shared" si="21"/>
        <v>Snøhetta as</v>
      </c>
      <c r="N469" s="102" t="str">
        <f>tbl_Companys!D469</f>
        <v xml:space="preserve">Hjeltnes AS, sivilarkitekter MNAL, Knut </v>
      </c>
      <c r="O469" s="102">
        <f>tbl_Companys!C469</f>
        <v>171090</v>
      </c>
      <c r="P469" s="102" t="str">
        <f t="shared" si="22"/>
        <v>Hjeltnes AS, sivilarkitekter MNAL, Knut</v>
      </c>
      <c r="Q469" s="102" t="str">
        <f>tbl_ConsultingCompanys!D469</f>
        <v>Prokon AS</v>
      </c>
      <c r="R469" s="102">
        <f>tbl_ConsultingCompanys!C469</f>
        <v>243859</v>
      </c>
      <c r="S469" s="102" t="str">
        <f t="shared" si="23"/>
        <v>Prokon AS</v>
      </c>
    </row>
    <row r="470" spans="11:19" x14ac:dyDescent="0.15">
      <c r="K470" s="102" t="str">
        <f>tbl_ArchitectureOffices!D470</f>
        <v>SOLARK</v>
      </c>
      <c r="L470" s="102">
        <f>tbl_ArchitectureOffices!C470</f>
        <v>194004</v>
      </c>
      <c r="M470" s="102" t="str">
        <f t="shared" si="21"/>
        <v>SOLARK</v>
      </c>
      <c r="N470" s="102" t="str">
        <f>tbl_Companys!D470</f>
        <v>Hjorth Arkitekter</v>
      </c>
      <c r="O470" s="102">
        <f>tbl_Companys!C470</f>
        <v>249016</v>
      </c>
      <c r="P470" s="102" t="str">
        <f t="shared" si="22"/>
        <v>Hjorth Arkitekter</v>
      </c>
      <c r="Q470" s="102" t="str">
        <f>tbl_ConsultingCompanys!D470</f>
        <v>Prosjektbygg AS</v>
      </c>
      <c r="R470" s="102">
        <f>tbl_ConsultingCompanys!C470</f>
        <v>205121</v>
      </c>
      <c r="S470" s="102" t="str">
        <f t="shared" si="23"/>
        <v>Prosjektbygg AS</v>
      </c>
    </row>
    <row r="471" spans="11:19" x14ac:dyDescent="0.15">
      <c r="K471" s="102" t="str">
        <f>tbl_ArchitectureOffices!D471</f>
        <v>Solbjør Arkitektur</v>
      </c>
      <c r="L471" s="102">
        <f>tbl_ArchitectureOffices!C471</f>
        <v>166508</v>
      </c>
      <c r="M471" s="102" t="str">
        <f t="shared" si="21"/>
        <v>Solbjør Arkitektur</v>
      </c>
      <c r="N471" s="102" t="str">
        <f>tbl_Companys!D471</f>
        <v>HLM arkitektur &amp; plan A/S</v>
      </c>
      <c r="O471" s="102">
        <f>tbl_Companys!C471</f>
        <v>171092</v>
      </c>
      <c r="P471" s="102" t="str">
        <f t="shared" si="22"/>
        <v>HLM arkitektur &amp; plan A/S</v>
      </c>
      <c r="Q471" s="102" t="str">
        <f>tbl_ConsultingCompanys!D471</f>
        <v>Prosjektutvikling Midt-Norge AS</v>
      </c>
      <c r="R471" s="102">
        <f>tbl_ConsultingCompanys!C471</f>
        <v>98696</v>
      </c>
      <c r="S471" s="102" t="str">
        <f t="shared" si="23"/>
        <v>Prosjektutvikling Midt-Norge AS</v>
      </c>
    </row>
    <row r="472" spans="11:19" x14ac:dyDescent="0.15">
      <c r="K472" s="102" t="str">
        <f>tbl_ArchitectureOffices!D472</f>
        <v>Solem Arkitektur AS</v>
      </c>
      <c r="L472" s="102">
        <f>tbl_ArchitectureOffices!C472</f>
        <v>166507</v>
      </c>
      <c r="M472" s="102" t="str">
        <f t="shared" si="21"/>
        <v>Solem Arkitektur AS</v>
      </c>
      <c r="N472" s="102" t="str">
        <f>tbl_Companys!D472</f>
        <v xml:space="preserve">Hoff romstudio, Baard </v>
      </c>
      <c r="O472" s="102">
        <f>tbl_Companys!C472</f>
        <v>171094</v>
      </c>
      <c r="P472" s="102" t="str">
        <f t="shared" si="22"/>
        <v>Hoff romstudio, Baard</v>
      </c>
      <c r="Q472" s="102" t="str">
        <f>tbl_ConsultingCompanys!D472</f>
        <v>Protan Bygg og Tak AS</v>
      </c>
      <c r="R472" s="102">
        <f>tbl_ConsultingCompanys!C472</f>
        <v>163049</v>
      </c>
      <c r="S472" s="102" t="str">
        <f t="shared" si="23"/>
        <v>Protan Bygg og Tak AS</v>
      </c>
    </row>
    <row r="473" spans="11:19" x14ac:dyDescent="0.15">
      <c r="K473" s="102" t="str">
        <f>tbl_ArchitectureOffices!D473</f>
        <v>Solheim og Jacobsen arkitekter AS</v>
      </c>
      <c r="L473" s="102">
        <f>tbl_ArchitectureOffices!C473</f>
        <v>166505</v>
      </c>
      <c r="M473" s="102" t="str">
        <f t="shared" si="21"/>
        <v>Solheim og Jacobsen arkitekter AS</v>
      </c>
      <c r="N473" s="102" t="str">
        <f>tbl_Companys!D473</f>
        <v>Hoffmann, Arne Arkitektene og Ib Omland Phd, sivilarkitekt mnal</v>
      </c>
      <c r="O473" s="102">
        <f>tbl_Companys!C473</f>
        <v>200496</v>
      </c>
      <c r="P473" s="102" t="str">
        <f t="shared" si="22"/>
        <v>Hoffmann, Arne Arkitektene og Ib Omland Phd, sivilarkitekt mnal</v>
      </c>
      <c r="Q473" s="102" t="str">
        <f>tbl_ConsultingCompanys!D473</f>
        <v>Protan Bygg og Tak AS</v>
      </c>
      <c r="R473" s="102">
        <f>tbl_ConsultingCompanys!C473</f>
        <v>165641</v>
      </c>
      <c r="S473" s="102" t="str">
        <f t="shared" si="23"/>
        <v>Protan Bygg og Tak AS</v>
      </c>
    </row>
    <row r="474" spans="11:19" x14ac:dyDescent="0.15">
      <c r="K474" s="102" t="str">
        <f>tbl_ArchitectureOffices!D474</f>
        <v>Solli Arkitekter AS</v>
      </c>
      <c r="L474" s="102">
        <f>tbl_ArchitectureOffices!C474</f>
        <v>166503</v>
      </c>
      <c r="M474" s="102" t="str">
        <f t="shared" si="21"/>
        <v>Solli Arkitekter AS</v>
      </c>
      <c r="N474" s="102" t="str">
        <f>tbl_Companys!D474</f>
        <v>Hol Kirkelige Fellesråd</v>
      </c>
      <c r="O474" s="102">
        <f>tbl_Companys!C474</f>
        <v>245537</v>
      </c>
      <c r="P474" s="102" t="str">
        <f t="shared" si="22"/>
        <v>Hol Kirkelige Fellesråd</v>
      </c>
      <c r="Q474" s="102" t="str">
        <f>tbl_ConsultingCompanys!D474</f>
        <v>PÅ Elektroforum AS</v>
      </c>
      <c r="R474" s="102">
        <f>tbl_ConsultingCompanys!C474</f>
        <v>200082</v>
      </c>
      <c r="S474" s="102" t="str">
        <f t="shared" si="23"/>
        <v>PÅ Elektroforum AS</v>
      </c>
    </row>
    <row r="475" spans="11:19" x14ac:dyDescent="0.15">
      <c r="K475" s="102" t="str">
        <f>tbl_ArchitectureOffices!D475</f>
        <v xml:space="preserve">Solli Sivilarkitekt MNAL, Tore </v>
      </c>
      <c r="L475" s="102">
        <f>tbl_ArchitectureOffices!C475</f>
        <v>177575</v>
      </c>
      <c r="M475" s="102" t="str">
        <f t="shared" si="21"/>
        <v>Solli Sivilarkitekt MNAL, Tore</v>
      </c>
      <c r="N475" s="102" t="str">
        <f>tbl_Companys!D475</f>
        <v>Holm &amp; Grut Arkitekter MAA PAR</v>
      </c>
      <c r="O475" s="102">
        <f>tbl_Companys!C475</f>
        <v>171136</v>
      </c>
      <c r="P475" s="102" t="str">
        <f t="shared" si="22"/>
        <v>Holm &amp; Grut Arkitekter MAA PAR</v>
      </c>
      <c r="Q475" s="102" t="str">
        <f>tbl_ConsultingCompanys!D475</f>
        <v>Ragnars AS</v>
      </c>
      <c r="R475" s="102">
        <f>tbl_ConsultingCompanys!C475</f>
        <v>202455</v>
      </c>
      <c r="S475" s="102" t="str">
        <f t="shared" si="23"/>
        <v>Ragnars AS</v>
      </c>
    </row>
    <row r="476" spans="11:19" x14ac:dyDescent="0.15">
      <c r="K476" s="102" t="str">
        <f>tbl_ArchitectureOffices!D476</f>
        <v xml:space="preserve">Solnes AS, Lil </v>
      </c>
      <c r="L476" s="102">
        <f>tbl_ArchitectureOffices!C476</f>
        <v>172720</v>
      </c>
      <c r="M476" s="102" t="str">
        <f t="shared" si="21"/>
        <v>Solnes AS, Lil</v>
      </c>
      <c r="N476" s="102" t="str">
        <f>tbl_Companys!D476</f>
        <v>Holtefjell Entreprenør AS</v>
      </c>
      <c r="O476" s="102">
        <f>tbl_Companys!C476</f>
        <v>204306</v>
      </c>
      <c r="P476" s="102" t="str">
        <f t="shared" si="22"/>
        <v>Holtefjell Entreprenør AS</v>
      </c>
      <c r="Q476" s="102" t="str">
        <f>tbl_ConsultingCompanys!D476</f>
        <v>Rambøll</v>
      </c>
      <c r="R476" s="102">
        <f>tbl_ConsultingCompanys!C476</f>
        <v>217764</v>
      </c>
      <c r="S476" s="102" t="str">
        <f t="shared" si="23"/>
        <v>Rambøll</v>
      </c>
    </row>
    <row r="477" spans="11:19" x14ac:dyDescent="0.15">
      <c r="K477" s="102" t="str">
        <f>tbl_ArchitectureOffices!D477</f>
        <v>Spacegroup Arkitekter A/S</v>
      </c>
      <c r="L477" s="102">
        <f>tbl_ArchitectureOffices!C477</f>
        <v>166485</v>
      </c>
      <c r="M477" s="102" t="str">
        <f t="shared" si="21"/>
        <v>Spacegroup Arkitekter A/S</v>
      </c>
      <c r="N477" s="102" t="str">
        <f>tbl_Companys!D477</f>
        <v>Holz Norge 100 (massivtreelementer)</v>
      </c>
      <c r="O477" s="102">
        <f>tbl_Companys!C477</f>
        <v>158133</v>
      </c>
      <c r="P477" s="102" t="str">
        <f t="shared" si="22"/>
        <v>Holz Norge 100 (massivtreelementer)</v>
      </c>
      <c r="Q477" s="102" t="str">
        <f>tbl_ConsultingCompanys!D477</f>
        <v>Ranheimsveien eiendom, Utstillingsplassen Eiendom AS, Larshus AS</v>
      </c>
      <c r="R477" s="102">
        <f>tbl_ConsultingCompanys!C477</f>
        <v>228622</v>
      </c>
      <c r="S477" s="102" t="str">
        <f t="shared" si="23"/>
        <v>Ranheimsveien eiendom, Utstillingsplassen Eiendom AS, Larshus AS</v>
      </c>
    </row>
    <row r="478" spans="11:19" x14ac:dyDescent="0.15">
      <c r="K478" s="102" t="str">
        <f>tbl_ArchitectureOffices!D478</f>
        <v>Spark arkitektur</v>
      </c>
      <c r="L478" s="102">
        <f>tbl_ArchitectureOffices!C478</f>
        <v>166484</v>
      </c>
      <c r="M478" s="102" t="str">
        <f t="shared" si="21"/>
        <v>Spark arkitektur</v>
      </c>
      <c r="N478" s="102" t="str">
        <f>tbl_Companys!D478</f>
        <v>Hordaland Fylkeskommune Eigedomsseksjonen</v>
      </c>
      <c r="O478" s="102">
        <f>tbl_Companys!C478</f>
        <v>224141</v>
      </c>
      <c r="P478" s="102" t="str">
        <f t="shared" si="22"/>
        <v>Hordaland Fylkeskommune Eigedomsseksjonen</v>
      </c>
      <c r="Q478" s="102" t="str">
        <f>tbl_ConsultingCompanys!D478</f>
        <v>Rasmussen &amp; Strand AS</v>
      </c>
      <c r="R478" s="102">
        <f>tbl_ConsultingCompanys!C478</f>
        <v>247749</v>
      </c>
      <c r="S478" s="102" t="str">
        <f t="shared" si="23"/>
        <v>Rasmussen &amp; Strand AS</v>
      </c>
    </row>
    <row r="479" spans="11:19" x14ac:dyDescent="0.15">
      <c r="K479" s="102" t="str">
        <f>tbl_ArchitectureOffices!D479</f>
        <v>Spiss Arkitektur &amp; Plan AS</v>
      </c>
      <c r="L479" s="102">
        <f>tbl_ArchitectureOffices!C479</f>
        <v>172895</v>
      </c>
      <c r="M479" s="102" t="str">
        <f t="shared" si="21"/>
        <v>Spiss Arkitektur &amp; Plan AS</v>
      </c>
      <c r="N479" s="102" t="str">
        <f>tbl_Companys!D479</f>
        <v>Horten kommune</v>
      </c>
      <c r="O479" s="102">
        <f>tbl_Companys!C479</f>
        <v>213267</v>
      </c>
      <c r="P479" s="102" t="str">
        <f t="shared" si="22"/>
        <v>Horten kommune</v>
      </c>
      <c r="Q479" s="102" t="str">
        <f>tbl_ConsultingCompanys!D479</f>
        <v>Raugstad as</v>
      </c>
      <c r="R479" s="102">
        <f>tbl_ConsultingCompanys!C479</f>
        <v>155958</v>
      </c>
      <c r="S479" s="102" t="str">
        <f t="shared" si="23"/>
        <v>Raugstad as</v>
      </c>
    </row>
    <row r="480" spans="11:19" x14ac:dyDescent="0.15">
      <c r="K480" s="102" t="str">
        <f>tbl_ArchitectureOffices!D480</f>
        <v>Spor Arkitekter AS</v>
      </c>
      <c r="L480" s="102">
        <f>tbl_ArchitectureOffices!C480</f>
        <v>166481</v>
      </c>
      <c r="M480" s="102" t="str">
        <f t="shared" si="21"/>
        <v>Spor Arkitekter AS</v>
      </c>
      <c r="N480" s="102" t="str">
        <f>tbl_Companys!D480</f>
        <v>HR Prosjekt AS</v>
      </c>
      <c r="O480" s="102">
        <f>tbl_Companys!C480</f>
        <v>248373</v>
      </c>
      <c r="P480" s="102" t="str">
        <f t="shared" si="22"/>
        <v>HR Prosjekt AS</v>
      </c>
      <c r="Q480" s="102" t="str">
        <f>tbl_ConsultingCompanys!D480</f>
        <v>REC Indovent</v>
      </c>
      <c r="R480" s="102">
        <f>tbl_ConsultingCompanys!C480</f>
        <v>178214</v>
      </c>
      <c r="S480" s="102" t="str">
        <f t="shared" si="23"/>
        <v>REC Indovent</v>
      </c>
    </row>
    <row r="481" spans="11:19" x14ac:dyDescent="0.15">
      <c r="K481" s="102" t="str">
        <f>tbl_ArchitectureOffices!D481</f>
        <v>Sporstøl AS, Arkitektfirma</v>
      </c>
      <c r="L481" s="102">
        <f>tbl_ArchitectureOffices!C481</f>
        <v>166479</v>
      </c>
      <c r="M481" s="102" t="str">
        <f t="shared" si="21"/>
        <v>Sporstøl AS, Arkitektfirma</v>
      </c>
      <c r="N481" s="102" t="str">
        <f>tbl_Companys!D481</f>
        <v>HRL Skien</v>
      </c>
      <c r="O481" s="102">
        <f>tbl_Companys!C481</f>
        <v>162892</v>
      </c>
      <c r="P481" s="102" t="str">
        <f t="shared" si="22"/>
        <v>HRL Skien</v>
      </c>
      <c r="Q481" s="102" t="str">
        <f>tbl_ConsultingCompanys!D481</f>
        <v>Reidar Kristiansen</v>
      </c>
      <c r="R481" s="102">
        <f>tbl_ConsultingCompanys!C481</f>
        <v>119978</v>
      </c>
      <c r="S481" s="102" t="str">
        <f t="shared" si="23"/>
        <v>Reidar Kristiansen</v>
      </c>
    </row>
    <row r="482" spans="11:19" x14ac:dyDescent="0.15">
      <c r="K482" s="102" t="str">
        <f>tbl_ArchitectureOffices!D482</f>
        <v>Stark Rød-Knudsen arkitekter AS</v>
      </c>
      <c r="L482" s="102">
        <f>tbl_ArchitectureOffices!C482</f>
        <v>173200</v>
      </c>
      <c r="M482" s="102" t="str">
        <f t="shared" si="21"/>
        <v>Stark Rød-Knudsen arkitekter AS</v>
      </c>
      <c r="N482" s="102" t="str">
        <f>tbl_Companys!D482</f>
        <v>HRTB Arkitekter AS MNAL</v>
      </c>
      <c r="O482" s="102">
        <f>tbl_Companys!C482</f>
        <v>171072</v>
      </c>
      <c r="P482" s="102" t="str">
        <f t="shared" si="22"/>
        <v>HRTB Arkitekter AS MNAL</v>
      </c>
      <c r="Q482" s="102" t="str">
        <f>tbl_ConsultingCompanys!D482</f>
        <v>Reinertsen AS</v>
      </c>
      <c r="R482" s="102">
        <f>tbl_ConsultingCompanys!C482</f>
        <v>163052</v>
      </c>
      <c r="S482" s="102" t="str">
        <f t="shared" si="23"/>
        <v>Reinertsen AS</v>
      </c>
    </row>
    <row r="483" spans="11:19" x14ac:dyDescent="0.15">
      <c r="K483" s="102" t="str">
        <f>tbl_ArchitectureOffices!D483</f>
        <v>Stavseth&amp;Lervik Arkitekter AS Mnal</v>
      </c>
      <c r="L483" s="102">
        <f>tbl_ArchitectureOffices!C483</f>
        <v>193742</v>
      </c>
      <c r="M483" s="102" t="str">
        <f t="shared" si="21"/>
        <v>Stavseth&amp;Lervik Arkitekter AS Mnal</v>
      </c>
      <c r="N483" s="102" t="str">
        <f>tbl_Companys!D483</f>
        <v>HS Vagle AS</v>
      </c>
      <c r="O483" s="102">
        <f>tbl_Companys!C483</f>
        <v>155840</v>
      </c>
      <c r="P483" s="102" t="str">
        <f t="shared" si="22"/>
        <v>HS Vagle AS</v>
      </c>
      <c r="Q483" s="102" t="str">
        <f>tbl_ConsultingCompanys!D483</f>
        <v>Reinertsen AS (RIAku)</v>
      </c>
      <c r="R483" s="102">
        <f>tbl_ConsultingCompanys!C483</f>
        <v>215014</v>
      </c>
      <c r="S483" s="102" t="str">
        <f t="shared" si="23"/>
        <v>Reinertsen AS (RIAku)</v>
      </c>
    </row>
    <row r="484" spans="11:19" x14ac:dyDescent="0.15">
      <c r="K484" s="102" t="str">
        <f>tbl_ArchitectureOffices!D484</f>
        <v>Steinsvik Arkitektkontor AS</v>
      </c>
      <c r="L484" s="102">
        <f>tbl_ArchitectureOffices!C484</f>
        <v>193910</v>
      </c>
      <c r="M484" s="102" t="str">
        <f t="shared" si="21"/>
        <v>Steinsvik Arkitektkontor AS</v>
      </c>
      <c r="N484" s="102" t="str">
        <f>tbl_Companys!D484</f>
        <v>HSØ - Hagestande og Øvrehus Arkitektkontor AS</v>
      </c>
      <c r="O484" s="102">
        <f>tbl_Companys!C484</f>
        <v>171138</v>
      </c>
      <c r="P484" s="102" t="str">
        <f t="shared" si="22"/>
        <v>HSØ - Hagestande og Øvrehus Arkitektkontor AS</v>
      </c>
      <c r="Q484" s="102" t="str">
        <f>tbl_ConsultingCompanys!D484</f>
        <v>Reinertsen Engineering AS</v>
      </c>
      <c r="R484" s="102">
        <f>tbl_ConsultingCompanys!C484</f>
        <v>110277</v>
      </c>
      <c r="S484" s="102" t="str">
        <f t="shared" si="23"/>
        <v>Reinertsen Engineering AS</v>
      </c>
    </row>
    <row r="485" spans="11:19" x14ac:dyDescent="0.15">
      <c r="K485" s="102" t="str">
        <f>tbl_ArchitectureOffices!D485</f>
        <v>Steven Holl Architects</v>
      </c>
      <c r="L485" s="102">
        <f>tbl_ArchitectureOffices!C485</f>
        <v>243879</v>
      </c>
      <c r="M485" s="102" t="str">
        <f t="shared" si="21"/>
        <v>Steven Holl Architects</v>
      </c>
      <c r="N485" s="102" t="str">
        <f>tbl_Companys!D485</f>
        <v xml:space="preserve">Hus AS, Arbeidsgruppen </v>
      </c>
      <c r="O485" s="102">
        <f>tbl_Companys!C485</f>
        <v>172584</v>
      </c>
      <c r="P485" s="102" t="str">
        <f t="shared" si="22"/>
        <v>Hus AS, Arbeidsgruppen</v>
      </c>
      <c r="Q485" s="102" t="str">
        <f>tbl_ConsultingCompanys!D485</f>
        <v>Reum og Laugtaug AS</v>
      </c>
      <c r="R485" s="102">
        <f>tbl_ConsultingCompanys!C485</f>
        <v>111923</v>
      </c>
      <c r="S485" s="102" t="str">
        <f t="shared" si="23"/>
        <v>Reum og Laugtaug AS</v>
      </c>
    </row>
    <row r="486" spans="11:19" x14ac:dyDescent="0.15">
      <c r="K486" s="102" t="str">
        <f>tbl_ArchitectureOffices!D486</f>
        <v>Stousland Arkitektkontor AS</v>
      </c>
      <c r="L486" s="102">
        <f>tbl_ArchitectureOffices!C486</f>
        <v>166478</v>
      </c>
      <c r="M486" s="102" t="str">
        <f t="shared" si="21"/>
        <v>Stousland Arkitektkontor AS</v>
      </c>
      <c r="N486" s="102" t="str">
        <f>tbl_Companys!D486</f>
        <v>Huus og Heim Arkitektur</v>
      </c>
      <c r="O486" s="102">
        <f>tbl_Companys!C486</f>
        <v>172898</v>
      </c>
      <c r="P486" s="102" t="str">
        <f t="shared" si="22"/>
        <v>Huus og Heim Arkitektur</v>
      </c>
      <c r="Q486" s="102" t="str">
        <f>tbl_ConsultingCompanys!D486</f>
        <v>Richard Ligård, Framtidens Aktivhus AS</v>
      </c>
      <c r="R486" s="102">
        <f>tbl_ConsultingCompanys!C486</f>
        <v>225770</v>
      </c>
      <c r="S486" s="102" t="str">
        <f t="shared" si="23"/>
        <v>Richard Ligård, Framtidens Aktivhus AS</v>
      </c>
    </row>
    <row r="487" spans="11:19" x14ac:dyDescent="0.15">
      <c r="K487" s="102" t="str">
        <f>tbl_ArchitectureOffices!D487</f>
        <v>Streken arkitektgruppe as</v>
      </c>
      <c r="L487" s="102">
        <f>tbl_ArchitectureOffices!C487</f>
        <v>166475</v>
      </c>
      <c r="M487" s="102" t="str">
        <f t="shared" si="21"/>
        <v>Streken arkitektgruppe as</v>
      </c>
      <c r="N487" s="102" t="str">
        <f>tbl_Companys!D487</f>
        <v xml:space="preserve">Hvoslef-Eide AS, Arkitektkontoret Didrik </v>
      </c>
      <c r="O487" s="102">
        <f>tbl_Companys!C487</f>
        <v>171140</v>
      </c>
      <c r="P487" s="102" t="str">
        <f t="shared" si="22"/>
        <v>Hvoslef-Eide AS, Arkitektkontoret Didrik</v>
      </c>
      <c r="Q487" s="102" t="str">
        <f>tbl_ConsultingCompanys!D487</f>
        <v>Riksheim Consulting AS (RIV)</v>
      </c>
      <c r="R487" s="102">
        <f>tbl_ConsultingCompanys!C487</f>
        <v>205123</v>
      </c>
      <c r="S487" s="102" t="str">
        <f t="shared" si="23"/>
        <v>Riksheim Consulting AS (RIV)</v>
      </c>
    </row>
    <row r="488" spans="11:19" x14ac:dyDescent="0.15">
      <c r="K488" s="102" t="str">
        <f>tbl_ArchitectureOffices!D488</f>
        <v>Studio 4 Arkitekter AS</v>
      </c>
      <c r="L488" s="102">
        <f>tbl_ArchitectureOffices!C488</f>
        <v>166470</v>
      </c>
      <c r="M488" s="102" t="str">
        <f t="shared" si="21"/>
        <v>Studio 4 Arkitekter AS</v>
      </c>
      <c r="N488" s="102" t="str">
        <f>tbl_Companys!D488</f>
        <v>HWR arkitekter as</v>
      </c>
      <c r="O488" s="102">
        <f>tbl_Companys!C488</f>
        <v>171142</v>
      </c>
      <c r="P488" s="102" t="str">
        <f t="shared" si="22"/>
        <v>HWR arkitekter as</v>
      </c>
      <c r="Q488" s="102" t="str">
        <f>tbl_ConsultingCompanys!D488</f>
        <v>RIV Bjørkaas AS</v>
      </c>
      <c r="R488" s="102">
        <f>tbl_ConsultingCompanys!C488</f>
        <v>110885</v>
      </c>
      <c r="S488" s="102" t="str">
        <f t="shared" si="23"/>
        <v>RIV Bjørkaas AS</v>
      </c>
    </row>
    <row r="489" spans="11:19" x14ac:dyDescent="0.15">
      <c r="K489" s="102" t="str">
        <f>tbl_ArchitectureOffices!D489</f>
        <v>Studio ludo as</v>
      </c>
      <c r="L489" s="102">
        <f>tbl_ArchitectureOffices!C489</f>
        <v>166473</v>
      </c>
      <c r="M489" s="102" t="str">
        <f t="shared" si="21"/>
        <v>Studio ludo as</v>
      </c>
      <c r="N489" s="102" t="str">
        <f>tbl_Companys!D489</f>
        <v>Hysj arkitekter AS</v>
      </c>
      <c r="O489" s="102">
        <f>tbl_Companys!C489</f>
        <v>210154</v>
      </c>
      <c r="P489" s="102" t="str">
        <f t="shared" si="22"/>
        <v>Hysj arkitekter AS</v>
      </c>
      <c r="Q489" s="102" t="str">
        <f>tbl_ConsultingCompanys!D489</f>
        <v>Rivco AS</v>
      </c>
      <c r="R489" s="102">
        <f>tbl_ConsultingCompanys!C489</f>
        <v>216997</v>
      </c>
      <c r="S489" s="102" t="str">
        <f t="shared" si="23"/>
        <v>Rivco AS</v>
      </c>
    </row>
    <row r="490" spans="11:19" x14ac:dyDescent="0.15">
      <c r="K490" s="102" t="str">
        <f>tbl_ArchitectureOffices!D490</f>
        <v>Studio Stokke</v>
      </c>
      <c r="L490" s="102">
        <f>tbl_ArchitectureOffices!C490</f>
        <v>166471</v>
      </c>
      <c r="M490" s="102" t="str">
        <f t="shared" si="21"/>
        <v>Studio Stokke</v>
      </c>
      <c r="N490" s="102" t="str">
        <f>tbl_Companys!D490</f>
        <v>Häussler/H-produkter</v>
      </c>
      <c r="O490" s="102">
        <f>tbl_Companys!C490</f>
        <v>178213</v>
      </c>
      <c r="P490" s="102" t="str">
        <f t="shared" si="22"/>
        <v>Häussler/H-produkter</v>
      </c>
      <c r="Q490" s="102" t="str">
        <f>tbl_ConsultingCompanys!D490</f>
        <v>Roald Haldorsen v/ Oslo Prosjektadministrasjon AS</v>
      </c>
      <c r="R490" s="102">
        <f>tbl_ConsultingCompanys!C490</f>
        <v>215021</v>
      </c>
      <c r="S490" s="102" t="str">
        <f t="shared" si="23"/>
        <v>Roald Haldorsen v/ Oslo Prosjektadministrasjon AS</v>
      </c>
    </row>
    <row r="491" spans="11:19" x14ac:dyDescent="0.15">
      <c r="K491" s="102" t="str">
        <f>tbl_ArchitectureOffices!D491</f>
        <v>Sundt arkitekter</v>
      </c>
      <c r="L491" s="102">
        <f>tbl_ArchitectureOffices!C491</f>
        <v>172654</v>
      </c>
      <c r="M491" s="102" t="str">
        <f t="shared" si="21"/>
        <v>Sundt arkitekter</v>
      </c>
      <c r="N491" s="102" t="str">
        <f>tbl_Companys!D491</f>
        <v>i NOR as (RIE)</v>
      </c>
      <c r="O491" s="102">
        <f>tbl_Companys!C491</f>
        <v>182981</v>
      </c>
      <c r="P491" s="102" t="str">
        <f t="shared" si="22"/>
        <v>i NOR as (RIE)</v>
      </c>
      <c r="Q491" s="102" t="str">
        <f>tbl_ConsultingCompanys!D491</f>
        <v>Roar Jørgensen AS</v>
      </c>
      <c r="R491" s="102">
        <f>tbl_ConsultingCompanys!C491</f>
        <v>247750</v>
      </c>
      <c r="S491" s="102" t="str">
        <f t="shared" si="23"/>
        <v>Roar Jørgensen AS</v>
      </c>
    </row>
    <row r="492" spans="11:19" x14ac:dyDescent="0.15">
      <c r="K492" s="102" t="str">
        <f>tbl_ArchitectureOffices!D492</f>
        <v>Svein Skibnes Arkitektkontor AS</v>
      </c>
      <c r="L492" s="102">
        <f>tbl_ArchitectureOffices!C492</f>
        <v>243755</v>
      </c>
      <c r="M492" s="102" t="str">
        <f t="shared" si="21"/>
        <v>Svein Skibnes Arkitektkontor AS</v>
      </c>
      <c r="N492" s="102" t="str">
        <f>tbl_Companys!D492</f>
        <v>i2i.no as</v>
      </c>
      <c r="O492" s="102">
        <f>tbl_Companys!C492</f>
        <v>171148</v>
      </c>
      <c r="P492" s="102" t="str">
        <f t="shared" si="22"/>
        <v>i2i.no as</v>
      </c>
      <c r="Q492" s="102" t="str">
        <f>tbl_ConsultingCompanys!D492</f>
        <v>Roar Ousland og Marit Grinaker Wright</v>
      </c>
      <c r="R492" s="102">
        <f>tbl_ConsultingCompanys!C492</f>
        <v>242772</v>
      </c>
      <c r="S492" s="102" t="str">
        <f t="shared" si="23"/>
        <v>Roar Ousland og Marit Grinaker Wright</v>
      </c>
    </row>
    <row r="493" spans="11:19" x14ac:dyDescent="0.15">
      <c r="K493" s="102" t="str">
        <f>tbl_ArchitectureOffices!D493</f>
        <v>Sydarkitekter AS</v>
      </c>
      <c r="L493" s="102">
        <f>tbl_ArchitectureOffices!C493</f>
        <v>248323</v>
      </c>
      <c r="M493" s="102" t="str">
        <f t="shared" si="21"/>
        <v>Sydarkitekter AS</v>
      </c>
      <c r="N493" s="102" t="str">
        <f>tbl_Companys!D493</f>
        <v>IBR el-prosjekt AS</v>
      </c>
      <c r="O493" s="102">
        <f>tbl_Companys!C493</f>
        <v>181046</v>
      </c>
      <c r="P493" s="102" t="str">
        <f t="shared" si="22"/>
        <v>IBR el-prosjekt AS</v>
      </c>
      <c r="Q493" s="102" t="str">
        <f>tbl_ConsultingCompanys!D493</f>
        <v>Roar Svenning &amp; Torild Landklopp</v>
      </c>
      <c r="R493" s="102">
        <f>tbl_ConsultingCompanys!C493</f>
        <v>230104</v>
      </c>
      <c r="S493" s="102" t="str">
        <f t="shared" si="23"/>
        <v>Roar Svenning &amp; Torild Landklopp</v>
      </c>
    </row>
    <row r="494" spans="11:19" x14ac:dyDescent="0.15">
      <c r="K494" s="102" t="str">
        <f>tbl_ArchitectureOffices!D494</f>
        <v>Sæther og Gythfeldt AS, Arkitektkontoret</v>
      </c>
      <c r="L494" s="102">
        <f>tbl_ArchitectureOffices!C494</f>
        <v>166468</v>
      </c>
      <c r="M494" s="102" t="str">
        <f t="shared" si="21"/>
        <v>Sæther og Gythfeldt AS, Arkitektkontoret</v>
      </c>
      <c r="N494" s="102" t="str">
        <f>tbl_Companys!D494</f>
        <v>IDA arkitekter as</v>
      </c>
      <c r="O494" s="102">
        <f>tbl_Companys!C494</f>
        <v>232354</v>
      </c>
      <c r="P494" s="102" t="str">
        <f t="shared" si="22"/>
        <v>IDA arkitekter as</v>
      </c>
      <c r="Q494" s="102" t="str">
        <f>tbl_ConsultingCompanys!D494</f>
        <v>Robak VVS as (RIVA)</v>
      </c>
      <c r="R494" s="102">
        <f>tbl_ConsultingCompanys!C494</f>
        <v>215425</v>
      </c>
      <c r="S494" s="102" t="str">
        <f t="shared" si="23"/>
        <v>Robak VVS as (RIVA)</v>
      </c>
    </row>
    <row r="495" spans="11:19" x14ac:dyDescent="0.15">
      <c r="K495" s="102" t="str">
        <f>tbl_ArchitectureOffices!D495</f>
        <v xml:space="preserve">Sødal, Arkitekt Arne </v>
      </c>
      <c r="L495" s="102">
        <f>tbl_ArchitectureOffices!C495</f>
        <v>172896</v>
      </c>
      <c r="M495" s="102" t="str">
        <f t="shared" si="21"/>
        <v>Sødal, Arkitekt Arne</v>
      </c>
      <c r="N495" s="102" t="str">
        <f>tbl_Companys!D495</f>
        <v>Ide Arkitekter</v>
      </c>
      <c r="O495" s="102">
        <f>tbl_Companys!C495</f>
        <v>171144</v>
      </c>
      <c r="P495" s="102" t="str">
        <f t="shared" si="22"/>
        <v>Ide Arkitekter</v>
      </c>
      <c r="Q495" s="102" t="str">
        <f>tbl_ConsultingCompanys!D495</f>
        <v>Rockwool</v>
      </c>
      <c r="R495" s="102">
        <f>tbl_ConsultingCompanys!C495</f>
        <v>177641</v>
      </c>
      <c r="S495" s="102" t="str">
        <f t="shared" si="23"/>
        <v>Rockwool</v>
      </c>
    </row>
    <row r="496" spans="11:19" x14ac:dyDescent="0.15">
      <c r="K496" s="102" t="str">
        <f>tbl_ArchitectureOffices!D496</f>
        <v xml:space="preserve">Sør AS, Arkitektkontoret </v>
      </c>
      <c r="L496" s="102">
        <f>tbl_ArchitectureOffices!C496</f>
        <v>172596</v>
      </c>
      <c r="M496" s="102" t="str">
        <f t="shared" si="21"/>
        <v>Sør AS, Arkitektkontoret</v>
      </c>
      <c r="N496" s="102" t="str">
        <f>tbl_Companys!D496</f>
        <v>IdealBygg AS</v>
      </c>
      <c r="O496" s="102">
        <f>tbl_Companys!C496</f>
        <v>247502</v>
      </c>
      <c r="P496" s="102" t="str">
        <f t="shared" si="22"/>
        <v>IdealBygg AS</v>
      </c>
      <c r="Q496" s="102" t="str">
        <f>tbl_ConsultingCompanys!D496</f>
        <v>Rogaland bygg og prosjektutvikling AS</v>
      </c>
      <c r="R496" s="102">
        <f>tbl_ConsultingCompanys!C496</f>
        <v>158048</v>
      </c>
      <c r="S496" s="102" t="str">
        <f t="shared" si="23"/>
        <v>Rogaland bygg og prosjektutvikling AS</v>
      </c>
    </row>
    <row r="497" spans="11:19" x14ac:dyDescent="0.15">
      <c r="K497" s="102" t="str">
        <f>tbl_ArchitectureOffices!D497</f>
        <v>Sørli arkitekter as</v>
      </c>
      <c r="L497" s="102">
        <f>tbl_ArchitectureOffices!C497</f>
        <v>172893</v>
      </c>
      <c r="M497" s="102" t="str">
        <f t="shared" si="21"/>
        <v>Sørli arkitekter as</v>
      </c>
      <c r="N497" s="102" t="str">
        <f>tbl_Companys!D497</f>
        <v>Iguzzini (lys)</v>
      </c>
      <c r="O497" s="102">
        <f>tbl_Companys!C497</f>
        <v>198981</v>
      </c>
      <c r="P497" s="102" t="str">
        <f t="shared" si="22"/>
        <v>Iguzzini (lys)</v>
      </c>
      <c r="Q497" s="102" t="str">
        <f>tbl_ConsultingCompanys!D497</f>
        <v>Rogaland entreprenør AS</v>
      </c>
      <c r="R497" s="102">
        <f>tbl_ConsultingCompanys!C497</f>
        <v>163150</v>
      </c>
      <c r="S497" s="102" t="str">
        <f t="shared" si="23"/>
        <v>Rogaland entreprenør AS</v>
      </c>
    </row>
    <row r="498" spans="11:19" x14ac:dyDescent="0.15">
      <c r="K498" s="102" t="str">
        <f>tbl_ArchitectureOffices!D498</f>
        <v>Sørli og Haugstad (Shark) AS Arkitektkontor</v>
      </c>
      <c r="L498" s="102">
        <f>tbl_ArchitectureOffices!C498</f>
        <v>166467</v>
      </c>
      <c r="M498" s="102" t="str">
        <f t="shared" si="21"/>
        <v>Sørli og Haugstad (Shark) AS Arkitektkontor</v>
      </c>
      <c r="N498" s="102" t="str">
        <f>tbl_Companys!D498</f>
        <v>Ikke offentlig</v>
      </c>
      <c r="O498" s="102">
        <f>tbl_Companys!C498</f>
        <v>245832</v>
      </c>
      <c r="P498" s="102" t="str">
        <f t="shared" si="22"/>
        <v>Ikke offentlig</v>
      </c>
      <c r="Q498" s="102" t="str">
        <f>tbl_ConsultingCompanys!D498</f>
        <v>Rogaland entreprenør AS</v>
      </c>
      <c r="R498" s="102">
        <f>tbl_ConsultingCompanys!C498</f>
        <v>172632</v>
      </c>
      <c r="S498" s="102" t="str">
        <f t="shared" si="23"/>
        <v>Rogaland entreprenør AS</v>
      </c>
    </row>
    <row r="499" spans="11:19" x14ac:dyDescent="0.15">
      <c r="K499" s="102" t="str">
        <f>tbl_ArchitectureOffices!D499</f>
        <v>Sørumgård, Marit</v>
      </c>
      <c r="L499" s="102">
        <f>tbl_ArchitectureOffices!C499</f>
        <v>166466</v>
      </c>
      <c r="M499" s="102" t="str">
        <f t="shared" si="21"/>
        <v>Sørumgård, Marit</v>
      </c>
      <c r="N499" s="102" t="str">
        <f>tbl_Companys!D499</f>
        <v>Ilje AS</v>
      </c>
      <c r="O499" s="102">
        <f>tbl_Companys!C499</f>
        <v>160572</v>
      </c>
      <c r="P499" s="102" t="str">
        <f t="shared" si="22"/>
        <v>Ilje AS</v>
      </c>
      <c r="Q499" s="102" t="str">
        <f>tbl_ConsultingCompanys!D499</f>
        <v>Rogaland entreprnør AS</v>
      </c>
      <c r="R499" s="102">
        <f>tbl_ConsultingCompanys!C499</f>
        <v>165639</v>
      </c>
      <c r="S499" s="102" t="str">
        <f t="shared" si="23"/>
        <v>Rogaland entreprnør AS</v>
      </c>
    </row>
    <row r="500" spans="11:19" x14ac:dyDescent="0.15">
      <c r="K500" s="102" t="str">
        <f>tbl_ArchitectureOffices!D500</f>
        <v>Tandberg Arkitekter MNAL</v>
      </c>
      <c r="L500" s="102">
        <f>tbl_ArchitectureOffices!C500</f>
        <v>172901</v>
      </c>
      <c r="M500" s="102" t="str">
        <f t="shared" si="21"/>
        <v>Tandberg Arkitekter MNAL</v>
      </c>
      <c r="N500" s="102" t="str">
        <f>tbl_Companys!D500</f>
        <v>In`by AS</v>
      </c>
      <c r="O500" s="102">
        <f>tbl_Companys!C500</f>
        <v>160569</v>
      </c>
      <c r="P500" s="102" t="str">
        <f t="shared" si="22"/>
        <v>In`by AS</v>
      </c>
      <c r="Q500" s="102" t="str">
        <f>tbl_ConsultingCompanys!D500</f>
        <v>Rolf Selvaag</v>
      </c>
      <c r="R500" s="102">
        <f>tbl_ConsultingCompanys!C500</f>
        <v>205918</v>
      </c>
      <c r="S500" s="102" t="str">
        <f t="shared" si="23"/>
        <v>Rolf Selvaag</v>
      </c>
    </row>
    <row r="501" spans="11:19" x14ac:dyDescent="0.15">
      <c r="K501" s="102" t="str">
        <f>tbl_ArchitectureOffices!D501</f>
        <v>TBA Arkitekter</v>
      </c>
      <c r="L501" s="102">
        <f>tbl_ArchitectureOffices!C501</f>
        <v>166465</v>
      </c>
      <c r="M501" s="102" t="str">
        <f t="shared" si="21"/>
        <v>TBA Arkitekter</v>
      </c>
      <c r="N501" s="102" t="str">
        <f>tbl_Companys!D501</f>
        <v>Indigo Arkitekter AS</v>
      </c>
      <c r="O501" s="102">
        <f>tbl_Companys!C501</f>
        <v>171146</v>
      </c>
      <c r="P501" s="102" t="str">
        <f t="shared" si="22"/>
        <v>Indigo Arkitekter AS</v>
      </c>
      <c r="Q501" s="102" t="str">
        <f>tbl_ConsultingCompanys!D501</f>
        <v>ROM Eiendom AS</v>
      </c>
      <c r="R501" s="102">
        <f>tbl_ConsultingCompanys!C501</f>
        <v>214139</v>
      </c>
      <c r="S501" s="102" t="str">
        <f t="shared" si="23"/>
        <v>ROM Eiendom AS</v>
      </c>
    </row>
    <row r="502" spans="11:19" x14ac:dyDescent="0.15">
      <c r="K502" s="102" t="str">
        <f>tbl_ArchitectureOffices!D502</f>
        <v>Team St. Olav ANS</v>
      </c>
      <c r="L502" s="102">
        <f>tbl_ArchitectureOffices!C502</f>
        <v>243127</v>
      </c>
      <c r="M502" s="102" t="str">
        <f t="shared" si="21"/>
        <v>Team St. Olav ANS</v>
      </c>
      <c r="N502" s="102" t="str">
        <f>tbl_Companys!D502</f>
        <v>Ineo Eiendom &amp; Base Property</v>
      </c>
      <c r="O502" s="102">
        <f>tbl_Companys!C502</f>
        <v>249381</v>
      </c>
      <c r="P502" s="102" t="str">
        <f t="shared" si="22"/>
        <v>Ineo Eiendom &amp; Base Property</v>
      </c>
      <c r="Q502" s="102" t="str">
        <f>tbl_ConsultingCompanys!D502</f>
        <v>Rose Marie Steinsvik sivilark. MNAL</v>
      </c>
      <c r="R502" s="102">
        <f>tbl_ConsultingCompanys!C502</f>
        <v>182979</v>
      </c>
      <c r="S502" s="102" t="str">
        <f t="shared" si="23"/>
        <v>Rose Marie Steinsvik sivilark. MNAL</v>
      </c>
    </row>
    <row r="503" spans="11:19" x14ac:dyDescent="0.15">
      <c r="K503" s="102" t="str">
        <f>tbl_ArchitectureOffices!D503</f>
        <v>Tegn 3 AS</v>
      </c>
      <c r="L503" s="102">
        <f>tbl_ArchitectureOffices!C503</f>
        <v>234630</v>
      </c>
      <c r="M503" s="102" t="str">
        <f t="shared" si="21"/>
        <v>Tegn 3 AS</v>
      </c>
      <c r="N503" s="102" t="str">
        <f>tbl_Companys!D503</f>
        <v>Ing. Evensen AS</v>
      </c>
      <c r="O503" s="102">
        <f>tbl_Companys!C503</f>
        <v>241091</v>
      </c>
      <c r="P503" s="102" t="str">
        <f t="shared" si="22"/>
        <v>Ing. Evensen AS</v>
      </c>
      <c r="Q503" s="102" t="str">
        <f>tbl_ConsultingCompanys!D503</f>
        <v>Rosenborg Utvikling AS</v>
      </c>
      <c r="R503" s="102">
        <f>tbl_ConsultingCompanys!C503</f>
        <v>164717</v>
      </c>
      <c r="S503" s="102" t="str">
        <f t="shared" si="23"/>
        <v>Rosenborg Utvikling AS</v>
      </c>
    </row>
    <row r="504" spans="11:19" x14ac:dyDescent="0.15">
      <c r="K504" s="102" t="str">
        <f>tbl_ArchitectureOffices!D504</f>
        <v>Tegn arkitektur og design as</v>
      </c>
      <c r="L504" s="102">
        <f>tbl_ArchitectureOffices!C504</f>
        <v>166464</v>
      </c>
      <c r="M504" s="102" t="str">
        <f t="shared" si="21"/>
        <v>Tegn arkitektur og design as</v>
      </c>
      <c r="N504" s="102" t="str">
        <f>tbl_Companys!D504</f>
        <v>Ing. Jan Johannessen as</v>
      </c>
      <c r="O504" s="102">
        <f>tbl_Companys!C504</f>
        <v>155960</v>
      </c>
      <c r="P504" s="102" t="str">
        <f t="shared" si="22"/>
        <v>Ing. Jan Johannessen as</v>
      </c>
      <c r="Q504" s="102" t="str">
        <f>tbl_ConsultingCompanys!D504</f>
        <v>RSG AS</v>
      </c>
      <c r="R504" s="102">
        <f>tbl_ConsultingCompanys!C504</f>
        <v>231900</v>
      </c>
      <c r="S504" s="102" t="str">
        <f t="shared" si="23"/>
        <v>RSG AS</v>
      </c>
    </row>
    <row r="505" spans="11:19" x14ac:dyDescent="0.15">
      <c r="K505" s="102" t="str">
        <f>tbl_ArchitectureOffices!D505</f>
        <v>Tegneverket Arkitekter AS</v>
      </c>
      <c r="L505" s="102">
        <f>tbl_ArchitectureOffices!C505</f>
        <v>172735</v>
      </c>
      <c r="M505" s="102" t="str">
        <f t="shared" si="21"/>
        <v>Tegneverket Arkitekter AS</v>
      </c>
      <c r="N505" s="102" t="str">
        <f>tbl_Companys!D505</f>
        <v>Ing. K. Simonsen A/S</v>
      </c>
      <c r="O505" s="102">
        <f>tbl_Companys!C505</f>
        <v>101080</v>
      </c>
      <c r="P505" s="102" t="str">
        <f t="shared" si="22"/>
        <v>Ing. K. Simonsen A/S</v>
      </c>
      <c r="Q505" s="102" t="str">
        <f>tbl_ConsultingCompanys!D505</f>
        <v>Runde Miljøbygg AS</v>
      </c>
      <c r="R505" s="102">
        <f>tbl_ConsultingCompanys!C505</f>
        <v>205126</v>
      </c>
      <c r="S505" s="102" t="str">
        <f t="shared" si="23"/>
        <v>Runde Miljøbygg AS</v>
      </c>
    </row>
    <row r="506" spans="11:19" x14ac:dyDescent="0.15">
      <c r="K506" s="102" t="str">
        <f>tbl_ArchitectureOffices!D506</f>
        <v>Teiknistofan Trød</v>
      </c>
      <c r="L506" s="102">
        <f>tbl_ArchitectureOffices!C506</f>
        <v>166446</v>
      </c>
      <c r="M506" s="102" t="str">
        <f t="shared" si="21"/>
        <v>Teiknistofan Trød</v>
      </c>
      <c r="N506" s="102" t="str">
        <f>tbl_Companys!D506</f>
        <v>Ing. Per Ødemark</v>
      </c>
      <c r="O506" s="102">
        <f>tbl_Companys!C506</f>
        <v>110995</v>
      </c>
      <c r="P506" s="102" t="str">
        <f t="shared" si="22"/>
        <v>Ing. Per Ødemark</v>
      </c>
      <c r="Q506" s="102" t="str">
        <f>tbl_ConsultingCompanys!D506</f>
        <v>Rye-Kittelsen AS</v>
      </c>
      <c r="R506" s="102">
        <f>tbl_ConsultingCompanys!C506</f>
        <v>121314</v>
      </c>
      <c r="S506" s="102" t="str">
        <f t="shared" si="23"/>
        <v>Rye-Kittelsen AS</v>
      </c>
    </row>
    <row r="507" spans="11:19" x14ac:dyDescent="0.15">
      <c r="K507" s="102" t="str">
        <f>tbl_ArchitectureOffices!D507</f>
        <v>Thorenfeldt Arkitekter AS</v>
      </c>
      <c r="L507" s="102">
        <f>tbl_ArchitectureOffices!C507</f>
        <v>166462</v>
      </c>
      <c r="M507" s="102" t="str">
        <f t="shared" si="21"/>
        <v>Thorenfeldt Arkitekter AS</v>
      </c>
      <c r="N507" s="102" t="str">
        <f>tbl_Companys!D507</f>
        <v>Ing. Seim &amp; Hultgreen AS</v>
      </c>
      <c r="O507" s="102">
        <f>tbl_Companys!C507</f>
        <v>103278</v>
      </c>
      <c r="P507" s="102" t="str">
        <f t="shared" si="22"/>
        <v>Ing. Seim &amp; Hultgreen AS</v>
      </c>
      <c r="Q507" s="102" t="str">
        <f>tbl_ConsultingCompanys!D507</f>
        <v>Ryenstubben Invest AS</v>
      </c>
      <c r="R507" s="102">
        <f>tbl_ConsultingCompanys!C507</f>
        <v>246737</v>
      </c>
      <c r="S507" s="102" t="str">
        <f t="shared" si="23"/>
        <v>Ryenstubben Invest AS</v>
      </c>
    </row>
    <row r="508" spans="11:19" x14ac:dyDescent="0.15">
      <c r="K508" s="102" t="str">
        <f>tbl_ArchitectureOffices!D508</f>
        <v xml:space="preserve">Thorsnes Arkitekter AS, Thomas </v>
      </c>
      <c r="L508" s="102">
        <f>tbl_ArchitectureOffices!C508</f>
        <v>166460</v>
      </c>
      <c r="M508" s="102" t="str">
        <f t="shared" si="21"/>
        <v>Thorsnes Arkitekter AS, Thomas</v>
      </c>
      <c r="N508" s="102" t="str">
        <f>tbl_Companys!D508</f>
        <v>Ingar Ellefsrød, Erling Vermelid, Odd Skadsem, Steinar Wegger</v>
      </c>
      <c r="O508" s="102">
        <f>tbl_Companys!C508</f>
        <v>121096</v>
      </c>
      <c r="P508" s="102" t="str">
        <f t="shared" si="22"/>
        <v>Ingar Ellefsrød, Erling Vermelid, Odd Skadsem, Steinar Wegger</v>
      </c>
      <c r="Q508" s="102" t="str">
        <f>tbl_ConsultingCompanys!D508</f>
        <v>Rygg Maskin AS (graveentrepenør)</v>
      </c>
      <c r="R508" s="102">
        <f>tbl_ConsultingCompanys!C508</f>
        <v>155707</v>
      </c>
      <c r="S508" s="102" t="str">
        <f t="shared" si="23"/>
        <v>Rygg Maskin AS (graveentrepenør)</v>
      </c>
    </row>
    <row r="509" spans="11:19" x14ac:dyDescent="0.15">
      <c r="K509" s="102" t="str">
        <f>tbl_ArchitectureOffices!D509</f>
        <v xml:space="preserve">Thrane AS, Klaus </v>
      </c>
      <c r="L509" s="102">
        <f>tbl_ArchitectureOffices!C509</f>
        <v>172676</v>
      </c>
      <c r="M509" s="102" t="str">
        <f t="shared" si="21"/>
        <v>Thrane AS, Klaus</v>
      </c>
      <c r="N509" s="102" t="str">
        <f>tbl_Companys!D509</f>
        <v>Ingenia AS</v>
      </c>
      <c r="O509" s="102">
        <f>tbl_Companys!C509</f>
        <v>214726</v>
      </c>
      <c r="P509" s="102" t="str">
        <f t="shared" si="22"/>
        <v>Ingenia AS</v>
      </c>
      <c r="Q509" s="102" t="str">
        <f>tbl_ConsultingCompanys!D509</f>
        <v>Rørfunn AS</v>
      </c>
      <c r="R509" s="102">
        <f>tbl_ConsultingCompanys!C509</f>
        <v>228142</v>
      </c>
      <c r="S509" s="102" t="str">
        <f t="shared" si="23"/>
        <v>Rørfunn AS</v>
      </c>
    </row>
    <row r="510" spans="11:19" x14ac:dyDescent="0.15">
      <c r="K510" s="102" t="str">
        <f>tbl_ArchitectureOffices!D510</f>
        <v>Tippetue Arkitekter as</v>
      </c>
      <c r="L510" s="102">
        <f>tbl_ArchitectureOffices!C510</f>
        <v>172657</v>
      </c>
      <c r="M510" s="102" t="str">
        <f t="shared" si="21"/>
        <v>Tippetue Arkitekter as</v>
      </c>
      <c r="N510" s="102" t="str">
        <f>tbl_Companys!D510</f>
        <v>Ingeniør Petter Nome AS (RIV)</v>
      </c>
      <c r="O510" s="102">
        <f>tbl_Companys!C510</f>
        <v>209552</v>
      </c>
      <c r="P510" s="102" t="str">
        <f t="shared" si="22"/>
        <v>Ingeniør Petter Nome AS (RIV)</v>
      </c>
      <c r="Q510" s="102" t="str">
        <f>tbl_ConsultingCompanys!D510</f>
        <v>Rørteknikk AS</v>
      </c>
      <c r="R510" s="102">
        <f>tbl_ConsultingCompanys!C510</f>
        <v>225766</v>
      </c>
      <c r="S510" s="102" t="str">
        <f t="shared" si="23"/>
        <v>Rørteknikk AS</v>
      </c>
    </row>
    <row r="511" spans="11:19" x14ac:dyDescent="0.15">
      <c r="K511" s="102" t="str">
        <f>tbl_ArchitectureOffices!D511</f>
        <v>Tjøme arkitektkontor</v>
      </c>
      <c r="L511" s="102">
        <f>tbl_ArchitectureOffices!C511</f>
        <v>166459</v>
      </c>
      <c r="M511" s="102" t="str">
        <f t="shared" si="21"/>
        <v>Tjøme arkitektkontor</v>
      </c>
      <c r="N511" s="102" t="str">
        <f>tbl_Companys!D511</f>
        <v xml:space="preserve">Ingvaldsen sivilarkitekt MNAL, Arne </v>
      </c>
      <c r="O511" s="102">
        <f>tbl_Companys!C511</f>
        <v>171147</v>
      </c>
      <c r="P511" s="102" t="str">
        <f t="shared" si="22"/>
        <v>Ingvaldsen sivilarkitekt MNAL, Arne</v>
      </c>
      <c r="Q511" s="102" t="str">
        <f>tbl_ConsultingCompanys!D511</f>
        <v xml:space="preserve">Rørteknikk AS </v>
      </c>
      <c r="R511" s="102">
        <f>tbl_ConsultingCompanys!C511</f>
        <v>111926</v>
      </c>
      <c r="S511" s="102" t="str">
        <f t="shared" si="23"/>
        <v>Rørteknikk AS</v>
      </c>
    </row>
    <row r="512" spans="11:19" x14ac:dyDescent="0.15">
      <c r="K512" s="102" t="str">
        <f>tbl_ArchitectureOffices!D512</f>
        <v xml:space="preserve">Tollaas, Inger-Johanne </v>
      </c>
      <c r="L512" s="102">
        <f>tbl_ArchitectureOffices!C512</f>
        <v>166458</v>
      </c>
      <c r="M512" s="102" t="str">
        <f t="shared" si="21"/>
        <v>Tollaas, Inger-Johanne</v>
      </c>
      <c r="N512" s="102" t="str">
        <f>tbl_Companys!D512</f>
        <v>Instanes AS</v>
      </c>
      <c r="O512" s="102">
        <f>tbl_Companys!C512</f>
        <v>110753</v>
      </c>
      <c r="P512" s="102" t="str">
        <f t="shared" si="22"/>
        <v>Instanes AS</v>
      </c>
      <c r="Q512" s="102" t="str">
        <f>tbl_ConsultingCompanys!D512</f>
        <v>Samferdselsetaten, Oslo kommune</v>
      </c>
      <c r="R512" s="102">
        <f>tbl_ConsultingCompanys!C512</f>
        <v>172254</v>
      </c>
      <c r="S512" s="102" t="str">
        <f t="shared" si="23"/>
        <v>Samferdselsetaten, Oslo kommune</v>
      </c>
    </row>
    <row r="513" spans="11:19" x14ac:dyDescent="0.15">
      <c r="K513" s="102" t="str">
        <f>tbl_ArchitectureOffices!D513</f>
        <v>Tom Edvardsen Arkitekter AS</v>
      </c>
      <c r="L513" s="102">
        <f>tbl_ArchitectureOffices!C513</f>
        <v>247051</v>
      </c>
      <c r="M513" s="102" t="str">
        <f t="shared" si="21"/>
        <v>Tom Edvardsen Arkitekter AS</v>
      </c>
      <c r="N513" s="102" t="str">
        <f>tbl_Companys!D513</f>
        <v xml:space="preserve">Interconsult ASA </v>
      </c>
      <c r="O513" s="102">
        <f>tbl_Companys!C513</f>
        <v>102852</v>
      </c>
      <c r="P513" s="102" t="str">
        <f t="shared" si="22"/>
        <v>Interconsult ASA</v>
      </c>
      <c r="Q513" s="102" t="str">
        <f>tbl_ConsultingCompanys!D513</f>
        <v>Samnanger kommune</v>
      </c>
      <c r="R513" s="102">
        <f>tbl_ConsultingCompanys!C513</f>
        <v>160602</v>
      </c>
      <c r="S513" s="102" t="str">
        <f t="shared" si="23"/>
        <v>Samnanger kommune</v>
      </c>
    </row>
    <row r="514" spans="11:19" x14ac:dyDescent="0.15">
      <c r="K514" s="102" t="str">
        <f>tbl_ArchitectureOffices!D514</f>
        <v>Topos arkitektur og design as</v>
      </c>
      <c r="L514" s="102">
        <f>tbl_ArchitectureOffices!C514</f>
        <v>166454</v>
      </c>
      <c r="M514" s="102" t="str">
        <f t="shared" si="21"/>
        <v>Topos arkitektur og design as</v>
      </c>
      <c r="N514" s="102" t="str">
        <f>tbl_Companys!D514</f>
        <v xml:space="preserve">Interiørarkitekt MNIL Siri Obrestad Fuhr </v>
      </c>
      <c r="O514" s="102">
        <f>tbl_Companys!C514</f>
        <v>228971</v>
      </c>
      <c r="P514" s="102" t="str">
        <f t="shared" si="22"/>
        <v>Interiørarkitekt MNIL Siri Obrestad Fuhr</v>
      </c>
      <c r="Q514" s="102" t="str">
        <f>tbl_ConsultingCompanys!D514</f>
        <v>Sandnes kommune</v>
      </c>
      <c r="R514" s="102">
        <f>tbl_ConsultingCompanys!C514</f>
        <v>158019</v>
      </c>
      <c r="S514" s="102" t="str">
        <f t="shared" si="23"/>
        <v>Sandnes kommune</v>
      </c>
    </row>
    <row r="515" spans="11:19" x14ac:dyDescent="0.15">
      <c r="K515" s="102" t="str">
        <f>tbl_ArchitectureOffices!D515</f>
        <v xml:space="preserve">Tornes, Sivilarkitekt MNAL Anne Britt </v>
      </c>
      <c r="L515" s="102">
        <f>tbl_ArchitectureOffices!C515</f>
        <v>166452</v>
      </c>
      <c r="M515" s="102" t="str">
        <f t="shared" ref="M515:M578" si="24">IFERROR(REPLACE(K515,FIND(" ",K515,LEN(K515)),1,""),K515)</f>
        <v>Tornes, Sivilarkitekt MNAL Anne Britt</v>
      </c>
      <c r="N515" s="102" t="str">
        <f>tbl_Companys!D515</f>
        <v>Ipark Eiendom AS</v>
      </c>
      <c r="O515" s="102">
        <f>tbl_Companys!C515</f>
        <v>245783</v>
      </c>
      <c r="P515" s="102" t="str">
        <f t="shared" ref="P515:P578" si="25">IFERROR(REPLACE(N515,FIND(" ",N515,LEN(N515)),1,""),N515)</f>
        <v>Ipark Eiendom AS</v>
      </c>
      <c r="Q515" s="102" t="str">
        <f>tbl_ConsultingCompanys!D515</f>
        <v>Sandnes Kommune (Ragna Stakland)</v>
      </c>
      <c r="R515" s="102">
        <f>tbl_ConsultingCompanys!C515</f>
        <v>162854</v>
      </c>
      <c r="S515" s="102" t="str">
        <f t="shared" ref="S515:S578" si="26">IFERROR(REPLACE(Q515,FIND(" ",Q515,LEN(Q515)),1,""),Q515)</f>
        <v>Sandnes Kommune (Ragna Stakland)</v>
      </c>
    </row>
    <row r="516" spans="11:19" x14ac:dyDescent="0.15">
      <c r="K516" s="102" t="str">
        <f>tbl_ArchitectureOffices!D516</f>
        <v>Torp AS Arkitekter MNAL, Niels</v>
      </c>
      <c r="L516" s="102">
        <f>tbl_ArchitectureOffices!C516</f>
        <v>166451</v>
      </c>
      <c r="M516" s="102" t="str">
        <f t="shared" si="24"/>
        <v>Torp AS Arkitekter MNAL, Niels</v>
      </c>
      <c r="N516" s="102" t="str">
        <f>tbl_Companys!D516</f>
        <v>Isola</v>
      </c>
      <c r="O516" s="102">
        <f>tbl_Companys!C516</f>
        <v>178211</v>
      </c>
      <c r="P516" s="102" t="str">
        <f t="shared" si="25"/>
        <v>Isola</v>
      </c>
      <c r="Q516" s="102" t="str">
        <f>tbl_ConsultingCompanys!D516</f>
        <v>Sandås bygg AS</v>
      </c>
      <c r="R516" s="102">
        <f>tbl_ConsultingCompanys!C516</f>
        <v>112304</v>
      </c>
      <c r="S516" s="102" t="str">
        <f t="shared" si="26"/>
        <v>Sandås bygg AS</v>
      </c>
    </row>
    <row r="517" spans="11:19" x14ac:dyDescent="0.15">
      <c r="K517" s="102" t="str">
        <f>tbl_ArchitectureOffices!D517</f>
        <v>Torsteinsrud-Smith Arkitekter</v>
      </c>
      <c r="L517" s="102">
        <f>tbl_ArchitectureOffices!C517</f>
        <v>166450</v>
      </c>
      <c r="M517" s="102" t="str">
        <f t="shared" si="24"/>
        <v>Torsteinsrud-Smith Arkitekter</v>
      </c>
      <c r="N517" s="102" t="str">
        <f>tbl_Companys!D517</f>
        <v xml:space="preserve">ISS Landscaping AS ved Stein Anders Sundbye </v>
      </c>
      <c r="O517" s="102">
        <f>tbl_Companys!C517</f>
        <v>121092</v>
      </c>
      <c r="P517" s="102" t="str">
        <f t="shared" si="25"/>
        <v>ISS Landscaping AS ved Stein Anders Sundbye</v>
      </c>
      <c r="Q517" s="102" t="str">
        <f>tbl_ConsultingCompanys!D517</f>
        <v>SAPA (dører og vinduer)</v>
      </c>
      <c r="R517" s="102">
        <f>tbl_ConsultingCompanys!C517</f>
        <v>205249</v>
      </c>
      <c r="S517" s="102" t="str">
        <f t="shared" si="26"/>
        <v>SAPA (dører og vinduer)</v>
      </c>
    </row>
    <row r="518" spans="11:19" x14ac:dyDescent="0.15">
      <c r="K518" s="102" t="str">
        <f>tbl_ArchitectureOffices!D518</f>
        <v>TRAFO arkitektur</v>
      </c>
      <c r="L518" s="102">
        <f>tbl_ArchitectureOffices!C518</f>
        <v>210075</v>
      </c>
      <c r="M518" s="102" t="str">
        <f t="shared" si="24"/>
        <v>TRAFO arkitektur</v>
      </c>
      <c r="N518" s="102" t="str">
        <f>tbl_Companys!D518</f>
        <v>ISS O.Skaaret AS</v>
      </c>
      <c r="O518" s="102">
        <f>tbl_Companys!C518</f>
        <v>103188</v>
      </c>
      <c r="P518" s="102" t="str">
        <f t="shared" si="25"/>
        <v>ISS O.Skaaret AS</v>
      </c>
      <c r="Q518" s="102" t="str">
        <f>tbl_ConsultingCompanys!D518</f>
        <v xml:space="preserve">Scandiaconsult </v>
      </c>
      <c r="R518" s="102">
        <f>tbl_ConsultingCompanys!C518</f>
        <v>98705</v>
      </c>
      <c r="S518" s="102" t="str">
        <f t="shared" si="26"/>
        <v>Scandiaconsult</v>
      </c>
    </row>
    <row r="519" spans="11:19" x14ac:dyDescent="0.15">
      <c r="K519" s="102" t="str">
        <f>tbl_ArchitectureOffices!D519</f>
        <v>Trollvegg Arkitektstudio AS</v>
      </c>
      <c r="L519" s="102">
        <f>tbl_ArchitectureOffices!C519</f>
        <v>173041</v>
      </c>
      <c r="M519" s="102" t="str">
        <f t="shared" si="24"/>
        <v>Trollvegg Arkitektstudio AS</v>
      </c>
      <c r="N519" s="102" t="str">
        <f>tbl_Companys!D519</f>
        <v>Istad Tekniske AS</v>
      </c>
      <c r="O519" s="102">
        <f>tbl_Companys!C519</f>
        <v>240271</v>
      </c>
      <c r="P519" s="102" t="str">
        <f t="shared" si="25"/>
        <v>Istad Tekniske AS</v>
      </c>
      <c r="Q519" s="102" t="str">
        <f>tbl_ConsultingCompanys!D519</f>
        <v>Scandic Oslo Airport</v>
      </c>
      <c r="R519" s="102">
        <f>tbl_ConsultingCompanys!C519</f>
        <v>228616</v>
      </c>
      <c r="S519" s="102" t="str">
        <f t="shared" si="26"/>
        <v>Scandic Oslo Airport</v>
      </c>
    </row>
    <row r="520" spans="11:19" x14ac:dyDescent="0.15">
      <c r="K520" s="102" t="str">
        <f>tbl_ArchitectureOffices!D520</f>
        <v>Tupelo a+d</v>
      </c>
      <c r="L520" s="102">
        <f>tbl_ArchitectureOffices!C520</f>
        <v>166445</v>
      </c>
      <c r="M520" s="102" t="str">
        <f t="shared" si="24"/>
        <v>Tupelo a+d</v>
      </c>
      <c r="N520" s="102" t="str">
        <f>tbl_Companys!D520</f>
        <v>ITECH (EL, VVS)</v>
      </c>
      <c r="O520" s="102">
        <f>tbl_Companys!C520</f>
        <v>164238</v>
      </c>
      <c r="P520" s="102" t="str">
        <f t="shared" si="25"/>
        <v>ITECH (EL, VVS)</v>
      </c>
      <c r="Q520" s="102" t="str">
        <f>tbl_ConsultingCompanys!D520</f>
        <v xml:space="preserve">SCC AS </v>
      </c>
      <c r="R520" s="102">
        <f>tbl_ConsultingCompanys!C520</f>
        <v>110988</v>
      </c>
      <c r="S520" s="102" t="str">
        <f t="shared" si="26"/>
        <v>SCC AS</v>
      </c>
    </row>
    <row r="521" spans="11:19" x14ac:dyDescent="0.15">
      <c r="K521" s="102" t="str">
        <f>tbl_ArchitectureOffices!D521</f>
        <v>Tveit as, Arkitektkontoret Nils</v>
      </c>
      <c r="L521" s="102">
        <f>tbl_ArchitectureOffices!C521</f>
        <v>173194</v>
      </c>
      <c r="M521" s="102" t="str">
        <f t="shared" si="24"/>
        <v>Tveit as, Arkitektkontoret Nils</v>
      </c>
      <c r="N521" s="102" t="str">
        <f>tbl_Companys!D521</f>
        <v>IversenPetch AS</v>
      </c>
      <c r="O521" s="102">
        <f>tbl_Companys!C521</f>
        <v>171487</v>
      </c>
      <c r="P521" s="102" t="str">
        <f t="shared" si="25"/>
        <v>IversenPetch AS</v>
      </c>
      <c r="Q521" s="102" t="str">
        <f>tbl_ConsultingCompanys!D521</f>
        <v xml:space="preserve">Schüco International KG </v>
      </c>
      <c r="R521" s="102">
        <f>tbl_ConsultingCompanys!C521</f>
        <v>162455</v>
      </c>
      <c r="S521" s="102" t="str">
        <f t="shared" si="26"/>
        <v>Schüco International KG</v>
      </c>
    </row>
    <row r="522" spans="11:19" x14ac:dyDescent="0.15">
      <c r="K522" s="102" t="str">
        <f>tbl_ArchitectureOffices!D522</f>
        <v>TYIN tegnestue Arkitekter AS</v>
      </c>
      <c r="L522" s="102">
        <f>tbl_ArchitectureOffices!C522</f>
        <v>216543</v>
      </c>
      <c r="M522" s="102" t="str">
        <f t="shared" si="24"/>
        <v>TYIN tegnestue Arkitekter AS</v>
      </c>
      <c r="N522" s="102" t="str">
        <f>tbl_Companys!D522</f>
        <v>Jackon</v>
      </c>
      <c r="O522" s="102">
        <f>tbl_Companys!C522</f>
        <v>178212</v>
      </c>
      <c r="P522" s="102" t="str">
        <f t="shared" si="25"/>
        <v>Jackon</v>
      </c>
      <c r="Q522" s="102" t="str">
        <f>tbl_ConsultingCompanys!D522</f>
        <v>Seabrokers</v>
      </c>
      <c r="R522" s="102">
        <f>tbl_ConsultingCompanys!C522</f>
        <v>155927</v>
      </c>
      <c r="S522" s="102" t="str">
        <f t="shared" si="26"/>
        <v>Seabrokers</v>
      </c>
    </row>
    <row r="523" spans="11:19" x14ac:dyDescent="0.15">
      <c r="K523" s="102" t="str">
        <f>tbl_ArchitectureOffices!D523</f>
        <v>Tysseland Arkitektur AS</v>
      </c>
      <c r="L523" s="102">
        <f>tbl_ArchitectureOffices!C523</f>
        <v>171156</v>
      </c>
      <c r="M523" s="102" t="str">
        <f t="shared" si="24"/>
        <v>Tysseland Arkitektur AS</v>
      </c>
      <c r="N523" s="102" t="str">
        <f>tbl_Companys!D523</f>
        <v>Jacobsen og Reiten Arkitektkontor AS</v>
      </c>
      <c r="O523" s="102">
        <f>tbl_Companys!C523</f>
        <v>171149</v>
      </c>
      <c r="P523" s="102" t="str">
        <f t="shared" si="25"/>
        <v>Jacobsen og Reiten Arkitektkontor AS</v>
      </c>
      <c r="Q523" s="102" t="str">
        <f>tbl_ConsultingCompanys!D523</f>
        <v>Seby AS</v>
      </c>
      <c r="R523" s="102">
        <f>tbl_ConsultingCompanys!C523</f>
        <v>121070</v>
      </c>
      <c r="S523" s="102" t="str">
        <f t="shared" si="26"/>
        <v>Seby AS</v>
      </c>
    </row>
    <row r="524" spans="11:19" x14ac:dyDescent="0.15">
      <c r="K524" s="102" t="str">
        <f>tbl_ArchitectureOffices!D524</f>
        <v>Urban Rabbe arkitekter as</v>
      </c>
      <c r="L524" s="102">
        <f>tbl_ArchitectureOffices!C524</f>
        <v>166442</v>
      </c>
      <c r="M524" s="102" t="str">
        <f t="shared" si="24"/>
        <v>Urban Rabbe arkitekter as</v>
      </c>
      <c r="N524" s="102" t="str">
        <f>tbl_Companys!D524</f>
        <v>Jadarhus AS</v>
      </c>
      <c r="O524" s="102">
        <f>tbl_Companys!C524</f>
        <v>155835</v>
      </c>
      <c r="P524" s="102" t="str">
        <f t="shared" si="25"/>
        <v>Jadarhus AS</v>
      </c>
      <c r="Q524" s="102" t="str">
        <f>tbl_ConsultingCompanys!D524</f>
        <v>Seko Elektro AS</v>
      </c>
      <c r="R524" s="102">
        <f>tbl_ConsultingCompanys!C524</f>
        <v>178584</v>
      </c>
      <c r="S524" s="102" t="str">
        <f t="shared" si="26"/>
        <v>Seko Elektro AS</v>
      </c>
    </row>
    <row r="525" spans="11:19" x14ac:dyDescent="0.15">
      <c r="K525" s="102" t="str">
        <f>tbl_ArchitectureOffices!D525</f>
        <v>Ustad, Sivilarkitekt MNAL Atle</v>
      </c>
      <c r="L525" s="102">
        <f>tbl_ArchitectureOffices!C525</f>
        <v>166440</v>
      </c>
      <c r="M525" s="102" t="str">
        <f t="shared" si="24"/>
        <v>Ustad, Sivilarkitekt MNAL Atle</v>
      </c>
      <c r="N525" s="102" t="str">
        <f>tbl_Companys!D525</f>
        <v>Jan Brataas Ecobas AS</v>
      </c>
      <c r="O525" s="102">
        <f>tbl_Companys!C525</f>
        <v>119775</v>
      </c>
      <c r="P525" s="102" t="str">
        <f t="shared" si="25"/>
        <v>Jan Brataas Ecobas AS</v>
      </c>
      <c r="Q525" s="102" t="str">
        <f>tbl_ConsultingCompanys!D525</f>
        <v>Selmer AS</v>
      </c>
      <c r="R525" s="102">
        <f>tbl_ConsultingCompanys!C525</f>
        <v>97845</v>
      </c>
      <c r="S525" s="102" t="str">
        <f t="shared" si="26"/>
        <v>Selmer AS</v>
      </c>
    </row>
    <row r="526" spans="11:19" x14ac:dyDescent="0.15">
      <c r="K526" s="102" t="str">
        <f>tbl_ArchitectureOffices!D526</f>
        <v>Various Architects AS</v>
      </c>
      <c r="L526" s="102">
        <f>tbl_ArchitectureOffices!C526</f>
        <v>172894</v>
      </c>
      <c r="M526" s="102" t="str">
        <f t="shared" si="24"/>
        <v>Various Architects AS</v>
      </c>
      <c r="N526" s="102" t="str">
        <f>tbl_Companys!D526</f>
        <v>Jan Nilsen Robstad (VVS)</v>
      </c>
      <c r="O526" s="102">
        <f>tbl_Companys!C526</f>
        <v>158195</v>
      </c>
      <c r="P526" s="102" t="str">
        <f t="shared" si="25"/>
        <v>Jan Nilsen Robstad (VVS)</v>
      </c>
      <c r="Q526" s="102" t="str">
        <f>tbl_ConsultingCompanys!D526</f>
        <v>Selvaagbygg</v>
      </c>
      <c r="R526" s="102">
        <f>tbl_ConsultingCompanys!C526</f>
        <v>119895</v>
      </c>
      <c r="S526" s="102" t="str">
        <f t="shared" si="26"/>
        <v>Selvaagbygg</v>
      </c>
    </row>
    <row r="527" spans="11:19" x14ac:dyDescent="0.15">
      <c r="K527" s="102" t="str">
        <f>tbl_ArchitectureOffices!D527</f>
        <v>Vatne sivilarkitekt MNAL NPA, Kjell</v>
      </c>
      <c r="L527" s="102">
        <f>tbl_ArchitectureOffices!C527</f>
        <v>166438</v>
      </c>
      <c r="M527" s="102" t="str">
        <f t="shared" si="24"/>
        <v>Vatne sivilarkitekt MNAL NPA, Kjell</v>
      </c>
      <c r="N527" s="102" t="str">
        <f>tbl_Companys!D527</f>
        <v>Jan Willy Førland (PTL)</v>
      </c>
      <c r="O527" s="102">
        <f>tbl_Companys!C527</f>
        <v>158201</v>
      </c>
      <c r="P527" s="102" t="str">
        <f t="shared" si="25"/>
        <v>Jan Willy Førland (PTL)</v>
      </c>
      <c r="Q527" s="102" t="str">
        <f>tbl_ConsultingCompanys!D527</f>
        <v>Senterbygg Entreprenør AS</v>
      </c>
      <c r="R527" s="102">
        <f>tbl_ConsultingCompanys!C527</f>
        <v>248972</v>
      </c>
      <c r="S527" s="102" t="str">
        <f t="shared" si="26"/>
        <v>Senterbygg Entreprenør AS</v>
      </c>
    </row>
    <row r="528" spans="11:19" x14ac:dyDescent="0.15">
      <c r="K528" s="102" t="str">
        <f>tbl_ArchitectureOffices!D528</f>
        <v>Verte landskap - arkitektur as</v>
      </c>
      <c r="L528" s="102">
        <f>tbl_ArchitectureOffices!C528</f>
        <v>191305</v>
      </c>
      <c r="M528" s="102" t="str">
        <f t="shared" si="24"/>
        <v>Verte landskap - arkitektur as</v>
      </c>
      <c r="N528" s="102" t="str">
        <f>tbl_Companys!D528</f>
        <v>Jansen Arkitekter AS</v>
      </c>
      <c r="O528" s="102">
        <f>tbl_Companys!C528</f>
        <v>171150</v>
      </c>
      <c r="P528" s="102" t="str">
        <f t="shared" si="25"/>
        <v>Jansen Arkitekter AS</v>
      </c>
      <c r="Q528" s="102" t="str">
        <f>tbl_ConsultingCompanys!D528</f>
        <v>SFS intec AS</v>
      </c>
      <c r="R528" s="102">
        <f>tbl_ConsultingCompanys!C528</f>
        <v>193872</v>
      </c>
      <c r="S528" s="102" t="str">
        <f t="shared" si="26"/>
        <v>SFS intec AS</v>
      </c>
    </row>
    <row r="529" spans="11:19" x14ac:dyDescent="0.15">
      <c r="K529" s="102" t="str">
        <f>tbl_ArchitectureOffices!D529</f>
        <v xml:space="preserve">Vest AS, Arkitektkontoret </v>
      </c>
      <c r="L529" s="102">
        <f>tbl_ArchitectureOffices!C529</f>
        <v>166437</v>
      </c>
      <c r="M529" s="102" t="str">
        <f t="shared" si="24"/>
        <v>Vest AS, Arkitektkontoret</v>
      </c>
      <c r="N529" s="102" t="str">
        <f>tbl_Companys!D529</f>
        <v xml:space="preserve">Jarmund Arkitekter as mnal, Kristin </v>
      </c>
      <c r="O529" s="102">
        <f>tbl_Companys!C529</f>
        <v>171152</v>
      </c>
      <c r="P529" s="102" t="str">
        <f t="shared" si="25"/>
        <v>Jarmund Arkitekter as mnal, Kristin</v>
      </c>
      <c r="Q529" s="102" t="str">
        <f>tbl_ConsultingCompanys!D529</f>
        <v>Sig. Halvorsen (rørlegger)</v>
      </c>
      <c r="R529" s="102">
        <f>tbl_ConsultingCompanys!C529</f>
        <v>162881</v>
      </c>
      <c r="S529" s="102" t="str">
        <f t="shared" si="26"/>
        <v>Sig. Halvorsen (rørlegger)</v>
      </c>
    </row>
    <row r="530" spans="11:19" x14ac:dyDescent="0.15">
      <c r="K530" s="102" t="str">
        <f>tbl_ArchitectureOffices!D530</f>
        <v xml:space="preserve">Vesterlid, Arkitekt MNAL Arne </v>
      </c>
      <c r="L530" s="102">
        <f>tbl_ArchitectureOffices!C530</f>
        <v>166436</v>
      </c>
      <c r="M530" s="102" t="str">
        <f t="shared" si="24"/>
        <v>Vesterlid, Arkitekt MNAL Arne</v>
      </c>
      <c r="N530" s="102" t="str">
        <f>tbl_Companys!D530</f>
        <v>Jarmund/ Vigsnæs AS Arkitekter MNAL</v>
      </c>
      <c r="O530" s="102">
        <f>tbl_Companys!C530</f>
        <v>171151</v>
      </c>
      <c r="P530" s="102" t="str">
        <f t="shared" si="25"/>
        <v>Jarmund/ Vigsnæs AS Arkitekter MNAL</v>
      </c>
      <c r="Q530" s="102" t="str">
        <f>tbl_ConsultingCompanys!D530</f>
        <v>Sigurd Eide</v>
      </c>
      <c r="R530" s="102">
        <f>tbl_ConsultingCompanys!C530</f>
        <v>204512</v>
      </c>
      <c r="S530" s="102" t="str">
        <f t="shared" si="26"/>
        <v>Sigurd Eide</v>
      </c>
    </row>
    <row r="531" spans="11:19" x14ac:dyDescent="0.15">
      <c r="K531" s="102" t="str">
        <f>tbl_ArchitectureOffices!D531</f>
        <v>Vikanes Bungum Arkitekter AS</v>
      </c>
      <c r="L531" s="102">
        <f>tbl_ArchitectureOffices!C531</f>
        <v>166431</v>
      </c>
      <c r="M531" s="102" t="str">
        <f t="shared" si="24"/>
        <v>Vikanes Bungum Arkitekter AS</v>
      </c>
      <c r="N531" s="102" t="str">
        <f>tbl_Companys!D531</f>
        <v>Jensen &amp; Skodvin Arkitektkontor</v>
      </c>
      <c r="O531" s="102">
        <f>tbl_Companys!C531</f>
        <v>171154</v>
      </c>
      <c r="P531" s="102" t="str">
        <f t="shared" si="25"/>
        <v>Jensen &amp; Skodvin Arkitektkontor</v>
      </c>
      <c r="Q531" s="102" t="str">
        <f>tbl_ConsultingCompanys!D531</f>
        <v>Simex AS</v>
      </c>
      <c r="R531" s="102">
        <f>tbl_ConsultingCompanys!C531</f>
        <v>97932</v>
      </c>
      <c r="S531" s="102" t="str">
        <f t="shared" si="26"/>
        <v>Simex AS</v>
      </c>
    </row>
    <row r="532" spans="11:19" x14ac:dyDescent="0.15">
      <c r="K532" s="102" t="str">
        <f>tbl_ArchitectureOffices!D532</f>
        <v>Vindveggen Arkitekter AS</v>
      </c>
      <c r="L532" s="102">
        <f>tbl_ArchitectureOffices!C532</f>
        <v>172783</v>
      </c>
      <c r="M532" s="102" t="str">
        <f t="shared" si="24"/>
        <v>Vindveggen Arkitekter AS</v>
      </c>
      <c r="N532" s="102" t="str">
        <f>tbl_Companys!D532</f>
        <v xml:space="preserve">Jensen AS, Arkitektkontoret Kjell </v>
      </c>
      <c r="O532" s="102">
        <f>tbl_Companys!C532</f>
        <v>171153</v>
      </c>
      <c r="P532" s="102" t="str">
        <f t="shared" si="25"/>
        <v>Jensen AS, Arkitektkontoret Kjell</v>
      </c>
      <c r="Q532" s="102" t="str">
        <f>tbl_ConsultingCompanys!D532</f>
        <v>SINTEF</v>
      </c>
      <c r="R532" s="102">
        <f>tbl_ConsultingCompanys!C532</f>
        <v>98459</v>
      </c>
      <c r="S532" s="102" t="str">
        <f t="shared" si="26"/>
        <v>SINTEF</v>
      </c>
    </row>
    <row r="533" spans="11:19" x14ac:dyDescent="0.15">
      <c r="K533" s="102" t="str">
        <f>tbl_ArchitectureOffices!D533</f>
        <v>Vindveggen, Martin Glomnes</v>
      </c>
      <c r="L533" s="102">
        <f>tbl_ArchitectureOffices!C533</f>
        <v>166430</v>
      </c>
      <c r="M533" s="102" t="str">
        <f t="shared" si="24"/>
        <v>Vindveggen, Martin Glomnes</v>
      </c>
      <c r="N533" s="102" t="str">
        <f>tbl_Companys!D533</f>
        <v>jm arkitektkontor</v>
      </c>
      <c r="O533" s="102">
        <f>tbl_Companys!C533</f>
        <v>171155</v>
      </c>
      <c r="P533" s="102" t="str">
        <f t="shared" si="25"/>
        <v>jm arkitektkontor</v>
      </c>
      <c r="Q533" s="102" t="str">
        <f>tbl_ConsultingCompanys!D533</f>
        <v>SINTEF (energiteknikk, byggteknikk)</v>
      </c>
      <c r="R533" s="102">
        <f>tbl_ConsultingCompanys!C533</f>
        <v>162918</v>
      </c>
      <c r="S533" s="102" t="str">
        <f t="shared" si="26"/>
        <v>SINTEF (energiteknikk, byggteknikk)</v>
      </c>
    </row>
    <row r="534" spans="11:19" x14ac:dyDescent="0.15">
      <c r="K534" s="102" t="str">
        <f>tbl_ArchitectureOffices!D534</f>
        <v>Vis-à-vis</v>
      </c>
      <c r="L534" s="102">
        <f>tbl_ArchitectureOffices!C534</f>
        <v>172683</v>
      </c>
      <c r="M534" s="102" t="str">
        <f t="shared" si="24"/>
        <v>Vis-à-vis</v>
      </c>
      <c r="N534" s="102" t="str">
        <f>tbl_Companys!D534</f>
        <v>JM Byggholt AS</v>
      </c>
      <c r="O534" s="102">
        <f>tbl_Companys!C534</f>
        <v>215940</v>
      </c>
      <c r="P534" s="102" t="str">
        <f t="shared" si="25"/>
        <v>JM Byggholt AS</v>
      </c>
      <c r="Q534" s="102" t="str">
        <f>tbl_ConsultingCompanys!D534</f>
        <v>SINTEF Byggforsk</v>
      </c>
      <c r="R534" s="102">
        <f>tbl_ConsultingCompanys!C534</f>
        <v>166300</v>
      </c>
      <c r="S534" s="102" t="str">
        <f t="shared" si="26"/>
        <v>SINTEF Byggforsk</v>
      </c>
    </row>
    <row r="535" spans="11:19" x14ac:dyDescent="0.15">
      <c r="K535" s="102" t="str">
        <f>tbl_ArchitectureOffices!D535</f>
        <v>Vulkan arkitekter as</v>
      </c>
      <c r="L535" s="102">
        <f>tbl_ArchitectureOffices!C535</f>
        <v>166428</v>
      </c>
      <c r="M535" s="102" t="str">
        <f t="shared" si="24"/>
        <v>Vulkan arkitekter as</v>
      </c>
      <c r="N535" s="102" t="str">
        <f>tbl_Companys!D535</f>
        <v>Jo Toftdal (byggmester)</v>
      </c>
      <c r="O535" s="102">
        <f>tbl_Companys!C535</f>
        <v>177643</v>
      </c>
      <c r="P535" s="102" t="str">
        <f t="shared" si="25"/>
        <v>Jo Toftdal (byggmester)</v>
      </c>
      <c r="Q535" s="102" t="str">
        <f>tbl_ConsultingCompanys!D535</f>
        <v>SINTEF Byggforsk</v>
      </c>
      <c r="R535" s="102">
        <f>tbl_ConsultingCompanys!C535</f>
        <v>193873</v>
      </c>
      <c r="S535" s="102" t="str">
        <f t="shared" si="26"/>
        <v>SINTEF Byggforsk</v>
      </c>
    </row>
    <row r="536" spans="11:19" x14ac:dyDescent="0.15">
      <c r="K536" s="102" t="str">
        <f>tbl_ArchitectureOffices!D536</f>
        <v>VY as arkitektur</v>
      </c>
      <c r="L536" s="102">
        <f>tbl_ArchitectureOffices!C536</f>
        <v>166628</v>
      </c>
      <c r="M536" s="102" t="str">
        <f t="shared" si="24"/>
        <v>VY as arkitektur</v>
      </c>
      <c r="N536" s="102" t="str">
        <f>tbl_Companys!D536</f>
        <v>Joachim Eble architektur</v>
      </c>
      <c r="O536" s="102">
        <f>tbl_Companys!C536</f>
        <v>207495</v>
      </c>
      <c r="P536" s="102" t="str">
        <f t="shared" si="25"/>
        <v>Joachim Eble architektur</v>
      </c>
      <c r="Q536" s="102" t="str">
        <f>tbl_ConsultingCompanys!D536</f>
        <v>Sinus AS</v>
      </c>
      <c r="R536" s="102">
        <f>tbl_ConsultingCompanys!C536</f>
        <v>217517</v>
      </c>
      <c r="S536" s="102" t="str">
        <f t="shared" si="26"/>
        <v>Sinus AS</v>
      </c>
    </row>
    <row r="537" spans="11:19" x14ac:dyDescent="0.15">
      <c r="K537" s="102" t="str">
        <f>tbl_ArchitectureOffices!D537</f>
        <v xml:space="preserve">Wendt AS, Arkitektkontoret Gjertrud </v>
      </c>
      <c r="L537" s="102">
        <f>tbl_ArchitectureOffices!C537</f>
        <v>172730</v>
      </c>
      <c r="M537" s="102" t="str">
        <f t="shared" si="24"/>
        <v>Wendt AS, Arkitektkontoret Gjertrud</v>
      </c>
      <c r="N537" s="102" t="str">
        <f>tbl_Companys!D537</f>
        <v>Johannes Lipphardt, Trondheim kommune</v>
      </c>
      <c r="O537" s="102">
        <f>tbl_Companys!C537</f>
        <v>232345</v>
      </c>
      <c r="P537" s="102" t="str">
        <f t="shared" si="25"/>
        <v>Johannes Lipphardt, Trondheim kommune</v>
      </c>
      <c r="Q537" s="102" t="str">
        <f>tbl_ConsultingCompanys!D537</f>
        <v>Sinus AS v/Tønnes Ognedal og Svein Folkvord (akustikk)</v>
      </c>
      <c r="R537" s="102">
        <f>tbl_ConsultingCompanys!C537</f>
        <v>172611</v>
      </c>
      <c r="S537" s="102" t="str">
        <f t="shared" si="26"/>
        <v>Sinus AS v/Tønnes Ognedal og Svein Folkvord (akustikk)</v>
      </c>
    </row>
    <row r="538" spans="11:19" x14ac:dyDescent="0.15">
      <c r="K538" s="102" t="str">
        <f>tbl_ArchitectureOffices!D538</f>
        <v xml:space="preserve">Westad &amp; Brusletto as, Arkitektkontoret </v>
      </c>
      <c r="L538" s="102">
        <f>tbl_ArchitectureOffices!C538</f>
        <v>166425</v>
      </c>
      <c r="M538" s="102" t="str">
        <f t="shared" si="24"/>
        <v>Westad &amp; Brusletto as, Arkitektkontoret</v>
      </c>
      <c r="N538" s="102" t="str">
        <f>tbl_Companys!D538</f>
        <v>Johansen, Jonny sivilarkitekt MNAL</v>
      </c>
      <c r="O538" s="102">
        <f>tbl_Companys!C538</f>
        <v>200495</v>
      </c>
      <c r="P538" s="102" t="str">
        <f t="shared" si="25"/>
        <v>Johansen, Jonny sivilarkitekt MNAL</v>
      </c>
      <c r="Q538" s="102" t="str">
        <f>tbl_ConsultingCompanys!D538</f>
        <v>Sinus Elektro (Elektro)</v>
      </c>
      <c r="R538" s="102">
        <f>tbl_ConsultingCompanys!C538</f>
        <v>162872</v>
      </c>
      <c r="S538" s="102" t="str">
        <f t="shared" si="26"/>
        <v>Sinus Elektro (Elektro)</v>
      </c>
    </row>
    <row r="539" spans="11:19" x14ac:dyDescent="0.15">
      <c r="K539" s="102" t="str">
        <f>tbl_ArchitectureOffices!D539</f>
        <v>Wiberg AS Arkitektur &amp; plan</v>
      </c>
      <c r="L539" s="102">
        <f>tbl_ArchitectureOffices!C539</f>
        <v>228511</v>
      </c>
      <c r="M539" s="102" t="str">
        <f t="shared" si="24"/>
        <v>Wiberg AS Arkitektur &amp; plan</v>
      </c>
      <c r="N539" s="102" t="str">
        <f>tbl_Companys!D539</f>
        <v>Johs E. Øvsthus AS</v>
      </c>
      <c r="O539" s="102">
        <f>tbl_Companys!C539</f>
        <v>230174</v>
      </c>
      <c r="P539" s="102" t="str">
        <f t="shared" si="25"/>
        <v>Johs E. Øvsthus AS</v>
      </c>
      <c r="Q539" s="102" t="str">
        <f>tbl_ConsultingCompanys!D539</f>
        <v>SiT Eiendom</v>
      </c>
      <c r="R539" s="102">
        <f>tbl_ConsultingCompanys!C539</f>
        <v>165390</v>
      </c>
      <c r="S539" s="102" t="str">
        <f t="shared" si="26"/>
        <v>SiT Eiendom</v>
      </c>
    </row>
    <row r="540" spans="11:19" x14ac:dyDescent="0.15">
      <c r="K540" s="102" t="str">
        <f>tbl_ArchitectureOffices!D540</f>
        <v>WOOD arkitektur+design</v>
      </c>
      <c r="L540" s="102">
        <f>tbl_ArchitectureOffices!C540</f>
        <v>207151</v>
      </c>
      <c r="M540" s="102" t="str">
        <f t="shared" si="24"/>
        <v>WOOD arkitektur+design</v>
      </c>
      <c r="N540" s="102" t="str">
        <f>tbl_Companys!D540</f>
        <v>Jon Bojer Godal</v>
      </c>
      <c r="O540" s="102">
        <f>tbl_Companys!C540</f>
        <v>247287</v>
      </c>
      <c r="P540" s="102" t="str">
        <f t="shared" si="25"/>
        <v>Jon Bojer Godal</v>
      </c>
      <c r="Q540" s="102" t="str">
        <f>tbl_ConsultingCompanys!D540</f>
        <v>Siv ing Haug og Blom-Bakke AS</v>
      </c>
      <c r="R540" s="102">
        <f>tbl_ConsultingCompanys!C540</f>
        <v>172595</v>
      </c>
      <c r="S540" s="102" t="str">
        <f t="shared" si="26"/>
        <v>Siv ing Haug og Blom-Bakke AS</v>
      </c>
    </row>
    <row r="541" spans="11:19" x14ac:dyDescent="0.15">
      <c r="K541" s="102" t="str">
        <f>tbl_ArchitectureOffices!D541</f>
        <v>Yran, Petter  &amp; Bjørn Storbraaten Architects AS</v>
      </c>
      <c r="L541" s="102">
        <f>tbl_ArchitectureOffices!C541</f>
        <v>166414</v>
      </c>
      <c r="M541" s="102" t="str">
        <f t="shared" si="24"/>
        <v>Yran, Petter  &amp; Bjørn Storbraaten Architects AS</v>
      </c>
      <c r="N541" s="102" t="str">
        <f>tbl_Companys!D541</f>
        <v xml:space="preserve">Jonsson Arkitektkontor, Gudmundur </v>
      </c>
      <c r="O541" s="102">
        <f>tbl_Companys!C541</f>
        <v>173253</v>
      </c>
      <c r="P541" s="102" t="str">
        <f t="shared" si="25"/>
        <v>Jonsson Arkitektkontor, Gudmundur</v>
      </c>
      <c r="Q541" s="102" t="str">
        <f>tbl_ConsultingCompanys!D541</f>
        <v>Siv. ing. Karl Knudsen</v>
      </c>
      <c r="R541" s="102">
        <f>tbl_ConsultingCompanys!C541</f>
        <v>184492</v>
      </c>
      <c r="S541" s="102" t="str">
        <f t="shared" si="26"/>
        <v>Siv. ing. Karl Knudsen</v>
      </c>
    </row>
    <row r="542" spans="11:19" x14ac:dyDescent="0.15">
      <c r="K542" s="102" t="str">
        <f>tbl_ArchitectureOffices!D542</f>
        <v>Zinc AS</v>
      </c>
      <c r="L542" s="102">
        <f>tbl_ArchitectureOffices!C542</f>
        <v>230397</v>
      </c>
      <c r="M542" s="102" t="str">
        <f t="shared" si="24"/>
        <v>Zinc AS</v>
      </c>
      <c r="N542" s="102" t="str">
        <f>tbl_Companys!D542</f>
        <v>Jorunn Sannes (kunstner, fasade)</v>
      </c>
      <c r="O542" s="102">
        <f>tbl_Companys!C542</f>
        <v>202820</v>
      </c>
      <c r="P542" s="102" t="str">
        <f t="shared" si="25"/>
        <v>Jorunn Sannes (kunstner, fasade)</v>
      </c>
      <c r="Q542" s="102" t="str">
        <f>tbl_ConsultingCompanys!D542</f>
        <v>Siv. Ing. Netteberg AS (VVS)</v>
      </c>
      <c r="R542" s="102">
        <f>tbl_ConsultingCompanys!C542</f>
        <v>155175</v>
      </c>
      <c r="S542" s="102" t="str">
        <f t="shared" si="26"/>
        <v>Siv. Ing. Netteberg AS (VVS)</v>
      </c>
    </row>
    <row r="543" spans="11:19" x14ac:dyDescent="0.15">
      <c r="K543" s="102" t="str">
        <f>tbl_ArchitectureOffices!D543</f>
        <v>ØKAW AS Arkitekter MNAL</v>
      </c>
      <c r="L543" s="102">
        <f>tbl_ArchitectureOffices!C543</f>
        <v>166405</v>
      </c>
      <c r="M543" s="102" t="str">
        <f t="shared" si="24"/>
        <v>ØKAW AS Arkitekter MNAL</v>
      </c>
      <c r="N543" s="102" t="str">
        <f>tbl_Companys!D543</f>
        <v>JST Arkitekter AS</v>
      </c>
      <c r="O543" s="102">
        <f>tbl_Companys!C543</f>
        <v>214510</v>
      </c>
      <c r="P543" s="102" t="str">
        <f t="shared" si="25"/>
        <v>JST Arkitekter AS</v>
      </c>
      <c r="Q543" s="102" t="str">
        <f>tbl_ConsultingCompanys!D543</f>
        <v>Siv. Ing. P.O. Danielsen</v>
      </c>
      <c r="R543" s="102">
        <f>tbl_ConsultingCompanys!C543</f>
        <v>164718</v>
      </c>
      <c r="S543" s="102" t="str">
        <f t="shared" si="26"/>
        <v>Siv. Ing. P.O. Danielsen</v>
      </c>
    </row>
    <row r="544" spans="11:19" x14ac:dyDescent="0.15">
      <c r="K544" s="102" t="str">
        <f>tbl_ArchitectureOffices!D544</f>
        <v>Østengen og Bergo Landskapsarkitekter AS</v>
      </c>
      <c r="L544" s="102">
        <f>tbl_ArchitectureOffices!C544</f>
        <v>245624</v>
      </c>
      <c r="M544" s="102" t="str">
        <f t="shared" si="24"/>
        <v>Østengen og Bergo Landskapsarkitekter AS</v>
      </c>
      <c r="N544" s="102" t="str">
        <f>tbl_Companys!D544</f>
        <v>Jærbetong AS</v>
      </c>
      <c r="O544" s="102">
        <f>tbl_Companys!C544</f>
        <v>228972</v>
      </c>
      <c r="P544" s="102" t="str">
        <f t="shared" si="25"/>
        <v>Jærbetong AS</v>
      </c>
      <c r="Q544" s="102" t="str">
        <f>tbl_ConsultingCompanys!D544</f>
        <v>Siv. Ing. Trond Thorvaldsen AS</v>
      </c>
      <c r="R544" s="102">
        <f>tbl_ConsultingCompanys!C544</f>
        <v>204307</v>
      </c>
      <c r="S544" s="102" t="str">
        <f t="shared" si="26"/>
        <v>Siv. Ing. Trond Thorvaldsen AS</v>
      </c>
    </row>
    <row r="545" spans="11:19" x14ac:dyDescent="0.15">
      <c r="K545" s="102" t="str">
        <f>tbl_ArchitectureOffices!D545</f>
        <v>Østgaard Arkitekter AS</v>
      </c>
      <c r="L545" s="102">
        <f>tbl_ArchitectureOffices!C545</f>
        <v>166402</v>
      </c>
      <c r="M545" s="102" t="str">
        <f t="shared" si="24"/>
        <v>Østgaard Arkitekter AS</v>
      </c>
      <c r="N545" s="102" t="str">
        <f>tbl_Companys!D545</f>
        <v>K. Lund / ORAS</v>
      </c>
      <c r="O545" s="102">
        <f>tbl_Companys!C545</f>
        <v>98982</v>
      </c>
      <c r="P545" s="102" t="str">
        <f t="shared" si="25"/>
        <v>K. Lund / ORAS</v>
      </c>
      <c r="Q545" s="102" t="str">
        <f>tbl_ConsultingCompanys!D545</f>
        <v>Siv.Ing Knut Finseth AS (RIB)</v>
      </c>
      <c r="R545" s="102">
        <f>tbl_ConsultingCompanys!C545</f>
        <v>214145</v>
      </c>
      <c r="S545" s="102" t="str">
        <f t="shared" si="26"/>
        <v>Siv.Ing Knut Finseth AS (RIB)</v>
      </c>
    </row>
    <row r="546" spans="11:19" x14ac:dyDescent="0.15">
      <c r="K546" s="102" t="str">
        <f>tbl_ArchitectureOffices!D546</f>
        <v>Øye arkitektkontor as, Georg</v>
      </c>
      <c r="L546" s="102">
        <f>tbl_ArchitectureOffices!C546</f>
        <v>166398</v>
      </c>
      <c r="M546" s="102" t="str">
        <f t="shared" si="24"/>
        <v>Øye arkitektkontor as, Georg</v>
      </c>
      <c r="N546" s="102" t="str">
        <f>tbl_Companys!D546</f>
        <v xml:space="preserve">K16 AS, Arkitektkontoret </v>
      </c>
      <c r="O546" s="102">
        <f>tbl_Companys!C546</f>
        <v>171824</v>
      </c>
      <c r="P546" s="102" t="str">
        <f t="shared" si="25"/>
        <v>K16 AS, Arkitektkontoret</v>
      </c>
      <c r="Q546" s="102" t="str">
        <f>tbl_ConsultingCompanys!D546</f>
        <v>Siv.ing. Christian Svenkerud</v>
      </c>
      <c r="R546" s="102">
        <f>tbl_ConsultingCompanys!C546</f>
        <v>110760</v>
      </c>
      <c r="S546" s="102" t="str">
        <f t="shared" si="26"/>
        <v>Siv.ing. Christian Svenkerud</v>
      </c>
    </row>
    <row r="547" spans="11:19" x14ac:dyDescent="0.15">
      <c r="K547" s="102" t="str">
        <f>tbl_ArchitectureOffices!D547</f>
        <v>Øystein Thommesen AS</v>
      </c>
      <c r="L547" s="102">
        <f>tbl_ArchitectureOffices!C547</f>
        <v>244635</v>
      </c>
      <c r="M547" s="102" t="str">
        <f t="shared" si="24"/>
        <v>Øystein Thommesen AS</v>
      </c>
      <c r="N547" s="102" t="str">
        <f>tbl_Companys!D547</f>
        <v>Kahrs Arkitekter AS, Paal J.</v>
      </c>
      <c r="O547" s="102">
        <f>tbl_Companys!C547</f>
        <v>171823</v>
      </c>
      <c r="P547" s="102" t="str">
        <f t="shared" si="25"/>
        <v>Kahrs Arkitekter AS, Paal J.</v>
      </c>
      <c r="Q547" s="102" t="str">
        <f>tbl_ConsultingCompanys!D547</f>
        <v>Siv.ing. JP Dybdahl AS (RIV)</v>
      </c>
      <c r="R547" s="102">
        <f>tbl_ConsultingCompanys!C547</f>
        <v>202688</v>
      </c>
      <c r="S547" s="102" t="str">
        <f t="shared" si="26"/>
        <v>Siv.ing. JP Dybdahl AS (RIV)</v>
      </c>
    </row>
    <row r="548" spans="11:19" x14ac:dyDescent="0.15">
      <c r="K548" s="102" t="str">
        <f>tbl_ArchitectureOffices!D548</f>
        <v>Øystein Thommesen AS</v>
      </c>
      <c r="L548" s="102">
        <f>tbl_ArchitectureOffices!C548</f>
        <v>248257</v>
      </c>
      <c r="M548" s="102" t="str">
        <f t="shared" si="24"/>
        <v>Øystein Thommesen AS</v>
      </c>
      <c r="N548" s="102" t="str">
        <f>tbl_Companys!D548</f>
        <v>Kai Paulsen (Skanska AS)</v>
      </c>
      <c r="O548" s="102">
        <f>tbl_Companys!C548</f>
        <v>160688</v>
      </c>
      <c r="P548" s="102" t="str">
        <f t="shared" si="25"/>
        <v>Kai Paulsen (Skanska AS)</v>
      </c>
      <c r="Q548" s="102" t="str">
        <f>tbl_ConsultingCompanys!D548</f>
        <v>Siv.ing. P.O.Danielsen AS (RIB)</v>
      </c>
      <c r="R548" s="102">
        <f>tbl_ConsultingCompanys!C548</f>
        <v>208884</v>
      </c>
      <c r="S548" s="102" t="str">
        <f t="shared" si="26"/>
        <v>Siv.ing. P.O.Danielsen AS (RIB)</v>
      </c>
    </row>
    <row r="549" spans="11:19" x14ac:dyDescent="0.15">
      <c r="K549" s="102">
        <f>tbl_ArchitectureOffices!D549</f>
        <v>0</v>
      </c>
      <c r="L549" s="102">
        <f>tbl_ArchitectureOffices!C549</f>
        <v>0</v>
      </c>
      <c r="M549" s="102">
        <f t="shared" si="24"/>
        <v>0</v>
      </c>
      <c r="N549" s="102" t="str">
        <f>tbl_Companys!D549</f>
        <v>Kanvas</v>
      </c>
      <c r="O549" s="102">
        <f>tbl_Companys!C549</f>
        <v>157879</v>
      </c>
      <c r="P549" s="102" t="str">
        <f t="shared" si="25"/>
        <v>Kanvas</v>
      </c>
      <c r="Q549" s="102" t="str">
        <f>tbl_ConsultingCompanys!D549</f>
        <v>Siv.ing. Terje Orlien AS</v>
      </c>
      <c r="R549" s="102">
        <f>tbl_ConsultingCompanys!C549</f>
        <v>119831</v>
      </c>
      <c r="S549" s="102" t="str">
        <f t="shared" si="26"/>
        <v>Siv.ing. Terje Orlien AS</v>
      </c>
    </row>
    <row r="550" spans="11:19" x14ac:dyDescent="0.15">
      <c r="K550" s="102">
        <f>tbl_ArchitectureOffices!D550</f>
        <v>0</v>
      </c>
      <c r="L550" s="102">
        <f>tbl_ArchitectureOffices!C550</f>
        <v>0</v>
      </c>
      <c r="M550" s="102">
        <f t="shared" si="24"/>
        <v>0</v>
      </c>
      <c r="N550" s="102" t="str">
        <f>tbl_Companys!D550</f>
        <v>Kanvas v/ Lisbet Andresen</v>
      </c>
      <c r="O550" s="102">
        <f>tbl_Companys!C550</f>
        <v>157878</v>
      </c>
      <c r="P550" s="102" t="str">
        <f t="shared" si="25"/>
        <v>Kanvas v/ Lisbet Andresen</v>
      </c>
      <c r="Q550" s="102" t="str">
        <f>tbl_ConsultingCompanys!D550</f>
        <v>Siv.ing. Trond Amundsen AS (RIB)</v>
      </c>
      <c r="R550" s="102">
        <f>tbl_ConsultingCompanys!C550</f>
        <v>162915</v>
      </c>
      <c r="S550" s="102" t="str">
        <f t="shared" si="26"/>
        <v>Siv.ing. Trond Amundsen AS (RIB)</v>
      </c>
    </row>
    <row r="551" spans="11:19" x14ac:dyDescent="0.15">
      <c r="K551" s="102">
        <f>tbl_ArchitectureOffices!D551</f>
        <v>0</v>
      </c>
      <c r="L551" s="102">
        <f>tbl_ArchitectureOffices!C551</f>
        <v>0</v>
      </c>
      <c r="M551" s="102">
        <f t="shared" si="24"/>
        <v>0</v>
      </c>
      <c r="N551" s="102" t="str">
        <f>tbl_Companys!D551</f>
        <v>Kap - kontor for arkitektur og plan</v>
      </c>
      <c r="O551" s="102">
        <f>tbl_Companys!C551</f>
        <v>171822</v>
      </c>
      <c r="P551" s="102" t="str">
        <f t="shared" si="25"/>
        <v>Kap - kontor for arkitektur og plan</v>
      </c>
      <c r="Q551" s="102" t="str">
        <f>tbl_ConsultingCompanys!D551</f>
        <v>Siv.Ing. Øyvind Berntsen AS (RIV)</v>
      </c>
      <c r="R551" s="102">
        <f>tbl_ConsultingCompanys!C551</f>
        <v>160691</v>
      </c>
      <c r="S551" s="102" t="str">
        <f t="shared" si="26"/>
        <v>Siv.Ing. Øyvind Berntsen AS (RIV)</v>
      </c>
    </row>
    <row r="552" spans="11:19" x14ac:dyDescent="0.15">
      <c r="K552" s="102">
        <f>tbl_ArchitectureOffices!D552</f>
        <v>0</v>
      </c>
      <c r="L552" s="102">
        <f>tbl_ArchitectureOffices!C552</f>
        <v>0</v>
      </c>
      <c r="M552" s="102">
        <f t="shared" si="24"/>
        <v>0</v>
      </c>
      <c r="N552" s="102" t="str">
        <f>tbl_Companys!D552</f>
        <v>Kapsel design as</v>
      </c>
      <c r="O552" s="102">
        <f>tbl_Companys!C552</f>
        <v>247308</v>
      </c>
      <c r="P552" s="102" t="str">
        <f t="shared" si="25"/>
        <v>Kapsel design as</v>
      </c>
      <c r="Q552" s="102" t="str">
        <f>tbl_ConsultingCompanys!D552</f>
        <v>Sivilarkitekt Erik Ask</v>
      </c>
      <c r="R552" s="102">
        <f>tbl_ConsultingCompanys!C552</f>
        <v>160576</v>
      </c>
      <c r="S552" s="102" t="str">
        <f t="shared" si="26"/>
        <v>Sivilarkitekt Erik Ask</v>
      </c>
    </row>
    <row r="553" spans="11:19" x14ac:dyDescent="0.15">
      <c r="K553" s="102">
        <f>tbl_ArchitectureOffices!D553</f>
        <v>0</v>
      </c>
      <c r="L553" s="102">
        <f>tbl_ArchitectureOffices!C553</f>
        <v>0</v>
      </c>
      <c r="M553" s="102">
        <f t="shared" si="24"/>
        <v>0</v>
      </c>
      <c r="N553" s="102" t="str">
        <f>tbl_Companys!D553</f>
        <v>Karl Kvalsund AS (RIE)</v>
      </c>
      <c r="O553" s="102">
        <f>tbl_Companys!C553</f>
        <v>205124</v>
      </c>
      <c r="P553" s="102" t="str">
        <f t="shared" si="25"/>
        <v>Karl Kvalsund AS (RIE)</v>
      </c>
      <c r="Q553" s="102" t="str">
        <f>tbl_ConsultingCompanys!D553</f>
        <v xml:space="preserve">Sivilingeniørene Storkmoen og Hamre AS </v>
      </c>
      <c r="R553" s="102">
        <f>tbl_ConsultingCompanys!C553</f>
        <v>112147</v>
      </c>
      <c r="S553" s="102" t="str">
        <f t="shared" si="26"/>
        <v>Sivilingeniørene Storkmoen og Hamre AS</v>
      </c>
    </row>
    <row r="554" spans="11:19" x14ac:dyDescent="0.15">
      <c r="K554" s="102">
        <f>tbl_ArchitectureOffices!D554</f>
        <v>0</v>
      </c>
      <c r="L554" s="102">
        <f>tbl_ArchitectureOffices!C554</f>
        <v>0</v>
      </c>
      <c r="M554" s="102">
        <f t="shared" si="24"/>
        <v>0</v>
      </c>
      <c r="N554" s="102" t="str">
        <f>tbl_Companys!D554</f>
        <v>Karl Sæbjørn Kjøllesdal</v>
      </c>
      <c r="O554" s="102">
        <f>tbl_Companys!C554</f>
        <v>160592</v>
      </c>
      <c r="P554" s="102" t="str">
        <f t="shared" si="25"/>
        <v>Karl Sæbjørn Kjøllesdal</v>
      </c>
      <c r="Q554" s="102" t="str">
        <f>tbl_ConsultingCompanys!D554</f>
        <v>SK Langeland (byggeleder grunn &amp; betong)</v>
      </c>
      <c r="R554" s="102">
        <f>tbl_ConsultingCompanys!C554</f>
        <v>162877</v>
      </c>
      <c r="S554" s="102" t="str">
        <f t="shared" si="26"/>
        <v>SK Langeland (byggeleder grunn &amp; betong)</v>
      </c>
    </row>
    <row r="555" spans="11:19" x14ac:dyDescent="0.15">
      <c r="K555" s="102">
        <f>tbl_ArchitectureOffices!D555</f>
        <v>0</v>
      </c>
      <c r="L555" s="102">
        <f>tbl_ArchitectureOffices!C555</f>
        <v>0</v>
      </c>
      <c r="M555" s="102">
        <f t="shared" si="24"/>
        <v>0</v>
      </c>
      <c r="N555" s="102" t="str">
        <f>tbl_Companys!D555</f>
        <v>Karsten T. Huitfeldt sivilarkitekt MNAL</v>
      </c>
      <c r="O555" s="102">
        <f>tbl_Companys!C555</f>
        <v>233829</v>
      </c>
      <c r="P555" s="102" t="str">
        <f t="shared" si="25"/>
        <v>Karsten T. Huitfeldt sivilarkitekt MNAL</v>
      </c>
      <c r="Q555" s="102" t="str">
        <f>tbl_ConsultingCompanys!D555</f>
        <v>Skaaret AS</v>
      </c>
      <c r="R555" s="102">
        <f>tbl_ConsultingCompanys!C555</f>
        <v>191906</v>
      </c>
      <c r="S555" s="102" t="str">
        <f t="shared" si="26"/>
        <v>Skaaret AS</v>
      </c>
    </row>
    <row r="556" spans="11:19" x14ac:dyDescent="0.15">
      <c r="K556" s="102">
        <f>tbl_ArchitectureOffices!D556</f>
        <v>0</v>
      </c>
      <c r="L556" s="102">
        <f>tbl_ArchitectureOffices!C556</f>
        <v>0</v>
      </c>
      <c r="M556" s="102">
        <f t="shared" si="24"/>
        <v>0</v>
      </c>
      <c r="N556" s="102" t="str">
        <f>tbl_Companys!D556</f>
        <v>Katarsis as</v>
      </c>
      <c r="O556" s="102">
        <f>tbl_Companys!C556</f>
        <v>172671</v>
      </c>
      <c r="P556" s="102" t="str">
        <f t="shared" si="25"/>
        <v>Katarsis as</v>
      </c>
      <c r="Q556" s="102" t="str">
        <f>tbl_ConsultingCompanys!D556</f>
        <v>Skandinaviska Glassystem AB</v>
      </c>
      <c r="R556" s="102">
        <f>tbl_ConsultingCompanys!C556</f>
        <v>166655</v>
      </c>
      <c r="S556" s="102" t="str">
        <f t="shared" si="26"/>
        <v>Skandinaviska Glassystem AB</v>
      </c>
    </row>
    <row r="557" spans="11:19" x14ac:dyDescent="0.15">
      <c r="K557" s="102">
        <f>tbl_ArchitectureOffices!D557</f>
        <v>0</v>
      </c>
      <c r="L557" s="102">
        <f>tbl_ArchitectureOffices!C557</f>
        <v>0</v>
      </c>
      <c r="M557" s="102">
        <f t="shared" si="24"/>
        <v>0</v>
      </c>
      <c r="N557" s="102" t="str">
        <f>tbl_Companys!D557</f>
        <v>KEO arkitekter AS</v>
      </c>
      <c r="O557" s="102">
        <f>tbl_Companys!C557</f>
        <v>171826</v>
      </c>
      <c r="P557" s="102" t="str">
        <f t="shared" si="25"/>
        <v>KEO arkitekter AS</v>
      </c>
      <c r="Q557" s="102" t="str">
        <f>tbl_ConsultingCompanys!D557</f>
        <v>Skansen AS</v>
      </c>
      <c r="R557" s="102">
        <f>tbl_ConsultingCompanys!C557</f>
        <v>160587</v>
      </c>
      <c r="S557" s="102" t="str">
        <f t="shared" si="26"/>
        <v>Skansen AS</v>
      </c>
    </row>
    <row r="558" spans="11:19" x14ac:dyDescent="0.15">
      <c r="K558" s="102">
        <f>tbl_ArchitectureOffices!D558</f>
        <v>0</v>
      </c>
      <c r="L558" s="102">
        <f>tbl_ArchitectureOffices!C558</f>
        <v>0</v>
      </c>
      <c r="M558" s="102">
        <f t="shared" si="24"/>
        <v>0</v>
      </c>
      <c r="N558" s="102" t="str">
        <f>tbl_Companys!D558</f>
        <v>Kester Bunyan Arkitektur as</v>
      </c>
      <c r="O558" s="102">
        <f>tbl_Companys!C558</f>
        <v>227234</v>
      </c>
      <c r="P558" s="102" t="str">
        <f t="shared" si="25"/>
        <v>Kester Bunyan Arkitektur as</v>
      </c>
      <c r="Q558" s="102" t="str">
        <f>tbl_ConsultingCompanys!D558</f>
        <v>Skansen Consult AS</v>
      </c>
      <c r="R558" s="102">
        <f>tbl_ConsultingCompanys!C558</f>
        <v>236409</v>
      </c>
      <c r="S558" s="102" t="str">
        <f t="shared" si="26"/>
        <v>Skansen Consult AS</v>
      </c>
    </row>
    <row r="559" spans="11:19" x14ac:dyDescent="0.15">
      <c r="K559" s="102">
        <f>tbl_ArchitectureOffices!D559</f>
        <v>0</v>
      </c>
      <c r="L559" s="102">
        <f>tbl_ArchitectureOffices!C559</f>
        <v>0</v>
      </c>
      <c r="M559" s="102">
        <f t="shared" si="24"/>
        <v>0</v>
      </c>
      <c r="N559" s="102" t="str">
        <f>tbl_Companys!D559</f>
        <v>KEY arkitekter as mnal</v>
      </c>
      <c r="O559" s="102">
        <f>tbl_Companys!C559</f>
        <v>215756</v>
      </c>
      <c r="P559" s="102" t="str">
        <f t="shared" si="25"/>
        <v>KEY arkitekter as mnal</v>
      </c>
      <c r="Q559" s="102" t="str">
        <f>tbl_ConsultingCompanys!D559</f>
        <v>Skanska AS</v>
      </c>
      <c r="R559" s="102">
        <f>tbl_ConsultingCompanys!C559</f>
        <v>160687</v>
      </c>
      <c r="S559" s="102" t="str">
        <f t="shared" si="26"/>
        <v>Skanska AS</v>
      </c>
    </row>
    <row r="560" spans="11:19" x14ac:dyDescent="0.15">
      <c r="K560" s="102">
        <f>tbl_ArchitectureOffices!D560</f>
        <v>0</v>
      </c>
      <c r="L560" s="102">
        <f>tbl_ArchitectureOffices!C560</f>
        <v>0</v>
      </c>
      <c r="M560" s="102">
        <f t="shared" si="24"/>
        <v>0</v>
      </c>
      <c r="N560" s="102" t="str">
        <f>tbl_Companys!D560</f>
        <v>Kibsgaard-Petersen AS</v>
      </c>
      <c r="O560" s="102">
        <f>tbl_Companys!C560</f>
        <v>229864</v>
      </c>
      <c r="P560" s="102" t="str">
        <f t="shared" si="25"/>
        <v>Kibsgaard-Petersen AS</v>
      </c>
      <c r="Q560" s="102" t="str">
        <f>tbl_ConsultingCompanys!D560</f>
        <v>Skanska Eiendomsutvikling</v>
      </c>
      <c r="R560" s="102">
        <f>tbl_ConsultingCompanys!C560</f>
        <v>231962</v>
      </c>
      <c r="S560" s="102" t="str">
        <f t="shared" si="26"/>
        <v>Skanska Eiendomsutvikling</v>
      </c>
    </row>
    <row r="561" spans="11:19" x14ac:dyDescent="0.15">
      <c r="K561" s="102">
        <f>tbl_ArchitectureOffices!D561</f>
        <v>0</v>
      </c>
      <c r="L561" s="102">
        <f>tbl_ArchitectureOffices!C561</f>
        <v>0</v>
      </c>
      <c r="M561" s="102">
        <f t="shared" si="24"/>
        <v>0</v>
      </c>
      <c r="N561" s="102" t="str">
        <f>tbl_Companys!D561</f>
        <v xml:space="preserve">Kilde Akustikk AS </v>
      </c>
      <c r="O561" s="102">
        <f>tbl_Companys!C561</f>
        <v>155178</v>
      </c>
      <c r="P561" s="102" t="str">
        <f t="shared" si="25"/>
        <v>Kilde Akustikk AS</v>
      </c>
      <c r="Q561" s="102" t="str">
        <f>tbl_ConsultingCompanys!D561</f>
        <v>Skanska KEB</v>
      </c>
      <c r="R561" s="102">
        <f>tbl_ConsultingCompanys!C561</f>
        <v>246725</v>
      </c>
      <c r="S561" s="102" t="str">
        <f t="shared" si="26"/>
        <v>Skanska KEB</v>
      </c>
    </row>
    <row r="562" spans="11:19" x14ac:dyDescent="0.15">
      <c r="K562" s="102">
        <f>tbl_ArchitectureOffices!D562</f>
        <v>0</v>
      </c>
      <c r="L562" s="102">
        <f>tbl_ArchitectureOffices!C562</f>
        <v>0</v>
      </c>
      <c r="M562" s="102">
        <f t="shared" si="24"/>
        <v>0</v>
      </c>
      <c r="N562" s="102" t="str">
        <f>tbl_Companys!D562</f>
        <v>KILDE akustikk as (RIAKU)</v>
      </c>
      <c r="O562" s="102">
        <f>tbl_Companys!C562</f>
        <v>215429</v>
      </c>
      <c r="P562" s="102" t="str">
        <f t="shared" si="25"/>
        <v>KILDE akustikk as (RIAKU)</v>
      </c>
      <c r="Q562" s="102" t="str">
        <f>tbl_ConsultingCompanys!D562</f>
        <v>Skanska Region Bergen</v>
      </c>
      <c r="R562" s="102">
        <f>tbl_ConsultingCompanys!C562</f>
        <v>231965</v>
      </c>
      <c r="S562" s="102" t="str">
        <f t="shared" si="26"/>
        <v>Skanska Region Bergen</v>
      </c>
    </row>
    <row r="563" spans="11:19" x14ac:dyDescent="0.15">
      <c r="K563" s="102">
        <f>tbl_ArchitectureOffices!D563</f>
        <v>0</v>
      </c>
      <c r="L563" s="102">
        <f>tbl_ArchitectureOffices!C563</f>
        <v>0</v>
      </c>
      <c r="M563" s="102">
        <f t="shared" si="24"/>
        <v>0</v>
      </c>
      <c r="N563" s="102" t="str">
        <f>tbl_Companys!D563</f>
        <v>Kile Stokholm Arkitekter AS</v>
      </c>
      <c r="O563" s="102">
        <f>tbl_Companys!C563</f>
        <v>171820</v>
      </c>
      <c r="P563" s="102" t="str">
        <f t="shared" si="25"/>
        <v>Kile Stokholm Arkitekter AS</v>
      </c>
      <c r="Q563" s="102" t="str">
        <f>tbl_ConsultingCompanys!D563</f>
        <v>Skanska SPU</v>
      </c>
      <c r="R563" s="102">
        <f>tbl_ConsultingCompanys!C563</f>
        <v>246724</v>
      </c>
      <c r="S563" s="102" t="str">
        <f t="shared" si="26"/>
        <v>Skanska SPU</v>
      </c>
    </row>
    <row r="564" spans="11:19" x14ac:dyDescent="0.15">
      <c r="K564" s="102">
        <f>tbl_ArchitectureOffices!D564</f>
        <v>0</v>
      </c>
      <c r="L564" s="102">
        <f>tbl_ArchitectureOffices!C564</f>
        <v>0</v>
      </c>
      <c r="M564" s="102">
        <f t="shared" si="24"/>
        <v>0</v>
      </c>
      <c r="N564" s="102" t="str">
        <f>tbl_Companys!D564</f>
        <v>KIMA arkitektur as</v>
      </c>
      <c r="O564" s="102">
        <f>tbl_Companys!C564</f>
        <v>171603</v>
      </c>
      <c r="P564" s="102" t="str">
        <f t="shared" si="25"/>
        <v>KIMA arkitektur as</v>
      </c>
      <c r="Q564" s="102" t="str">
        <f>tbl_ConsultingCompanys!D564</f>
        <v>Skanska Tekniske</v>
      </c>
      <c r="R564" s="102">
        <f>tbl_ConsultingCompanys!C564</f>
        <v>231964</v>
      </c>
      <c r="S564" s="102" t="str">
        <f t="shared" si="26"/>
        <v>Skanska Tekniske</v>
      </c>
    </row>
    <row r="565" spans="11:19" x14ac:dyDescent="0.15">
      <c r="K565" s="102">
        <f>tbl_ArchitectureOffices!D565</f>
        <v>0</v>
      </c>
      <c r="L565" s="102">
        <f>tbl_ArchitectureOffices!C565</f>
        <v>0</v>
      </c>
      <c r="M565" s="102">
        <f t="shared" si="24"/>
        <v>0</v>
      </c>
      <c r="N565" s="102" t="str">
        <f>tbl_Companys!D565</f>
        <v>Kjell Garshol AS, Bærum</v>
      </c>
      <c r="O565" s="102">
        <f>tbl_Companys!C565</f>
        <v>120019</v>
      </c>
      <c r="P565" s="102" t="str">
        <f t="shared" si="25"/>
        <v>Kjell Garshol AS, Bærum</v>
      </c>
      <c r="Q565" s="102" t="str">
        <f>tbl_ConsultingCompanys!D565</f>
        <v>Skanska Tekniske Enteprise</v>
      </c>
      <c r="R565" s="102">
        <f>tbl_ConsultingCompanys!C565</f>
        <v>246726</v>
      </c>
      <c r="S565" s="102" t="str">
        <f t="shared" si="26"/>
        <v>Skanska Tekniske Enteprise</v>
      </c>
    </row>
    <row r="566" spans="11:19" x14ac:dyDescent="0.15">
      <c r="K566" s="102">
        <f>tbl_ArchitectureOffices!D566</f>
        <v>0</v>
      </c>
      <c r="L566" s="102">
        <f>tbl_ArchitectureOffices!C566</f>
        <v>0</v>
      </c>
      <c r="M566" s="102">
        <f t="shared" si="24"/>
        <v>0</v>
      </c>
      <c r="N566" s="102" t="str">
        <f>tbl_Companys!D566</f>
        <v>Kjell Ludvigsen (RIB)</v>
      </c>
      <c r="O566" s="102">
        <f>tbl_Companys!C566</f>
        <v>209555</v>
      </c>
      <c r="P566" s="102" t="str">
        <f t="shared" si="25"/>
        <v>Kjell Ludvigsen (RIB)</v>
      </c>
      <c r="Q566" s="102" t="str">
        <f>tbl_ConsultingCompanys!D566</f>
        <v>Ski boligbyggelag</v>
      </c>
      <c r="R566" s="102">
        <f>tbl_ConsultingCompanys!C566</f>
        <v>160573</v>
      </c>
      <c r="S566" s="102" t="str">
        <f t="shared" si="26"/>
        <v>Ski boligbyggelag</v>
      </c>
    </row>
    <row r="567" spans="11:19" x14ac:dyDescent="0.15">
      <c r="K567" s="102">
        <f>tbl_ArchitectureOffices!D567</f>
        <v>0</v>
      </c>
      <c r="L567" s="102">
        <f>tbl_ArchitectureOffices!C567</f>
        <v>0</v>
      </c>
      <c r="M567" s="102">
        <f t="shared" si="24"/>
        <v>0</v>
      </c>
      <c r="N567" s="102" t="str">
        <f>tbl_Companys!D567</f>
        <v>Kjell Ludvigsen AS</v>
      </c>
      <c r="O567" s="102">
        <f>tbl_Companys!C567</f>
        <v>247748</v>
      </c>
      <c r="P567" s="102" t="str">
        <f t="shared" si="25"/>
        <v>Kjell Ludvigsen AS</v>
      </c>
      <c r="Q567" s="102" t="str">
        <f>tbl_ConsultingCompanys!D567</f>
        <v>Skien Kommune</v>
      </c>
      <c r="R567" s="102">
        <f>tbl_ConsultingCompanys!C567</f>
        <v>155980</v>
      </c>
      <c r="S567" s="102" t="str">
        <f t="shared" si="26"/>
        <v>Skien Kommune</v>
      </c>
    </row>
    <row r="568" spans="11:19" x14ac:dyDescent="0.15">
      <c r="K568" s="102">
        <f>tbl_ArchitectureOffices!D568</f>
        <v>0</v>
      </c>
      <c r="L568" s="102">
        <f>tbl_ArchitectureOffices!C568</f>
        <v>0</v>
      </c>
      <c r="M568" s="102">
        <f t="shared" si="24"/>
        <v>0</v>
      </c>
      <c r="N568" s="102" t="str">
        <f>tbl_Companys!D568</f>
        <v>Kjell Sævik as</v>
      </c>
      <c r="O568" s="102">
        <f>tbl_Companys!C568</f>
        <v>215430</v>
      </c>
      <c r="P568" s="102" t="str">
        <f t="shared" si="25"/>
        <v>Kjell Sævik as</v>
      </c>
      <c r="Q568" s="102" t="str">
        <f>tbl_ConsultingCompanys!D568</f>
        <v>Skien kommune</v>
      </c>
      <c r="R568" s="102">
        <f>tbl_ConsultingCompanys!C568</f>
        <v>217041</v>
      </c>
      <c r="S568" s="102" t="str">
        <f t="shared" si="26"/>
        <v>Skien kommune</v>
      </c>
    </row>
    <row r="569" spans="11:19" x14ac:dyDescent="0.15">
      <c r="K569" s="102">
        <f>tbl_ArchitectureOffices!D569</f>
        <v>0</v>
      </c>
      <c r="L569" s="102">
        <f>tbl_ArchitectureOffices!C569</f>
        <v>0</v>
      </c>
      <c r="M569" s="102">
        <f t="shared" si="24"/>
        <v>0</v>
      </c>
      <c r="N569" s="102" t="str">
        <f>tbl_Companys!D569</f>
        <v>Kjernehuset Arkitektkontor</v>
      </c>
      <c r="O569" s="102">
        <f>tbl_Companys!C569</f>
        <v>171819</v>
      </c>
      <c r="P569" s="102" t="str">
        <f t="shared" si="25"/>
        <v>Kjernehuset Arkitektkontor</v>
      </c>
      <c r="Q569" s="102" t="str">
        <f>tbl_ConsultingCompanys!D569</f>
        <v>Smed Alsaker AS</v>
      </c>
      <c r="R569" s="102">
        <f>tbl_ConsultingCompanys!C569</f>
        <v>157877</v>
      </c>
      <c r="S569" s="102" t="str">
        <f t="shared" si="26"/>
        <v>Smed Alsaker AS</v>
      </c>
    </row>
    <row r="570" spans="11:19" x14ac:dyDescent="0.15">
      <c r="K570" s="102">
        <f>tbl_ArchitectureOffices!D570</f>
        <v>0</v>
      </c>
      <c r="L570" s="102">
        <f>tbl_ArchitectureOffices!C570</f>
        <v>0</v>
      </c>
      <c r="M570" s="102">
        <f t="shared" si="24"/>
        <v>0</v>
      </c>
      <c r="N570" s="102" t="str">
        <f>tbl_Companys!D570</f>
        <v>Kleihues+Schuwerk Gesellschaft von Architekten mbH</v>
      </c>
      <c r="O570" s="102">
        <f>tbl_Companys!C570</f>
        <v>245623</v>
      </c>
      <c r="P570" s="102" t="str">
        <f t="shared" si="25"/>
        <v>Kleihues+Schuwerk Gesellschaft von Architekten mbH</v>
      </c>
      <c r="Q570" s="102" t="str">
        <f>tbl_ConsultingCompanys!D570</f>
        <v>SMI energi og miljø AS</v>
      </c>
      <c r="R570" s="102">
        <f>tbl_ConsultingCompanys!C570</f>
        <v>245785</v>
      </c>
      <c r="S570" s="102" t="str">
        <f t="shared" si="26"/>
        <v>SMI energi og miljø AS</v>
      </c>
    </row>
    <row r="571" spans="11:19" x14ac:dyDescent="0.15">
      <c r="K571" s="102">
        <f>tbl_ArchitectureOffices!D571</f>
        <v>0</v>
      </c>
      <c r="L571" s="102">
        <f>tbl_ArchitectureOffices!C571</f>
        <v>0</v>
      </c>
      <c r="M571" s="102">
        <f t="shared" si="24"/>
        <v>0</v>
      </c>
      <c r="N571" s="102" t="str">
        <f>tbl_Companys!D571</f>
        <v>Klepp installasjon AS</v>
      </c>
      <c r="O571" s="102">
        <f>tbl_Companys!C571</f>
        <v>163047</v>
      </c>
      <c r="P571" s="102" t="str">
        <f t="shared" si="25"/>
        <v>Klepp installasjon AS</v>
      </c>
      <c r="Q571" s="102" t="str">
        <f>tbl_ConsultingCompanys!D571</f>
        <v>Smidt &amp; Ingebrigtsen AS</v>
      </c>
      <c r="R571" s="102">
        <f>tbl_ConsultingCompanys!C571</f>
        <v>218044</v>
      </c>
      <c r="S571" s="102" t="str">
        <f t="shared" si="26"/>
        <v>Smidt &amp; Ingebrigtsen AS</v>
      </c>
    </row>
    <row r="572" spans="11:19" x14ac:dyDescent="0.15">
      <c r="K572" s="102">
        <f>tbl_ArchitectureOffices!D572</f>
        <v>0</v>
      </c>
      <c r="L572" s="102">
        <f>tbl_ArchitectureOffices!C572</f>
        <v>0</v>
      </c>
      <c r="M572" s="102">
        <f t="shared" si="24"/>
        <v>0</v>
      </c>
      <c r="N572" s="102" t="str">
        <f>tbl_Companys!D572</f>
        <v>Klepp installasjon AS</v>
      </c>
      <c r="O572" s="102">
        <f>tbl_Companys!C572</f>
        <v>165638</v>
      </c>
      <c r="P572" s="102" t="str">
        <f t="shared" si="25"/>
        <v>Klepp installasjon AS</v>
      </c>
      <c r="Q572" s="102" t="str">
        <f>tbl_ConsultingCompanys!D572</f>
        <v>SNO Sogndal</v>
      </c>
      <c r="R572" s="102">
        <f>tbl_ConsultingCompanys!C572</f>
        <v>214842</v>
      </c>
      <c r="S572" s="102" t="str">
        <f t="shared" si="26"/>
        <v>SNO Sogndal</v>
      </c>
    </row>
    <row r="573" spans="11:19" x14ac:dyDescent="0.15">
      <c r="K573" s="102">
        <f>tbl_ArchitectureOffices!D573</f>
        <v>0</v>
      </c>
      <c r="L573" s="102">
        <f>tbl_ArchitectureOffices!C573</f>
        <v>0</v>
      </c>
      <c r="M573" s="102">
        <f t="shared" si="24"/>
        <v>0</v>
      </c>
      <c r="N573" s="102" t="str">
        <f>tbl_Companys!D573</f>
        <v>Klepp kyrkjelege fellesråd</v>
      </c>
      <c r="O573" s="102">
        <f>tbl_Companys!C573</f>
        <v>228968</v>
      </c>
      <c r="P573" s="102" t="str">
        <f t="shared" si="25"/>
        <v>Klepp kyrkjelege fellesråd</v>
      </c>
      <c r="Q573" s="102" t="str">
        <f>tbl_ConsultingCompanys!D573</f>
        <v>Sohlberg og Toftenes AS</v>
      </c>
      <c r="R573" s="102">
        <f>tbl_ConsultingCompanys!C573</f>
        <v>181038</v>
      </c>
      <c r="S573" s="102" t="str">
        <f t="shared" si="26"/>
        <v>Sohlberg og Toftenes AS</v>
      </c>
    </row>
    <row r="574" spans="11:19" x14ac:dyDescent="0.15">
      <c r="K574" s="102">
        <f>tbl_ArchitectureOffices!D574</f>
        <v>0</v>
      </c>
      <c r="L574" s="102">
        <f>tbl_ArchitectureOffices!C574</f>
        <v>0</v>
      </c>
      <c r="M574" s="102">
        <f t="shared" si="24"/>
        <v>0</v>
      </c>
      <c r="N574" s="102" t="str">
        <f>tbl_Companys!D574</f>
        <v>Klepphus AS</v>
      </c>
      <c r="O574" s="102">
        <f>tbl_Companys!C574</f>
        <v>158052</v>
      </c>
      <c r="P574" s="102" t="str">
        <f t="shared" si="25"/>
        <v>Klepphus AS</v>
      </c>
      <c r="Q574" s="102" t="str">
        <f>tbl_ConsultingCompanys!D574</f>
        <v>Solarnor AS</v>
      </c>
      <c r="R574" s="102">
        <f>tbl_ConsultingCompanys!C574</f>
        <v>103201</v>
      </c>
      <c r="S574" s="102" t="str">
        <f t="shared" si="26"/>
        <v>Solarnor AS</v>
      </c>
    </row>
    <row r="575" spans="11:19" x14ac:dyDescent="0.15">
      <c r="K575" s="102">
        <f>tbl_ArchitectureOffices!D575</f>
        <v>0</v>
      </c>
      <c r="L575" s="102">
        <f>tbl_ArchitectureOffices!C575</f>
        <v>0</v>
      </c>
      <c r="M575" s="102">
        <f t="shared" si="24"/>
        <v>0</v>
      </c>
      <c r="N575" s="102" t="str">
        <f>tbl_Companys!D575</f>
        <v>Klimat Teknologi AB</v>
      </c>
      <c r="O575" s="102">
        <f>tbl_Companys!C575</f>
        <v>120058</v>
      </c>
      <c r="P575" s="102" t="str">
        <f t="shared" si="25"/>
        <v>Klimat Teknologi AB</v>
      </c>
      <c r="Q575" s="102" t="str">
        <f>tbl_ConsultingCompanys!D575</f>
        <v>Solberg &amp; Toftenes (RIBR)</v>
      </c>
      <c r="R575" s="102">
        <f>tbl_ConsultingCompanys!C575</f>
        <v>214150</v>
      </c>
      <c r="S575" s="102" t="str">
        <f t="shared" si="26"/>
        <v>Solberg &amp; Toftenes (RIBR)</v>
      </c>
    </row>
    <row r="576" spans="11:19" x14ac:dyDescent="0.15">
      <c r="K576" s="102">
        <f>tbl_ArchitectureOffices!D576</f>
        <v>0</v>
      </c>
      <c r="L576" s="102">
        <f>tbl_ArchitectureOffices!C576</f>
        <v>0</v>
      </c>
      <c r="M576" s="102">
        <f t="shared" si="24"/>
        <v>0</v>
      </c>
      <c r="N576" s="102" t="str">
        <f>tbl_Companys!D576</f>
        <v>Klimatak YIT (RIV, RIE)</v>
      </c>
      <c r="O576" s="102">
        <f>tbl_Companys!C576</f>
        <v>158194</v>
      </c>
      <c r="P576" s="102" t="str">
        <f t="shared" si="25"/>
        <v>Klimatak YIT (RIV, RIE)</v>
      </c>
      <c r="Q576" s="102" t="str">
        <f>tbl_ConsultingCompanys!D576</f>
        <v>Solberg og Toftenes AS</v>
      </c>
      <c r="R576" s="102">
        <f>tbl_ConsultingCompanys!C576</f>
        <v>160580</v>
      </c>
      <c r="S576" s="102" t="str">
        <f t="shared" si="26"/>
        <v>Solberg og Toftenes AS</v>
      </c>
    </row>
    <row r="577" spans="11:19" x14ac:dyDescent="0.15">
      <c r="K577" s="102">
        <f>tbl_ArchitectureOffices!D577</f>
        <v>0</v>
      </c>
      <c r="L577" s="102">
        <f>tbl_ArchitectureOffices!C577</f>
        <v>0</v>
      </c>
      <c r="M577" s="102">
        <f t="shared" si="24"/>
        <v>0</v>
      </c>
      <c r="N577" s="102" t="str">
        <f>tbl_Companys!D577</f>
        <v>KLP Eiendom</v>
      </c>
      <c r="O577" s="102">
        <f>tbl_Companys!C577</f>
        <v>208891</v>
      </c>
      <c r="P577" s="102" t="str">
        <f t="shared" si="25"/>
        <v>KLP Eiendom</v>
      </c>
      <c r="Q577" s="102" t="str">
        <f>tbl_ConsultingCompanys!D577</f>
        <v>Solland AS (ventilasjon)</v>
      </c>
      <c r="R577" s="102">
        <f>tbl_ConsultingCompanys!C577</f>
        <v>155703</v>
      </c>
      <c r="S577" s="102" t="str">
        <f t="shared" si="26"/>
        <v>Solland AS (ventilasjon)</v>
      </c>
    </row>
    <row r="578" spans="11:19" x14ac:dyDescent="0.15">
      <c r="K578" s="102">
        <f>tbl_ArchitectureOffices!D578</f>
        <v>0</v>
      </c>
      <c r="L578" s="102">
        <f>tbl_ArchitectureOffices!C578</f>
        <v>0</v>
      </c>
      <c r="M578" s="102">
        <f t="shared" si="24"/>
        <v>0</v>
      </c>
      <c r="N578" s="102" t="str">
        <f>tbl_Companys!D578</f>
        <v>KN Kjøita AS (Egil Andre Jore)</v>
      </c>
      <c r="O578" s="102">
        <f>tbl_Companys!C578</f>
        <v>158191</v>
      </c>
      <c r="P578" s="102" t="str">
        <f t="shared" si="25"/>
        <v>KN Kjøita AS (Egil Andre Jore)</v>
      </c>
      <c r="Q578" s="102" t="str">
        <f>tbl_ConsultingCompanys!D578</f>
        <v>SOS Brannsikring AS</v>
      </c>
      <c r="R578" s="102">
        <f>tbl_ConsultingCompanys!C578</f>
        <v>245543</v>
      </c>
      <c r="S578" s="102" t="str">
        <f t="shared" si="26"/>
        <v>SOS Brannsikring AS</v>
      </c>
    </row>
    <row r="579" spans="11:19" x14ac:dyDescent="0.15">
      <c r="K579" s="102">
        <f>tbl_ArchitectureOffices!D579</f>
        <v>0</v>
      </c>
      <c r="L579" s="102">
        <f>tbl_ArchitectureOffices!C579</f>
        <v>0</v>
      </c>
      <c r="M579" s="102">
        <f t="shared" ref="M579:M642" si="27">IFERROR(REPLACE(K579,FIND(" ",K579,LEN(K579)),1,""),K579)</f>
        <v>0</v>
      </c>
      <c r="N579" s="102" t="str">
        <f>tbl_Companys!D579</f>
        <v xml:space="preserve">Knudsen Arkitektkontor AS, Per </v>
      </c>
      <c r="O579" s="102">
        <f>tbl_Companys!C579</f>
        <v>171818</v>
      </c>
      <c r="P579" s="102" t="str">
        <f t="shared" ref="P579:P642" si="28">IFERROR(REPLACE(N579,FIND(" ",N579,LEN(N579)),1,""),N579)</f>
        <v>Knudsen Arkitektkontor AS, Per</v>
      </c>
      <c r="Q579" s="102" t="str">
        <f>tbl_ConsultingCompanys!D579</f>
        <v>Sparebank 1 SMN kvartalet</v>
      </c>
      <c r="R579" s="102">
        <f>tbl_ConsultingCompanys!C579</f>
        <v>178925</v>
      </c>
      <c r="S579" s="102" t="str">
        <f t="shared" ref="S579:S642" si="29">IFERROR(REPLACE(Q579,FIND(" ",Q579,LEN(Q579)),1,""),Q579)</f>
        <v>Sparebank 1 SMN kvartalet</v>
      </c>
    </row>
    <row r="580" spans="11:19" x14ac:dyDescent="0.15">
      <c r="K580" s="102">
        <f>tbl_ArchitectureOffices!D580</f>
        <v>0</v>
      </c>
      <c r="L580" s="102">
        <f>tbl_ArchitectureOffices!C580</f>
        <v>0</v>
      </c>
      <c r="M580" s="102">
        <f t="shared" si="27"/>
        <v>0</v>
      </c>
      <c r="N580" s="102" t="str">
        <f>tbl_Companys!D580</f>
        <v xml:space="preserve">Knudtsen AS, Arkitekthuset </v>
      </c>
      <c r="O580" s="102">
        <f>tbl_Companys!C580</f>
        <v>171816</v>
      </c>
      <c r="P580" s="102" t="str">
        <f t="shared" si="28"/>
        <v>Knudtsen AS, Arkitekthuset</v>
      </c>
      <c r="Q580" s="102" t="str">
        <f>tbl_ConsultingCompanys!D580</f>
        <v xml:space="preserve">Spets AS </v>
      </c>
      <c r="R580" s="102">
        <f>tbl_ConsultingCompanys!C580</f>
        <v>165393</v>
      </c>
      <c r="S580" s="102" t="str">
        <f t="shared" si="29"/>
        <v>Spets AS</v>
      </c>
    </row>
    <row r="581" spans="11:19" x14ac:dyDescent="0.15">
      <c r="K581" s="102">
        <f>tbl_ArchitectureOffices!D581</f>
        <v>0</v>
      </c>
      <c r="L581" s="102">
        <f>tbl_ArchitectureOffices!C581</f>
        <v>0</v>
      </c>
      <c r="M581" s="102">
        <f t="shared" si="27"/>
        <v>0</v>
      </c>
      <c r="N581" s="102" t="str">
        <f>tbl_Companys!D581</f>
        <v>Knut Skutle as</v>
      </c>
      <c r="O581" s="102">
        <f>tbl_Companys!C581</f>
        <v>112152</v>
      </c>
      <c r="P581" s="102" t="str">
        <f t="shared" si="28"/>
        <v>Knut Skutle as</v>
      </c>
      <c r="Q581" s="102" t="str">
        <f>tbl_ConsultingCompanys!D581</f>
        <v>SSBYGG AS</v>
      </c>
      <c r="R581" s="102">
        <f>tbl_ConsultingCompanys!C581</f>
        <v>225764</v>
      </c>
      <c r="S581" s="102" t="str">
        <f t="shared" si="29"/>
        <v>SSBYGG AS</v>
      </c>
    </row>
    <row r="582" spans="11:19" x14ac:dyDescent="0.15">
      <c r="K582" s="102">
        <f>tbl_ArchitectureOffices!D582</f>
        <v>0</v>
      </c>
      <c r="L582" s="102">
        <f>tbl_ArchitectureOffices!C582</f>
        <v>0</v>
      </c>
      <c r="M582" s="102">
        <f t="shared" si="27"/>
        <v>0</v>
      </c>
      <c r="N582" s="102" t="str">
        <f>tbl_Companys!D582</f>
        <v>Knut Skutle AS</v>
      </c>
      <c r="O582" s="102">
        <f>tbl_Companys!C582</f>
        <v>155124</v>
      </c>
      <c r="P582" s="102" t="str">
        <f t="shared" si="28"/>
        <v>Knut Skutle AS</v>
      </c>
      <c r="Q582" s="102" t="str">
        <f>tbl_ConsultingCompanys!D582</f>
        <v>Statens vegvesen</v>
      </c>
      <c r="R582" s="102">
        <f>tbl_ConsultingCompanys!C582</f>
        <v>158051</v>
      </c>
      <c r="S582" s="102" t="str">
        <f t="shared" si="29"/>
        <v>Statens vegvesen</v>
      </c>
    </row>
    <row r="583" spans="11:19" x14ac:dyDescent="0.15">
      <c r="K583" s="102">
        <f>tbl_ArchitectureOffices!D583</f>
        <v>0</v>
      </c>
      <c r="L583" s="102">
        <f>tbl_ArchitectureOffices!C583</f>
        <v>0</v>
      </c>
      <c r="M583" s="102">
        <f t="shared" si="27"/>
        <v>0</v>
      </c>
      <c r="N583" s="102" t="str">
        <f>tbl_Companys!D583</f>
        <v>Knut Skutle AS</v>
      </c>
      <c r="O583" s="102">
        <f>tbl_Companys!C583</f>
        <v>155180</v>
      </c>
      <c r="P583" s="102" t="str">
        <f t="shared" si="28"/>
        <v>Knut Skutle AS</v>
      </c>
      <c r="Q583" s="102" t="str">
        <f>tbl_ConsultingCompanys!D583</f>
        <v>Statens vegvesen, Turistvegkontoret</v>
      </c>
      <c r="R583" s="102">
        <f>tbl_ConsultingCompanys!C583</f>
        <v>180285</v>
      </c>
      <c r="S583" s="102" t="str">
        <f t="shared" si="29"/>
        <v>Statens vegvesen, Turistvegkontoret</v>
      </c>
    </row>
    <row r="584" spans="11:19" x14ac:dyDescent="0.15">
      <c r="K584" s="102">
        <f>tbl_ArchitectureOffices!D584</f>
        <v>0</v>
      </c>
      <c r="L584" s="102">
        <f>tbl_ArchitectureOffices!C584</f>
        <v>0</v>
      </c>
      <c r="M584" s="102">
        <f t="shared" si="27"/>
        <v>0</v>
      </c>
      <c r="N584" s="102" t="str">
        <f>tbl_Companys!D584</f>
        <v>Koda Arkitekter AS</v>
      </c>
      <c r="O584" s="102">
        <f>tbl_Companys!C584</f>
        <v>171813</v>
      </c>
      <c r="P584" s="102" t="str">
        <f t="shared" si="28"/>
        <v>Koda Arkitekter AS</v>
      </c>
      <c r="Q584" s="102" t="str">
        <f>tbl_ConsultingCompanys!D584</f>
        <v>Statkraft Grøner AS</v>
      </c>
      <c r="R584" s="102">
        <f>tbl_ConsultingCompanys!C584</f>
        <v>120022</v>
      </c>
      <c r="S584" s="102" t="str">
        <f t="shared" si="29"/>
        <v>Statkraft Grøner AS</v>
      </c>
    </row>
    <row r="585" spans="11:19" x14ac:dyDescent="0.15">
      <c r="K585" s="102">
        <f>tbl_ArchitectureOffices!D585</f>
        <v>0</v>
      </c>
      <c r="L585" s="102">
        <f>tbl_ArchitectureOffices!C585</f>
        <v>0</v>
      </c>
      <c r="M585" s="102">
        <f t="shared" si="27"/>
        <v>0</v>
      </c>
      <c r="N585" s="102" t="str">
        <f>tbl_Companys!D585</f>
        <v>Kolberg ventilasjon (RIV)</v>
      </c>
      <c r="O585" s="102">
        <f>tbl_Companys!C585</f>
        <v>214147</v>
      </c>
      <c r="P585" s="102" t="str">
        <f t="shared" si="28"/>
        <v>Kolberg ventilasjon (RIV)</v>
      </c>
      <c r="Q585" s="102" t="str">
        <f>tbl_ConsultingCompanys!D585</f>
        <v>Statnett SF</v>
      </c>
      <c r="R585" s="102">
        <f>tbl_ConsultingCompanys!C585</f>
        <v>243117</v>
      </c>
      <c r="S585" s="102" t="str">
        <f t="shared" si="29"/>
        <v>Statnett SF</v>
      </c>
    </row>
    <row r="586" spans="11:19" x14ac:dyDescent="0.15">
      <c r="K586" s="102">
        <f>tbl_ArchitectureOffices!D586</f>
        <v>0</v>
      </c>
      <c r="L586" s="102">
        <f>tbl_ArchitectureOffices!C586</f>
        <v>0</v>
      </c>
      <c r="M586" s="102">
        <f t="shared" si="27"/>
        <v>0</v>
      </c>
      <c r="N586" s="102" t="str">
        <f>tbl_Companys!D586</f>
        <v>Kolnes maskin</v>
      </c>
      <c r="O586" s="102">
        <f>tbl_Companys!C586</f>
        <v>163151</v>
      </c>
      <c r="P586" s="102" t="str">
        <f t="shared" si="28"/>
        <v>Kolnes maskin</v>
      </c>
      <c r="Q586" s="102" t="str">
        <f>tbl_ConsultingCompanys!D586</f>
        <v>Statsbygg</v>
      </c>
      <c r="R586" s="102">
        <f>tbl_ConsultingCompanys!C586</f>
        <v>160597</v>
      </c>
      <c r="S586" s="102" t="str">
        <f t="shared" si="29"/>
        <v>Statsbygg</v>
      </c>
    </row>
    <row r="587" spans="11:19" x14ac:dyDescent="0.15">
      <c r="K587" s="102">
        <f>tbl_ArchitectureOffices!D587</f>
        <v>0</v>
      </c>
      <c r="L587" s="102">
        <f>tbl_ArchitectureOffices!C587</f>
        <v>0</v>
      </c>
      <c r="M587" s="102">
        <f t="shared" si="27"/>
        <v>0</v>
      </c>
      <c r="N587" s="102" t="str">
        <f>tbl_Companys!D587</f>
        <v>Kolnes Maskin</v>
      </c>
      <c r="O587" s="102">
        <f>tbl_Companys!C587</f>
        <v>165636</v>
      </c>
      <c r="P587" s="102" t="str">
        <f t="shared" si="28"/>
        <v>Kolnes Maskin</v>
      </c>
      <c r="Q587" s="102" t="str">
        <f>tbl_ConsultingCompanys!D587</f>
        <v>Stavanger boligbyggelag</v>
      </c>
      <c r="R587" s="102">
        <f>tbl_ConsultingCompanys!C587</f>
        <v>155706</v>
      </c>
      <c r="S587" s="102" t="str">
        <f t="shared" si="29"/>
        <v>Stavanger boligbyggelag</v>
      </c>
    </row>
    <row r="588" spans="11:19" x14ac:dyDescent="0.15">
      <c r="K588" s="102">
        <f>tbl_ArchitectureOffices!D588</f>
        <v>0</v>
      </c>
      <c r="L588" s="102">
        <f>tbl_ArchitectureOffices!C588</f>
        <v>0</v>
      </c>
      <c r="M588" s="102">
        <f t="shared" si="27"/>
        <v>0</v>
      </c>
      <c r="N588" s="102" t="str">
        <f>tbl_Companys!D588</f>
        <v>Kolnes Maskin AS</v>
      </c>
      <c r="O588" s="102">
        <f>tbl_Companys!C588</f>
        <v>163048</v>
      </c>
      <c r="P588" s="102" t="str">
        <f t="shared" si="28"/>
        <v>Kolnes Maskin AS</v>
      </c>
      <c r="Q588" s="102" t="str">
        <f>tbl_ConsultingCompanys!D588</f>
        <v>Stavanger boligbyggelag</v>
      </c>
      <c r="R588" s="102">
        <f>tbl_ConsultingCompanys!C588</f>
        <v>158050</v>
      </c>
      <c r="S588" s="102" t="str">
        <f t="shared" si="29"/>
        <v>Stavanger boligbyggelag</v>
      </c>
    </row>
    <row r="589" spans="11:19" x14ac:dyDescent="0.15">
      <c r="K589" s="102">
        <f>tbl_ArchitectureOffices!D589</f>
        <v>0</v>
      </c>
      <c r="L589" s="102">
        <f>tbl_ArchitectureOffices!C589</f>
        <v>0</v>
      </c>
      <c r="M589" s="102">
        <f t="shared" si="27"/>
        <v>0</v>
      </c>
      <c r="N589" s="102" t="str">
        <f>tbl_Companys!D589</f>
        <v>Kongsvinger kommune og Hedmark fylkeskommune</v>
      </c>
      <c r="O589" s="102">
        <f>tbl_Companys!C589</f>
        <v>214729</v>
      </c>
      <c r="P589" s="102" t="str">
        <f t="shared" si="28"/>
        <v>Kongsvinger kommune og Hedmark fylkeskommune</v>
      </c>
      <c r="Q589" s="102" t="str">
        <f>tbl_ConsultingCompanys!D589</f>
        <v>Stavanger kommune</v>
      </c>
      <c r="R589" s="102">
        <f>tbl_ConsultingCompanys!C589</f>
        <v>216181</v>
      </c>
      <c r="S589" s="102" t="str">
        <f t="shared" si="29"/>
        <v>Stavanger kommune</v>
      </c>
    </row>
    <row r="590" spans="11:19" x14ac:dyDescent="0.15">
      <c r="K590" s="102">
        <f>tbl_ArchitectureOffices!D590</f>
        <v>0</v>
      </c>
      <c r="L590" s="102">
        <f>tbl_ArchitectureOffices!C590</f>
        <v>0</v>
      </c>
      <c r="M590" s="102">
        <f t="shared" si="27"/>
        <v>0</v>
      </c>
      <c r="N590" s="102" t="str">
        <f>tbl_Companys!D590</f>
        <v>Kon-sul AS</v>
      </c>
      <c r="O590" s="102">
        <f>tbl_Companys!C590</f>
        <v>171785</v>
      </c>
      <c r="P590" s="102" t="str">
        <f t="shared" si="28"/>
        <v>Kon-sul AS</v>
      </c>
      <c r="Q590" s="102" t="str">
        <f>tbl_ConsultingCompanys!D590</f>
        <v>Stavanger kommune v/ Stavanger Eiendom</v>
      </c>
      <c r="R590" s="102">
        <f>tbl_ConsultingCompanys!C590</f>
        <v>160511</v>
      </c>
      <c r="S590" s="102" t="str">
        <f t="shared" si="29"/>
        <v>Stavanger kommune v/ Stavanger Eiendom</v>
      </c>
    </row>
    <row r="591" spans="11:19" x14ac:dyDescent="0.15">
      <c r="K591" s="102">
        <f>tbl_ArchitectureOffices!D591</f>
        <v>0</v>
      </c>
      <c r="L591" s="102">
        <f>tbl_ArchitectureOffices!C591</f>
        <v>0</v>
      </c>
      <c r="M591" s="102">
        <f t="shared" si="27"/>
        <v>0</v>
      </c>
      <c r="N591" s="102" t="str">
        <f>tbl_Companys!D591</f>
        <v>Konsulentfirma</v>
      </c>
      <c r="O591" s="102">
        <f>tbl_Companys!C591</f>
        <v>232347</v>
      </c>
      <c r="P591" s="102" t="str">
        <f t="shared" si="28"/>
        <v>Konsulentfirma</v>
      </c>
      <c r="Q591" s="102" t="str">
        <f>tbl_ConsultingCompanys!D591</f>
        <v>Stavanger Turistforening</v>
      </c>
      <c r="R591" s="102">
        <f>tbl_ConsultingCompanys!C591</f>
        <v>155750</v>
      </c>
      <c r="S591" s="102" t="str">
        <f t="shared" si="29"/>
        <v>Stavanger Turistforening</v>
      </c>
    </row>
    <row r="592" spans="11:19" x14ac:dyDescent="0.15">
      <c r="K592" s="102">
        <f>tbl_ArchitectureOffices!D592</f>
        <v>0</v>
      </c>
      <c r="L592" s="102">
        <f>tbl_ArchitectureOffices!C592</f>
        <v>0</v>
      </c>
      <c r="M592" s="102">
        <f t="shared" si="27"/>
        <v>0</v>
      </c>
      <c r="N592" s="102" t="str">
        <f>tbl_Companys!D592</f>
        <v>Konsulentfirma</v>
      </c>
      <c r="O592" s="102">
        <f>tbl_Companys!C592</f>
        <v>232348</v>
      </c>
      <c r="P592" s="102" t="str">
        <f t="shared" si="28"/>
        <v>Konsulentfirma</v>
      </c>
      <c r="Q592" s="102" t="str">
        <f>tbl_ConsultingCompanys!D592</f>
        <v>Stavne Gård AS</v>
      </c>
      <c r="R592" s="102">
        <f>tbl_ConsultingCompanys!C592</f>
        <v>110817</v>
      </c>
      <c r="S592" s="102" t="str">
        <f t="shared" si="29"/>
        <v>Stavne Gård AS</v>
      </c>
    </row>
    <row r="593" spans="11:19" x14ac:dyDescent="0.15">
      <c r="K593" s="102">
        <f>tbl_ArchitectureOffices!D593</f>
        <v>0</v>
      </c>
      <c r="L593" s="102">
        <f>tbl_ArchitectureOffices!C593</f>
        <v>0</v>
      </c>
      <c r="M593" s="102">
        <f t="shared" si="27"/>
        <v>0</v>
      </c>
      <c r="N593" s="102" t="str">
        <f>tbl_Companys!D593</f>
        <v>Konsulentfirma</v>
      </c>
      <c r="O593" s="102">
        <f>tbl_Companys!C593</f>
        <v>232357</v>
      </c>
      <c r="P593" s="102" t="str">
        <f t="shared" si="28"/>
        <v>Konsulentfirma</v>
      </c>
      <c r="Q593" s="102" t="str">
        <f>tbl_ConsultingCompanys!D593</f>
        <v>Steen &amp; Lund</v>
      </c>
      <c r="R593" s="102">
        <f>tbl_ConsultingCompanys!C593</f>
        <v>193821</v>
      </c>
      <c r="S593" s="102" t="str">
        <f t="shared" si="29"/>
        <v>Steen &amp; Lund</v>
      </c>
    </row>
    <row r="594" spans="11:19" x14ac:dyDescent="0.15">
      <c r="K594" s="102">
        <f>tbl_ArchitectureOffices!D594</f>
        <v>0</v>
      </c>
      <c r="L594" s="102">
        <f>tbl_ArchitectureOffices!C594</f>
        <v>0</v>
      </c>
      <c r="M594" s="102">
        <f t="shared" si="27"/>
        <v>0</v>
      </c>
      <c r="N594" s="102" t="str">
        <f>tbl_Companys!D594</f>
        <v>Konsulentfirma</v>
      </c>
      <c r="O594" s="102">
        <f>tbl_Companys!C594</f>
        <v>247568</v>
      </c>
      <c r="P594" s="102" t="str">
        <f t="shared" si="28"/>
        <v>Konsulentfirma</v>
      </c>
      <c r="Q594" s="102" t="str">
        <f>tbl_ConsultingCompanys!D594</f>
        <v>STEIEN Consult AS</v>
      </c>
      <c r="R594" s="102">
        <f>tbl_ConsultingCompanys!C594</f>
        <v>243667</v>
      </c>
      <c r="S594" s="102" t="str">
        <f t="shared" si="29"/>
        <v>STEIEN Consult AS</v>
      </c>
    </row>
    <row r="595" spans="11:19" x14ac:dyDescent="0.15">
      <c r="K595" s="102">
        <f>tbl_ArchitectureOffices!D595</f>
        <v>0</v>
      </c>
      <c r="L595" s="102">
        <f>tbl_ArchitectureOffices!C595</f>
        <v>0</v>
      </c>
      <c r="M595" s="102">
        <f t="shared" si="27"/>
        <v>0</v>
      </c>
      <c r="N595" s="102" t="str">
        <f>tbl_Companys!D595</f>
        <v>Konsulentfirma</v>
      </c>
      <c r="O595" s="102">
        <f>tbl_Companys!C595</f>
        <v>247574</v>
      </c>
      <c r="P595" s="102" t="str">
        <f t="shared" si="28"/>
        <v>Konsulentfirma</v>
      </c>
      <c r="Q595" s="102" t="str">
        <f>tbl_ConsultingCompanys!D595</f>
        <v>Stein Stoknes</v>
      </c>
      <c r="R595" s="102">
        <f>tbl_ConsultingCompanys!C595</f>
        <v>177614</v>
      </c>
      <c r="S595" s="102" t="str">
        <f t="shared" si="29"/>
        <v>Stein Stoknes</v>
      </c>
    </row>
    <row r="596" spans="11:19" x14ac:dyDescent="0.15">
      <c r="K596" s="102">
        <f>tbl_ArchitectureOffices!D596</f>
        <v>0</v>
      </c>
      <c r="L596" s="102">
        <f>tbl_ArchitectureOffices!C596</f>
        <v>0</v>
      </c>
      <c r="M596" s="102">
        <f t="shared" si="27"/>
        <v>0</v>
      </c>
      <c r="N596" s="102" t="str">
        <f>tbl_Companys!D596</f>
        <v>Konsulentfirma</v>
      </c>
      <c r="O596" s="102">
        <f>tbl_Companys!C596</f>
        <v>247576</v>
      </c>
      <c r="P596" s="102" t="str">
        <f t="shared" si="28"/>
        <v>Konsulentfirma</v>
      </c>
      <c r="Q596" s="102" t="str">
        <f>tbl_ConsultingCompanys!D596</f>
        <v>Steinar Johansen (tømrer)</v>
      </c>
      <c r="R596" s="102">
        <f>tbl_ConsultingCompanys!C596</f>
        <v>112571</v>
      </c>
      <c r="S596" s="102" t="str">
        <f t="shared" si="29"/>
        <v>Steinar Johansen (tømrer)</v>
      </c>
    </row>
    <row r="597" spans="11:19" x14ac:dyDescent="0.15">
      <c r="K597" s="102">
        <f>tbl_ArchitectureOffices!D597</f>
        <v>0</v>
      </c>
      <c r="L597" s="102">
        <f>tbl_ArchitectureOffices!C597</f>
        <v>0</v>
      </c>
      <c r="M597" s="102">
        <f t="shared" si="27"/>
        <v>0</v>
      </c>
      <c r="N597" s="102" t="str">
        <f>tbl_Companys!D597</f>
        <v>Konsulentfirma</v>
      </c>
      <c r="O597" s="102">
        <f>tbl_Companys!C597</f>
        <v>247580</v>
      </c>
      <c r="P597" s="102" t="str">
        <f t="shared" si="28"/>
        <v>Konsulentfirma</v>
      </c>
      <c r="Q597" s="102" t="str">
        <f>tbl_ConsultingCompanys!D597</f>
        <v>Steinar Moldal</v>
      </c>
      <c r="R597" s="102">
        <f>tbl_ConsultingCompanys!C597</f>
        <v>247288</v>
      </c>
      <c r="S597" s="102" t="str">
        <f t="shared" si="29"/>
        <v>Steinar Moldal</v>
      </c>
    </row>
    <row r="598" spans="11:19" x14ac:dyDescent="0.15">
      <c r="K598" s="102">
        <f>tbl_ArchitectureOffices!D598</f>
        <v>0</v>
      </c>
      <c r="L598" s="102">
        <f>tbl_ArchitectureOffices!C598</f>
        <v>0</v>
      </c>
      <c r="M598" s="102">
        <f t="shared" si="27"/>
        <v>0</v>
      </c>
      <c r="N598" s="102" t="str">
        <f>tbl_Companys!D598</f>
        <v>Konsulentfirma</v>
      </c>
      <c r="O598" s="102">
        <f>tbl_Companys!C598</f>
        <v>247581</v>
      </c>
      <c r="P598" s="102" t="str">
        <f t="shared" si="28"/>
        <v>Konsulentfirma</v>
      </c>
      <c r="Q598" s="102" t="str">
        <f>tbl_ConsultingCompanys!D598</f>
        <v>Stensrud og Danielsen</v>
      </c>
      <c r="R598" s="102">
        <f>tbl_ConsultingCompanys!C598</f>
        <v>121159</v>
      </c>
      <c r="S598" s="102" t="str">
        <f t="shared" si="29"/>
        <v>Stensrud og Danielsen</v>
      </c>
    </row>
    <row r="599" spans="11:19" x14ac:dyDescent="0.15">
      <c r="K599" s="102">
        <f>tbl_ArchitectureOffices!D599</f>
        <v>0</v>
      </c>
      <c r="L599" s="102">
        <f>tbl_ArchitectureOffices!C599</f>
        <v>0</v>
      </c>
      <c r="M599" s="102">
        <f t="shared" si="27"/>
        <v>0</v>
      </c>
      <c r="N599" s="102" t="str">
        <f>tbl_Companys!D599</f>
        <v>Konsulentfirma</v>
      </c>
      <c r="O599" s="102">
        <f>tbl_Companys!C599</f>
        <v>248370</v>
      </c>
      <c r="P599" s="102" t="str">
        <f t="shared" si="28"/>
        <v>Konsulentfirma</v>
      </c>
      <c r="Q599" s="102" t="str">
        <f>tbl_ConsultingCompanys!D599</f>
        <v>Stiftelsen Kirkens Bymisjon</v>
      </c>
      <c r="R599" s="102">
        <f>tbl_ConsultingCompanys!C599</f>
        <v>247747</v>
      </c>
      <c r="S599" s="102" t="str">
        <f t="shared" si="29"/>
        <v>Stiftelsen Kirkens Bymisjon</v>
      </c>
    </row>
    <row r="600" spans="11:19" x14ac:dyDescent="0.15">
      <c r="K600" s="102">
        <f>tbl_ArchitectureOffices!D600</f>
        <v>0</v>
      </c>
      <c r="L600" s="102">
        <f>tbl_ArchitectureOffices!C600</f>
        <v>0</v>
      </c>
      <c r="M600" s="102">
        <f t="shared" si="27"/>
        <v>0</v>
      </c>
      <c r="N600" s="102" t="str">
        <f>tbl_Companys!D600</f>
        <v>Konsulentfirma</v>
      </c>
      <c r="O600" s="102">
        <f>tbl_Companys!C600</f>
        <v>249382</v>
      </c>
      <c r="P600" s="102" t="str">
        <f t="shared" si="28"/>
        <v>Konsulentfirma</v>
      </c>
      <c r="Q600" s="102" t="str">
        <f>tbl_ConsultingCompanys!D600</f>
        <v xml:space="preserve">Stiftelsen Østfoldforskning </v>
      </c>
      <c r="R600" s="102">
        <f>tbl_ConsultingCompanys!C600</f>
        <v>110820</v>
      </c>
      <c r="S600" s="102" t="str">
        <f t="shared" si="29"/>
        <v>Stiftelsen Østfoldforskning</v>
      </c>
    </row>
    <row r="601" spans="11:19" x14ac:dyDescent="0.15">
      <c r="K601" s="102">
        <f>tbl_ArchitectureOffices!D601</f>
        <v>0</v>
      </c>
      <c r="L601" s="102">
        <f>tbl_ArchitectureOffices!C601</f>
        <v>0</v>
      </c>
      <c r="M601" s="102">
        <f t="shared" si="27"/>
        <v>0</v>
      </c>
      <c r="N601" s="102" t="str">
        <f>tbl_Companys!D601</f>
        <v>Konsulentfirmaet i trondheim på kantstein</v>
      </c>
      <c r="O601" s="102">
        <f>tbl_Companys!C601</f>
        <v>212106</v>
      </c>
      <c r="P601" s="102" t="str">
        <f t="shared" si="28"/>
        <v>Konsulentfirmaet i trondheim på kantstein</v>
      </c>
      <c r="Q601" s="102" t="str">
        <f>tbl_ConsultingCompanys!D601</f>
        <v>Stjern AS</v>
      </c>
      <c r="R601" s="102">
        <f>tbl_ConsultingCompanys!C601</f>
        <v>110280</v>
      </c>
      <c r="S601" s="102" t="str">
        <f t="shared" si="29"/>
        <v>Stjern AS</v>
      </c>
    </row>
    <row r="602" spans="11:19" x14ac:dyDescent="0.15">
      <c r="K602" s="102">
        <f>tbl_ArchitectureOffices!D602</f>
        <v>0</v>
      </c>
      <c r="L602" s="102">
        <f>tbl_ArchitectureOffices!C602</f>
        <v>0</v>
      </c>
      <c r="M602" s="102">
        <f t="shared" si="27"/>
        <v>0</v>
      </c>
      <c r="N602" s="102" t="str">
        <f>tbl_Companys!D602</f>
        <v>Kosbergs Arkitektkontor AS</v>
      </c>
      <c r="O602" s="102">
        <f>tbl_Companys!C602</f>
        <v>171783</v>
      </c>
      <c r="P602" s="102" t="str">
        <f t="shared" si="28"/>
        <v>Kosbergs Arkitektkontor AS</v>
      </c>
      <c r="Q602" s="102" t="str">
        <f>tbl_ConsultingCompanys!D602</f>
        <v xml:space="preserve">Stjern Entreprenør AS Åfjord (SUB-lugarer) </v>
      </c>
      <c r="R602" s="102">
        <f>tbl_ConsultingCompanys!C602</f>
        <v>230106</v>
      </c>
      <c r="S602" s="102" t="str">
        <f t="shared" si="29"/>
        <v>Stjern Entreprenør AS Åfjord (SUB-lugarer)</v>
      </c>
    </row>
    <row r="603" spans="11:19" x14ac:dyDescent="0.15">
      <c r="K603" s="102">
        <f>tbl_ArchitectureOffices!D603</f>
        <v>0</v>
      </c>
      <c r="L603" s="102">
        <f>tbl_ArchitectureOffices!C603</f>
        <v>0</v>
      </c>
      <c r="M603" s="102">
        <f t="shared" si="27"/>
        <v>0</v>
      </c>
      <c r="N603" s="102" t="str">
        <f>tbl_Companys!D603</f>
        <v>Kraft arkitektkontor as</v>
      </c>
      <c r="O603" s="102">
        <f>tbl_Companys!C603</f>
        <v>171782</v>
      </c>
      <c r="P603" s="102" t="str">
        <f t="shared" si="28"/>
        <v>Kraft arkitektkontor as</v>
      </c>
      <c r="Q603" s="102" t="str">
        <f>tbl_ConsultingCompanys!D603</f>
        <v>Stockholm Lighting AB</v>
      </c>
      <c r="R603" s="102">
        <f>tbl_ConsultingCompanys!C603</f>
        <v>233808</v>
      </c>
      <c r="S603" s="102" t="str">
        <f t="shared" si="29"/>
        <v>Stockholm Lighting AB</v>
      </c>
    </row>
    <row r="604" spans="11:19" x14ac:dyDescent="0.15">
      <c r="K604" s="102">
        <f>tbl_ArchitectureOffices!D604</f>
        <v>0</v>
      </c>
      <c r="L604" s="102">
        <f>tbl_ArchitectureOffices!C604</f>
        <v>0</v>
      </c>
      <c r="M604" s="102">
        <f t="shared" si="27"/>
        <v>0</v>
      </c>
      <c r="N604" s="102" t="str">
        <f>tbl_Companys!D604</f>
        <v>Krisesenteret i Telemark</v>
      </c>
      <c r="O604" s="102">
        <f>tbl_Companys!C604</f>
        <v>217042</v>
      </c>
      <c r="P604" s="102" t="str">
        <f t="shared" si="28"/>
        <v>Krisesenteret i Telemark</v>
      </c>
      <c r="Q604" s="102" t="str">
        <f>tbl_ConsultingCompanys!D604</f>
        <v>Stokke Stål AS Fundamenter og betongkonstruksjoner; Dr. Ing. Olav Olsen AS (vindskjermer)</v>
      </c>
      <c r="R604" s="102">
        <f>tbl_ConsultingCompanys!C604</f>
        <v>155184</v>
      </c>
      <c r="S604" s="102" t="str">
        <f t="shared" si="29"/>
        <v>Stokke Stål AS Fundamenter og betongkonstruksjoner; Dr. Ing. Olav Olsen AS (vindskjermer)</v>
      </c>
    </row>
    <row r="605" spans="11:19" x14ac:dyDescent="0.15">
      <c r="K605" s="102">
        <f>tbl_ArchitectureOffices!D605</f>
        <v>0</v>
      </c>
      <c r="L605" s="102">
        <f>tbl_ArchitectureOffices!C605</f>
        <v>0</v>
      </c>
      <c r="M605" s="102">
        <f t="shared" si="27"/>
        <v>0</v>
      </c>
      <c r="N605" s="102" t="str">
        <f>tbl_Companys!D605</f>
        <v>Kristian Fadum AS</v>
      </c>
      <c r="O605" s="102">
        <f>tbl_Companys!C605</f>
        <v>112307</v>
      </c>
      <c r="P605" s="102" t="str">
        <f t="shared" si="28"/>
        <v>Kristian Fadum AS</v>
      </c>
      <c r="Q605" s="102" t="str">
        <f>tbl_ConsultingCompanys!D605</f>
        <v>Stokke Stål AS Fundamenter og betongkonstruksjoner; Dr. Ing. Olav Olsen AS (vindskjermer)</v>
      </c>
      <c r="R605" s="102">
        <f>tbl_ConsultingCompanys!C605</f>
        <v>155187</v>
      </c>
      <c r="S605" s="102" t="str">
        <f t="shared" si="29"/>
        <v>Stokke Stål AS Fundamenter og betongkonstruksjoner; Dr. Ing. Olav Olsen AS (vindskjermer)</v>
      </c>
    </row>
    <row r="606" spans="11:19" x14ac:dyDescent="0.15">
      <c r="K606" s="102">
        <f>tbl_ArchitectureOffices!D606</f>
        <v>0</v>
      </c>
      <c r="L606" s="102">
        <f>tbl_ArchitectureOffices!C606</f>
        <v>0</v>
      </c>
      <c r="M606" s="102">
        <f t="shared" si="27"/>
        <v>0</v>
      </c>
      <c r="N606" s="102" t="str">
        <f>tbl_Companys!D606</f>
        <v>Kristiansand kommune</v>
      </c>
      <c r="O606" s="102">
        <f>tbl_Companys!C606</f>
        <v>157560</v>
      </c>
      <c r="P606" s="102" t="str">
        <f t="shared" si="28"/>
        <v>Kristiansand kommune</v>
      </c>
      <c r="Q606" s="102" t="str">
        <f>tbl_ConsultingCompanys!D606</f>
        <v>Stoltz Røthing AS</v>
      </c>
      <c r="R606" s="102">
        <f>tbl_ConsultingCompanys!C606</f>
        <v>228271</v>
      </c>
      <c r="S606" s="102" t="str">
        <f t="shared" si="29"/>
        <v>Stoltz Røthing AS</v>
      </c>
    </row>
    <row r="607" spans="11:19" x14ac:dyDescent="0.15">
      <c r="K607" s="102">
        <f>tbl_ArchitectureOffices!D607</f>
        <v>0</v>
      </c>
      <c r="L607" s="102">
        <f>tbl_ArchitectureOffices!C607</f>
        <v>0</v>
      </c>
      <c r="M607" s="102">
        <f t="shared" si="27"/>
        <v>0</v>
      </c>
      <c r="N607" s="102" t="str">
        <f>tbl_Companys!D607</f>
        <v>Kristiansand kommune</v>
      </c>
      <c r="O607" s="102">
        <f>tbl_Companys!C607</f>
        <v>157561</v>
      </c>
      <c r="P607" s="102" t="str">
        <f t="shared" si="28"/>
        <v>Kristiansand kommune</v>
      </c>
      <c r="Q607" s="102" t="str">
        <f>tbl_ConsultingCompanys!D607</f>
        <v>Storebrand Livsforsikring v/Storebrand Eiendom AS</v>
      </c>
      <c r="R607" s="102">
        <f>tbl_ConsultingCompanys!C607</f>
        <v>202313</v>
      </c>
      <c r="S607" s="102" t="str">
        <f t="shared" si="29"/>
        <v>Storebrand Livsforsikring v/Storebrand Eiendom AS</v>
      </c>
    </row>
    <row r="608" spans="11:19" x14ac:dyDescent="0.15">
      <c r="K608" s="102">
        <f>tbl_ArchitectureOffices!D608</f>
        <v>0</v>
      </c>
      <c r="L608" s="102">
        <f>tbl_ArchitectureOffices!C608</f>
        <v>0</v>
      </c>
      <c r="M608" s="102">
        <f t="shared" si="27"/>
        <v>0</v>
      </c>
      <c r="N608" s="102" t="str">
        <f>tbl_Companys!D608</f>
        <v>Kristiansand kommune v/Kristiansand Eiendom</v>
      </c>
      <c r="O608" s="102">
        <f>tbl_Companys!C608</f>
        <v>216994</v>
      </c>
      <c r="P608" s="102" t="str">
        <f t="shared" si="28"/>
        <v>Kristiansand kommune v/Kristiansand Eiendom</v>
      </c>
      <c r="Q608" s="102" t="str">
        <f>tbl_ConsultingCompanys!D608</f>
        <v>Stormorken og Hamre AS</v>
      </c>
      <c r="R608" s="102">
        <f>tbl_ConsultingCompanys!C608</f>
        <v>214725</v>
      </c>
      <c r="S608" s="102" t="str">
        <f t="shared" si="29"/>
        <v>Stormorken og Hamre AS</v>
      </c>
    </row>
    <row r="609" spans="11:19" x14ac:dyDescent="0.15">
      <c r="K609" s="102">
        <f>tbl_ArchitectureOffices!D609</f>
        <v>0</v>
      </c>
      <c r="L609" s="102">
        <f>tbl_ArchitectureOffices!C609</f>
        <v>0</v>
      </c>
      <c r="M609" s="102">
        <f t="shared" si="27"/>
        <v>0</v>
      </c>
      <c r="N609" s="102" t="str">
        <f>tbl_Companys!D609</f>
        <v xml:space="preserve">Kristiansen &amp; Bernhardt Arkitekter MNAL NPA, AS </v>
      </c>
      <c r="O609" s="102">
        <f>tbl_Companys!C609</f>
        <v>171825</v>
      </c>
      <c r="P609" s="102" t="str">
        <f t="shared" si="28"/>
        <v>Kristiansen &amp; Bernhardt Arkitekter MNAL NPA, AS</v>
      </c>
      <c r="Q609" s="102" t="str">
        <f>tbl_ConsultingCompanys!D609</f>
        <v>Stor-Oslo Prosjekt AS</v>
      </c>
      <c r="R609" s="102">
        <f>tbl_ConsultingCompanys!C609</f>
        <v>246738</v>
      </c>
      <c r="S609" s="102" t="str">
        <f t="shared" si="29"/>
        <v>Stor-Oslo Prosjekt AS</v>
      </c>
    </row>
    <row r="610" spans="11:19" x14ac:dyDescent="0.15">
      <c r="K610" s="102">
        <f>tbl_ArchitectureOffices!D610</f>
        <v>0</v>
      </c>
      <c r="L610" s="102">
        <f>tbl_ArchitectureOffices!C610</f>
        <v>0</v>
      </c>
      <c r="M610" s="102">
        <f t="shared" si="27"/>
        <v>0</v>
      </c>
      <c r="N610" s="102" t="str">
        <f>tbl_Companys!D610</f>
        <v>Kristiansen &amp; Selmer - Olsen AS</v>
      </c>
      <c r="O610" s="102">
        <f>tbl_Companys!C610</f>
        <v>173040</v>
      </c>
      <c r="P610" s="102" t="str">
        <f t="shared" si="28"/>
        <v>Kristiansen &amp; Selmer - Olsen AS</v>
      </c>
      <c r="Q610" s="102" t="str">
        <f>tbl_ConsultingCompanys!D610</f>
        <v>Strand forskaling (betong)</v>
      </c>
      <c r="R610" s="102">
        <f>tbl_ConsultingCompanys!C610</f>
        <v>162878</v>
      </c>
      <c r="S610" s="102" t="str">
        <f t="shared" si="29"/>
        <v>Strand forskaling (betong)</v>
      </c>
    </row>
    <row r="611" spans="11:19" x14ac:dyDescent="0.15">
      <c r="K611" s="102">
        <f>tbl_ArchitectureOffices!D611</f>
        <v>0</v>
      </c>
      <c r="L611" s="102">
        <f>tbl_ArchitectureOffices!C611</f>
        <v>0</v>
      </c>
      <c r="M611" s="102">
        <f t="shared" si="27"/>
        <v>0</v>
      </c>
      <c r="N611" s="102" t="str">
        <f>tbl_Companys!D611</f>
        <v>Kritt Arkitekter AS</v>
      </c>
      <c r="O611" s="102">
        <f>tbl_Companys!C611</f>
        <v>171781</v>
      </c>
      <c r="P611" s="102" t="str">
        <f t="shared" si="28"/>
        <v>Kritt Arkitekter AS</v>
      </c>
      <c r="Q611" s="102" t="str">
        <f>tbl_ConsultingCompanys!D611</f>
        <v>Straume AS</v>
      </c>
      <c r="R611" s="102">
        <f>tbl_ConsultingCompanys!C611</f>
        <v>218046</v>
      </c>
      <c r="S611" s="102" t="str">
        <f t="shared" si="29"/>
        <v>Straume AS</v>
      </c>
    </row>
    <row r="612" spans="11:19" x14ac:dyDescent="0.15">
      <c r="K612" s="102">
        <f>tbl_ArchitectureOffices!D612</f>
        <v>0</v>
      </c>
      <c r="L612" s="102">
        <f>tbl_ArchitectureOffices!C612</f>
        <v>0</v>
      </c>
      <c r="M612" s="102">
        <f t="shared" si="27"/>
        <v>0</v>
      </c>
      <c r="N612" s="102" t="str">
        <f>tbl_Companys!D612</f>
        <v xml:space="preserve">Krogness Arkitekt MNAL, Ole A. </v>
      </c>
      <c r="O612" s="102">
        <f>tbl_Companys!C612</f>
        <v>171780</v>
      </c>
      <c r="P612" s="102" t="str">
        <f t="shared" si="28"/>
        <v>Krogness Arkitekt MNAL, Ole A.</v>
      </c>
      <c r="Q612" s="102" t="str">
        <f>tbl_ConsultingCompanys!D612</f>
        <v>Structura AS</v>
      </c>
      <c r="R612" s="102">
        <f>tbl_ConsultingCompanys!C612</f>
        <v>162912</v>
      </c>
      <c r="S612" s="102" t="str">
        <f t="shared" si="29"/>
        <v>Structura AS</v>
      </c>
    </row>
    <row r="613" spans="11:19" x14ac:dyDescent="0.15">
      <c r="K613" s="102">
        <f>tbl_ArchitectureOffices!D613</f>
        <v>0</v>
      </c>
      <c r="L613" s="102">
        <f>tbl_ArchitectureOffices!C613</f>
        <v>0</v>
      </c>
      <c r="M613" s="102">
        <f t="shared" si="27"/>
        <v>0</v>
      </c>
      <c r="N613" s="102" t="str">
        <f>tbl_Companys!D613</f>
        <v xml:space="preserve">Kronen AS sivilarkitekt MNAL, Bente </v>
      </c>
      <c r="O613" s="102">
        <f>tbl_Companys!C613</f>
        <v>172648</v>
      </c>
      <c r="P613" s="102" t="str">
        <f t="shared" si="28"/>
        <v>Kronen AS sivilarkitekt MNAL, Bente</v>
      </c>
      <c r="Q613" s="102" t="str">
        <f>tbl_ConsultingCompanys!D613</f>
        <v>Structura AS (Roberth Nøsen)</v>
      </c>
      <c r="R613" s="102">
        <f>tbl_ConsultingCompanys!C613</f>
        <v>162921</v>
      </c>
      <c r="S613" s="102" t="str">
        <f t="shared" si="29"/>
        <v>Structura AS (Roberth Nøsen)</v>
      </c>
    </row>
    <row r="614" spans="11:19" x14ac:dyDescent="0.15">
      <c r="K614" s="102">
        <f>tbl_ArchitectureOffices!D614</f>
        <v>0</v>
      </c>
      <c r="L614" s="102">
        <f>tbl_ArchitectureOffices!C614</f>
        <v>0</v>
      </c>
      <c r="M614" s="102">
        <f t="shared" si="27"/>
        <v>0</v>
      </c>
      <c r="N614" s="102" t="str">
        <f>tbl_Companys!D614</f>
        <v>KRS-gruppen</v>
      </c>
      <c r="O614" s="102">
        <f>tbl_Companys!C614</f>
        <v>103160</v>
      </c>
      <c r="P614" s="102" t="str">
        <f t="shared" si="28"/>
        <v>KRS-gruppen</v>
      </c>
      <c r="Q614" s="102" t="str">
        <f>tbl_ConsultingCompanys!D614</f>
        <v>Strøm Gundersen AS</v>
      </c>
      <c r="R614" s="102">
        <f>tbl_ConsultingCompanys!C614</f>
        <v>228043</v>
      </c>
      <c r="S614" s="102" t="str">
        <f t="shared" si="29"/>
        <v>Strøm Gundersen AS</v>
      </c>
    </row>
    <row r="615" spans="11:19" x14ac:dyDescent="0.15">
      <c r="K615" s="102">
        <f>tbl_ArchitectureOffices!D615</f>
        <v>0</v>
      </c>
      <c r="L615" s="102">
        <f>tbl_ArchitectureOffices!C615</f>
        <v>0</v>
      </c>
      <c r="M615" s="102">
        <f t="shared" si="27"/>
        <v>0</v>
      </c>
      <c r="N615" s="102" t="str">
        <f>tbl_Companys!D615</f>
        <v>Kruse Smith (Arvid Fredriksen)</v>
      </c>
      <c r="O615" s="102">
        <f>tbl_Companys!C615</f>
        <v>158200</v>
      </c>
      <c r="P615" s="102" t="str">
        <f t="shared" si="28"/>
        <v>Kruse Smith (Arvid Fredriksen)</v>
      </c>
      <c r="Q615" s="102" t="str">
        <f>tbl_ConsultingCompanys!D615</f>
        <v>Studentsamskibnaden i Oslo</v>
      </c>
      <c r="R615" s="102">
        <f>tbl_ConsultingCompanys!C615</f>
        <v>160574</v>
      </c>
      <c r="S615" s="102" t="str">
        <f t="shared" si="29"/>
        <v>Studentsamskibnaden i Oslo</v>
      </c>
    </row>
    <row r="616" spans="11:19" x14ac:dyDescent="0.15">
      <c r="K616" s="102">
        <f>tbl_ArchitectureOffices!D616</f>
        <v>0</v>
      </c>
      <c r="L616" s="102">
        <f>tbl_ArchitectureOffices!C616</f>
        <v>0</v>
      </c>
      <c r="M616" s="102">
        <f t="shared" si="27"/>
        <v>0</v>
      </c>
      <c r="N616" s="102" t="str">
        <f>tbl_Companys!D616</f>
        <v>Kruse Smith (Hans Ragnar Uthus)</v>
      </c>
      <c r="O616" s="102">
        <f>tbl_Companys!C616</f>
        <v>155932</v>
      </c>
      <c r="P616" s="102" t="str">
        <f t="shared" si="28"/>
        <v>Kruse Smith (Hans Ragnar Uthus)</v>
      </c>
      <c r="Q616" s="102" t="str">
        <f>tbl_ConsultingCompanys!D616</f>
        <v>Studentsamskibnaden i Oslo</v>
      </c>
      <c r="R616" s="102">
        <f>tbl_ConsultingCompanys!C616</f>
        <v>160604</v>
      </c>
      <c r="S616" s="102" t="str">
        <f t="shared" si="29"/>
        <v>Studentsamskibnaden i Oslo</v>
      </c>
    </row>
    <row r="617" spans="11:19" x14ac:dyDescent="0.15">
      <c r="K617" s="102">
        <f>tbl_ArchitectureOffices!D617</f>
        <v>0</v>
      </c>
      <c r="L617" s="102">
        <f>tbl_ArchitectureOffices!C617</f>
        <v>0</v>
      </c>
      <c r="M617" s="102">
        <f t="shared" si="27"/>
        <v>0</v>
      </c>
      <c r="N617" s="102" t="str">
        <f>tbl_Companys!D617</f>
        <v>Kruse Smith Entreprenør AS</v>
      </c>
      <c r="O617" s="102">
        <f>tbl_Companys!C617</f>
        <v>155929</v>
      </c>
      <c r="P617" s="102" t="str">
        <f t="shared" si="28"/>
        <v>Kruse Smith Entreprenør AS</v>
      </c>
      <c r="Q617" s="102" t="str">
        <f>tbl_ConsultingCompanys!D617</f>
        <v>Studentsamskipnaden i Trondheim (SiT)</v>
      </c>
      <c r="R617" s="102">
        <f>tbl_ConsultingCompanys!C617</f>
        <v>165386</v>
      </c>
      <c r="S617" s="102" t="str">
        <f t="shared" si="29"/>
        <v>Studentsamskipnaden i Trondheim (SiT)</v>
      </c>
    </row>
    <row r="618" spans="11:19" x14ac:dyDescent="0.15">
      <c r="K618" s="102">
        <f>tbl_ArchitectureOffices!D618</f>
        <v>0</v>
      </c>
      <c r="L618" s="102">
        <f>tbl_ArchitectureOffices!C618</f>
        <v>0</v>
      </c>
      <c r="M618" s="102">
        <f t="shared" si="27"/>
        <v>0</v>
      </c>
      <c r="N618" s="102" t="str">
        <f>tbl_Companys!D618</f>
        <v>Kry sivilarkitekt mnal, Geir Cock</v>
      </c>
      <c r="O618" s="102">
        <f>tbl_Companys!C618</f>
        <v>171779</v>
      </c>
      <c r="P618" s="102" t="str">
        <f t="shared" si="28"/>
        <v>Kry sivilarkitekt mnal, Geir Cock</v>
      </c>
      <c r="Q618" s="102" t="str">
        <f>tbl_ConsultingCompanys!D618</f>
        <v>Stærk &amp; Co AS (RIB/RIBr)</v>
      </c>
      <c r="R618" s="102">
        <f>tbl_ConsultingCompanys!C618</f>
        <v>160690</v>
      </c>
      <c r="S618" s="102" t="str">
        <f t="shared" si="29"/>
        <v>Stærk &amp; Co AS (RIB/RIBr)</v>
      </c>
    </row>
    <row r="619" spans="11:19" x14ac:dyDescent="0.15">
      <c r="K619" s="102">
        <f>tbl_ArchitectureOffices!D619</f>
        <v>0</v>
      </c>
      <c r="L619" s="102">
        <f>tbl_ArchitectureOffices!C619</f>
        <v>0</v>
      </c>
      <c r="M619" s="102">
        <f t="shared" si="27"/>
        <v>0</v>
      </c>
      <c r="N619" s="102" t="str">
        <f>tbl_Companys!D619</f>
        <v>Kuben Arkitektkontor</v>
      </c>
      <c r="O619" s="102">
        <f>tbl_Companys!C619</f>
        <v>243552</v>
      </c>
      <c r="P619" s="102" t="str">
        <f t="shared" si="28"/>
        <v>Kuben Arkitektkontor</v>
      </c>
      <c r="Q619" s="102" t="str">
        <f>tbl_ConsultingCompanys!D619</f>
        <v>Støltun</v>
      </c>
      <c r="R619" s="102">
        <f>tbl_ConsultingCompanys!C619</f>
        <v>201860</v>
      </c>
      <c r="S619" s="102" t="str">
        <f t="shared" si="29"/>
        <v>Støltun</v>
      </c>
    </row>
    <row r="620" spans="11:19" x14ac:dyDescent="0.15">
      <c r="K620" s="102">
        <f>tbl_ArchitectureOffices!D620</f>
        <v>0</v>
      </c>
      <c r="L620" s="102">
        <f>tbl_ArchitectureOffices!C620</f>
        <v>0</v>
      </c>
      <c r="M620" s="102">
        <f t="shared" si="27"/>
        <v>0</v>
      </c>
      <c r="N620" s="102" t="str">
        <f>tbl_Companys!D620</f>
        <v xml:space="preserve">Kvadrat as, Arkitektkontoret </v>
      </c>
      <c r="O620" s="102">
        <f>tbl_Companys!C620</f>
        <v>171778</v>
      </c>
      <c r="P620" s="102" t="str">
        <f t="shared" si="28"/>
        <v>Kvadrat as, Arkitektkontoret</v>
      </c>
      <c r="Q620" s="102" t="str">
        <f>tbl_ConsultingCompanys!D620</f>
        <v>Svartlamoen boligstiftelse</v>
      </c>
      <c r="R620" s="102">
        <f>tbl_ConsultingCompanys!C620</f>
        <v>160586</v>
      </c>
      <c r="S620" s="102" t="str">
        <f t="shared" si="29"/>
        <v>Svartlamoen boligstiftelse</v>
      </c>
    </row>
    <row r="621" spans="11:19" x14ac:dyDescent="0.15">
      <c r="K621" s="102">
        <f>tbl_ArchitectureOffices!D621</f>
        <v>0</v>
      </c>
      <c r="L621" s="102">
        <f>tbl_ArchitectureOffices!C621</f>
        <v>0</v>
      </c>
      <c r="M621" s="102">
        <f t="shared" si="27"/>
        <v>0</v>
      </c>
      <c r="N621" s="102" t="str">
        <f>tbl_Companys!D621</f>
        <v>Kvalvik &amp; Kaada Arkitekter AS</v>
      </c>
      <c r="O621" s="102">
        <f>tbl_Companys!C621</f>
        <v>216490</v>
      </c>
      <c r="P621" s="102" t="str">
        <f t="shared" si="28"/>
        <v>Kvalvik &amp; Kaada Arkitekter AS</v>
      </c>
      <c r="Q621" s="102" t="str">
        <f>tbl_ConsultingCompanys!D621</f>
        <v>Svartlamoen boligstiftelse / Trondheim kommune</v>
      </c>
      <c r="R621" s="102">
        <f>tbl_ConsultingCompanys!C621</f>
        <v>217121</v>
      </c>
      <c r="S621" s="102" t="str">
        <f t="shared" si="29"/>
        <v>Svartlamoen boligstiftelse / Trondheim kommune</v>
      </c>
    </row>
    <row r="622" spans="11:19" x14ac:dyDescent="0.15">
      <c r="K622" s="102">
        <f>tbl_ArchitectureOffices!D622</f>
        <v>0</v>
      </c>
      <c r="L622" s="102">
        <f>tbl_ArchitectureOffices!C622</f>
        <v>0</v>
      </c>
      <c r="M622" s="102">
        <f t="shared" si="27"/>
        <v>0</v>
      </c>
      <c r="N622" s="102" t="str">
        <f>tbl_Companys!D622</f>
        <v>Kvam og Skjønsberg AS sivilarkitekter MNAL</v>
      </c>
      <c r="O622" s="102">
        <f>tbl_Companys!C622</f>
        <v>171777</v>
      </c>
      <c r="P622" s="102" t="str">
        <f t="shared" si="28"/>
        <v>Kvam og Skjønsberg AS sivilarkitekter MNAL</v>
      </c>
      <c r="Q622" s="102" t="str">
        <f>tbl_ConsultingCompanys!D622</f>
        <v>Svein Aase</v>
      </c>
      <c r="R622" s="102">
        <f>tbl_ConsultingCompanys!C622</f>
        <v>172878</v>
      </c>
      <c r="S622" s="102" t="str">
        <f t="shared" si="29"/>
        <v>Svein Aase</v>
      </c>
    </row>
    <row r="623" spans="11:19" x14ac:dyDescent="0.15">
      <c r="K623" s="102">
        <f>tbl_ArchitectureOffices!D623</f>
        <v>0</v>
      </c>
      <c r="L623" s="102">
        <f>tbl_ArchitectureOffices!C623</f>
        <v>0</v>
      </c>
      <c r="M623" s="102">
        <f t="shared" si="27"/>
        <v>0</v>
      </c>
      <c r="N623" s="102" t="str">
        <f>tbl_Companys!D623</f>
        <v>Kvartal 19 Arkitektkontor AS</v>
      </c>
      <c r="O623" s="102">
        <f>tbl_Companys!C623</f>
        <v>215574</v>
      </c>
      <c r="P623" s="102" t="str">
        <f t="shared" si="28"/>
        <v>Kvartal 19 Arkitektkontor AS</v>
      </c>
      <c r="Q623" s="102" t="str">
        <f>tbl_ConsultingCompanys!D623</f>
        <v>Svein Arne Bøyum</v>
      </c>
      <c r="R623" s="102">
        <f>tbl_ConsultingCompanys!C623</f>
        <v>215411</v>
      </c>
      <c r="S623" s="102" t="str">
        <f t="shared" si="29"/>
        <v>Svein Arne Bøyum</v>
      </c>
    </row>
    <row r="624" spans="11:19" x14ac:dyDescent="0.15">
      <c r="K624" s="102">
        <f>tbl_ArchitectureOffices!D624</f>
        <v>0</v>
      </c>
      <c r="L624" s="102">
        <f>tbl_ArchitectureOffices!C624</f>
        <v>0</v>
      </c>
      <c r="M624" s="102">
        <f t="shared" si="27"/>
        <v>0</v>
      </c>
      <c r="N624" s="102" t="str">
        <f>tbl_Companys!D624</f>
        <v>KVARTS arkitekter as</v>
      </c>
      <c r="O624" s="102">
        <f>tbl_Companys!C624</f>
        <v>249528</v>
      </c>
      <c r="P624" s="102" t="str">
        <f t="shared" si="28"/>
        <v>KVARTS arkitekter as</v>
      </c>
      <c r="Q624" s="102" t="str">
        <f>tbl_ConsultingCompanys!D624</f>
        <v>Svein Boasson AS</v>
      </c>
      <c r="R624" s="102">
        <f>tbl_ConsultingCompanys!C624</f>
        <v>182797</v>
      </c>
      <c r="S624" s="102" t="str">
        <f t="shared" si="29"/>
        <v>Svein Boasson AS</v>
      </c>
    </row>
    <row r="625" spans="11:19" x14ac:dyDescent="0.15">
      <c r="K625" s="102">
        <f>tbl_ArchitectureOffices!D625</f>
        <v>0</v>
      </c>
      <c r="L625" s="102">
        <f>tbl_ArchitectureOffices!C625</f>
        <v>0</v>
      </c>
      <c r="M625" s="102">
        <f t="shared" si="27"/>
        <v>0</v>
      </c>
      <c r="N625" s="102" t="str">
        <f>tbl_Companys!D625</f>
        <v>Kvernaas Arkitekter A/S</v>
      </c>
      <c r="O625" s="102">
        <f>tbl_Companys!C625</f>
        <v>171773</v>
      </c>
      <c r="P625" s="102" t="str">
        <f t="shared" si="28"/>
        <v>Kvernaas Arkitekter A/S</v>
      </c>
      <c r="Q625" s="102" t="str">
        <f>tbl_ConsultingCompanys!D625</f>
        <v>Svein Søvik AS</v>
      </c>
      <c r="R625" s="102">
        <f>tbl_ConsultingCompanys!C625</f>
        <v>101074</v>
      </c>
      <c r="S625" s="102" t="str">
        <f t="shared" si="29"/>
        <v>Svein Søvik AS</v>
      </c>
    </row>
    <row r="626" spans="11:19" x14ac:dyDescent="0.15">
      <c r="K626" s="102">
        <f>tbl_ArchitectureOffices!D626</f>
        <v>0</v>
      </c>
      <c r="L626" s="102">
        <f>tbl_ArchitectureOffices!C626</f>
        <v>0</v>
      </c>
      <c r="M626" s="102">
        <f t="shared" si="27"/>
        <v>0</v>
      </c>
      <c r="N626" s="102" t="str">
        <f>tbl_Companys!D626</f>
        <v>L.O.F. Arkitekter MNAL AS</v>
      </c>
      <c r="O626" s="102">
        <f>tbl_Companys!C626</f>
        <v>171724</v>
      </c>
      <c r="P626" s="102" t="str">
        <f t="shared" si="28"/>
        <v>L.O.F. Arkitekter MNAL AS</v>
      </c>
      <c r="Q626" s="102" t="str">
        <f>tbl_ConsultingCompanys!D626</f>
        <v>Svein Søvik AS</v>
      </c>
      <c r="R626" s="102">
        <f>tbl_ConsultingCompanys!C626</f>
        <v>119844</v>
      </c>
      <c r="S626" s="102" t="str">
        <f t="shared" si="29"/>
        <v>Svein Søvik AS</v>
      </c>
    </row>
    <row r="627" spans="11:19" x14ac:dyDescent="0.15">
      <c r="K627" s="102">
        <f>tbl_ArchitectureOffices!D627</f>
        <v>0</v>
      </c>
      <c r="L627" s="102">
        <f>tbl_ArchitectureOffices!C627</f>
        <v>0</v>
      </c>
      <c r="M627" s="102">
        <f t="shared" si="27"/>
        <v>0</v>
      </c>
      <c r="N627" s="102" t="str">
        <f>tbl_Companys!D627</f>
        <v>L2 Arkitekter AS</v>
      </c>
      <c r="O627" s="102">
        <f>tbl_Companys!C627</f>
        <v>171719</v>
      </c>
      <c r="P627" s="102" t="str">
        <f t="shared" si="28"/>
        <v>L2 Arkitekter AS</v>
      </c>
      <c r="Q627" s="102" t="str">
        <f>tbl_ConsultingCompanys!D627</f>
        <v>Sveio Kommune</v>
      </c>
      <c r="R627" s="102">
        <f>tbl_ConsultingCompanys!C627</f>
        <v>158055</v>
      </c>
      <c r="S627" s="102" t="str">
        <f t="shared" si="29"/>
        <v>Sveio Kommune</v>
      </c>
    </row>
    <row r="628" spans="11:19" x14ac:dyDescent="0.15">
      <c r="K628" s="102">
        <f>tbl_ArchitectureOffices!D628</f>
        <v>0</v>
      </c>
      <c r="L628" s="102">
        <f>tbl_ArchitectureOffices!C628</f>
        <v>0</v>
      </c>
      <c r="M628" s="102">
        <f t="shared" si="27"/>
        <v>0</v>
      </c>
      <c r="N628" s="102" t="str">
        <f>tbl_Companys!D628</f>
        <v>landsbyarkitektene as</v>
      </c>
      <c r="O628" s="102">
        <f>tbl_Companys!C628</f>
        <v>171734</v>
      </c>
      <c r="P628" s="102" t="str">
        <f t="shared" si="28"/>
        <v>landsbyarkitektene as</v>
      </c>
      <c r="Q628" s="102" t="str">
        <f>tbl_ConsultingCompanys!D628</f>
        <v>Svendby Bygg Consult AS</v>
      </c>
      <c r="R628" s="102">
        <f>tbl_ConsultingCompanys!C628</f>
        <v>98697</v>
      </c>
      <c r="S628" s="102" t="str">
        <f t="shared" si="29"/>
        <v>Svendby Bygg Consult AS</v>
      </c>
    </row>
    <row r="629" spans="11:19" x14ac:dyDescent="0.15">
      <c r="K629" s="102">
        <f>tbl_ArchitectureOffices!D629</f>
        <v>0</v>
      </c>
      <c r="L629" s="102">
        <f>tbl_ArchitectureOffices!C629</f>
        <v>0</v>
      </c>
      <c r="M629" s="102">
        <f t="shared" si="27"/>
        <v>0</v>
      </c>
      <c r="N629" s="102" t="str">
        <f>tbl_Companys!D629</f>
        <v>Landskapsentreprenørene AS</v>
      </c>
      <c r="O629" s="102">
        <f>tbl_Companys!C629</f>
        <v>214836</v>
      </c>
      <c r="P629" s="102" t="str">
        <f t="shared" si="28"/>
        <v>Landskapsentreprenørene AS</v>
      </c>
      <c r="Q629" s="102" t="str">
        <f>tbl_ConsultingCompanys!D629</f>
        <v>Svenneby sag og høvleri (gulv)</v>
      </c>
      <c r="R629" s="102">
        <f>tbl_ConsultingCompanys!C629</f>
        <v>200375</v>
      </c>
      <c r="S629" s="102" t="str">
        <f t="shared" si="29"/>
        <v>Svenneby sag og høvleri (gulv)</v>
      </c>
    </row>
    <row r="630" spans="11:19" x14ac:dyDescent="0.15">
      <c r="K630" s="102">
        <f>tbl_ArchitectureOffices!D630</f>
        <v>0</v>
      </c>
      <c r="L630" s="102">
        <f>tbl_ArchitectureOffices!C630</f>
        <v>0</v>
      </c>
      <c r="M630" s="102">
        <f t="shared" si="27"/>
        <v>0</v>
      </c>
      <c r="N630" s="102" t="str">
        <f>tbl_Companys!D630</f>
        <v>Landskapsfabrikken</v>
      </c>
      <c r="O630" s="102">
        <f>tbl_Companys!C630</f>
        <v>243880</v>
      </c>
      <c r="P630" s="102" t="str">
        <f t="shared" si="28"/>
        <v>Landskapsfabrikken</v>
      </c>
      <c r="Q630" s="102" t="str">
        <f>tbl_ConsultingCompanys!D630</f>
        <v>Sweco</v>
      </c>
      <c r="R630" s="102">
        <f>tbl_ConsultingCompanys!C630</f>
        <v>218407</v>
      </c>
      <c r="S630" s="102" t="str">
        <f t="shared" si="29"/>
        <v>Sweco</v>
      </c>
    </row>
    <row r="631" spans="11:19" x14ac:dyDescent="0.15">
      <c r="K631" s="102">
        <f>tbl_ArchitectureOffices!D631</f>
        <v>0</v>
      </c>
      <c r="L631" s="102">
        <f>tbl_ArchitectureOffices!C631</f>
        <v>0</v>
      </c>
      <c r="M631" s="102">
        <f t="shared" si="27"/>
        <v>0</v>
      </c>
      <c r="N631" s="102" t="str">
        <f>tbl_Companys!D631</f>
        <v>Lars Myhre AS</v>
      </c>
      <c r="O631" s="102">
        <f>tbl_Companys!C631</f>
        <v>243866</v>
      </c>
      <c r="P631" s="102" t="str">
        <f t="shared" si="28"/>
        <v>Lars Myhre AS</v>
      </c>
      <c r="Q631" s="102" t="str">
        <f>tbl_ConsultingCompanys!D631</f>
        <v>Swedoor</v>
      </c>
      <c r="R631" s="102">
        <f>tbl_ConsultingCompanys!C631</f>
        <v>232351</v>
      </c>
      <c r="S631" s="102" t="str">
        <f t="shared" si="29"/>
        <v>Swedoor</v>
      </c>
    </row>
    <row r="632" spans="11:19" x14ac:dyDescent="0.15">
      <c r="K632" s="102">
        <f>tbl_ArchitectureOffices!D632</f>
        <v>0</v>
      </c>
      <c r="L632" s="102">
        <f>tbl_ArchitectureOffices!C632</f>
        <v>0</v>
      </c>
      <c r="M632" s="102">
        <f t="shared" si="27"/>
        <v>0</v>
      </c>
      <c r="N632" s="102" t="str">
        <f>tbl_Companys!D632</f>
        <v>Lars Myhre Østfold AS (RIV)</v>
      </c>
      <c r="O632" s="102">
        <f>tbl_Companys!C632</f>
        <v>215015</v>
      </c>
      <c r="P632" s="102" t="str">
        <f t="shared" si="28"/>
        <v>Lars Myhre Østfold AS (RIV)</v>
      </c>
      <c r="Q632" s="102" t="str">
        <f>tbl_ConsultingCompanys!D632</f>
        <v>System air</v>
      </c>
      <c r="R632" s="102">
        <f>tbl_ConsultingCompanys!C632</f>
        <v>119804</v>
      </c>
      <c r="S632" s="102" t="str">
        <f t="shared" si="29"/>
        <v>System air</v>
      </c>
    </row>
    <row r="633" spans="11:19" x14ac:dyDescent="0.15">
      <c r="K633" s="102">
        <f>tbl_ArchitectureOffices!D633</f>
        <v>0</v>
      </c>
      <c r="L633" s="102">
        <f>tbl_ArchitectureOffices!C633</f>
        <v>0</v>
      </c>
      <c r="M633" s="102">
        <f t="shared" si="27"/>
        <v>0</v>
      </c>
      <c r="N633" s="102" t="str">
        <f>tbl_Companys!D633</f>
        <v>Lars og Marit Nilssen</v>
      </c>
      <c r="O633" s="102">
        <f>tbl_Companys!C633</f>
        <v>160593</v>
      </c>
      <c r="P633" s="102" t="str">
        <f t="shared" si="28"/>
        <v>Lars og Marit Nilssen</v>
      </c>
      <c r="Q633" s="102" t="str">
        <f>tbl_ConsultingCompanys!D633</f>
        <v>Systemair AS</v>
      </c>
      <c r="R633" s="102">
        <f>tbl_ConsultingCompanys!C633</f>
        <v>172755</v>
      </c>
      <c r="S633" s="102" t="str">
        <f t="shared" si="29"/>
        <v>Systemair AS</v>
      </c>
    </row>
    <row r="634" spans="11:19" x14ac:dyDescent="0.15">
      <c r="K634" s="102">
        <f>tbl_ArchitectureOffices!D634</f>
        <v>0</v>
      </c>
      <c r="L634" s="102">
        <f>tbl_ArchitectureOffices!C634</f>
        <v>0</v>
      </c>
      <c r="M634" s="102">
        <f t="shared" si="27"/>
        <v>0</v>
      </c>
      <c r="N634" s="102" t="str">
        <f>tbl_Companys!D634</f>
        <v>Larsen Entreprenør AS</v>
      </c>
      <c r="O634" s="102">
        <f>tbl_Companys!C634</f>
        <v>178588</v>
      </c>
      <c r="P634" s="102" t="str">
        <f t="shared" si="28"/>
        <v>Larsen Entreprenør AS</v>
      </c>
      <c r="Q634" s="102" t="str">
        <f>tbl_ConsultingCompanys!D634</f>
        <v>Systemhus Norge AS</v>
      </c>
      <c r="R634" s="102">
        <f>tbl_ConsultingCompanys!C634</f>
        <v>120940</v>
      </c>
      <c r="S634" s="102" t="str">
        <f t="shared" si="29"/>
        <v>Systemhus Norge AS</v>
      </c>
    </row>
    <row r="635" spans="11:19" x14ac:dyDescent="0.15">
      <c r="K635" s="102">
        <f>tbl_ArchitectureOffices!D635</f>
        <v>0</v>
      </c>
      <c r="L635" s="102">
        <f>tbl_ArchitectureOffices!C635</f>
        <v>0</v>
      </c>
      <c r="M635" s="102">
        <f t="shared" si="27"/>
        <v>0</v>
      </c>
      <c r="N635" s="102" t="str">
        <f>tbl_Companys!D635</f>
        <v xml:space="preserve">Larsson A/S, K.E. </v>
      </c>
      <c r="O635" s="102">
        <f>tbl_Companys!C635</f>
        <v>171733</v>
      </c>
      <c r="P635" s="102" t="str">
        <f t="shared" si="28"/>
        <v>Larsson A/S, K.E.</v>
      </c>
      <c r="Q635" s="102" t="str">
        <f>tbl_ConsultingCompanys!D635</f>
        <v>Søbstad AS</v>
      </c>
      <c r="R635" s="102">
        <f>tbl_ConsultingCompanys!C635</f>
        <v>165404</v>
      </c>
      <c r="S635" s="102" t="str">
        <f t="shared" si="29"/>
        <v>Søbstad AS</v>
      </c>
    </row>
    <row r="636" spans="11:19" x14ac:dyDescent="0.15">
      <c r="K636" s="102">
        <f>tbl_ArchitectureOffices!D636</f>
        <v>0</v>
      </c>
      <c r="L636" s="102">
        <f>tbl_ArchitectureOffices!C636</f>
        <v>0</v>
      </c>
      <c r="M636" s="102">
        <f t="shared" si="27"/>
        <v>0</v>
      </c>
      <c r="N636" s="102" t="str">
        <f>tbl_Companys!D636</f>
        <v>Lead inc. as</v>
      </c>
      <c r="O636" s="102">
        <f>tbl_Companys!C636</f>
        <v>172586</v>
      </c>
      <c r="P636" s="102" t="str">
        <f t="shared" si="28"/>
        <v>Lead inc. as</v>
      </c>
      <c r="Q636" s="102" t="str">
        <f>tbl_ConsultingCompanys!D636</f>
        <v>Sør-Trøndelag fylkeskommune</v>
      </c>
      <c r="R636" s="102">
        <f>tbl_ConsultingCompanys!C636</f>
        <v>247323</v>
      </c>
      <c r="S636" s="102" t="str">
        <f t="shared" si="29"/>
        <v>Sør-Trøndelag fylkeskommune</v>
      </c>
    </row>
    <row r="637" spans="11:19" x14ac:dyDescent="0.15">
      <c r="K637" s="102">
        <f>tbl_ArchitectureOffices!D637</f>
        <v>0</v>
      </c>
      <c r="L637" s="102">
        <f>tbl_ArchitectureOffices!C637</f>
        <v>0</v>
      </c>
      <c r="M637" s="102">
        <f t="shared" si="27"/>
        <v>0</v>
      </c>
      <c r="N637" s="102" t="str">
        <f>tbl_Companys!D637</f>
        <v>Lerche Arkitekter AS</v>
      </c>
      <c r="O637" s="102">
        <f>tbl_Companys!C637</f>
        <v>171732</v>
      </c>
      <c r="P637" s="102" t="str">
        <f t="shared" si="28"/>
        <v>Lerche Arkitekter AS</v>
      </c>
      <c r="Q637" s="102" t="str">
        <f>tbl_ConsultingCompanys!D637</f>
        <v>T. Johansen Drift AS</v>
      </c>
      <c r="R637" s="102">
        <f>tbl_ConsultingCompanys!C637</f>
        <v>247731</v>
      </c>
      <c r="S637" s="102" t="str">
        <f t="shared" si="29"/>
        <v>T. Johansen Drift AS</v>
      </c>
    </row>
    <row r="638" spans="11:19" x14ac:dyDescent="0.15">
      <c r="K638" s="102">
        <f>tbl_ArchitectureOffices!D638</f>
        <v>0</v>
      </c>
      <c r="L638" s="102">
        <f>tbl_ArchitectureOffices!C638</f>
        <v>0</v>
      </c>
      <c r="M638" s="102">
        <f t="shared" si="27"/>
        <v>0</v>
      </c>
      <c r="N638" s="102" t="str">
        <f>tbl_Companys!D638</f>
        <v>Lerum Inc.</v>
      </c>
      <c r="O638" s="102">
        <f>tbl_Companys!C638</f>
        <v>171731</v>
      </c>
      <c r="P638" s="102" t="str">
        <f t="shared" si="28"/>
        <v>Lerum Inc.</v>
      </c>
      <c r="Q638" s="102" t="str">
        <f>tbl_ConsultingCompanys!D638</f>
        <v>Tangen Ing. og arkitektkontor</v>
      </c>
      <c r="R638" s="102">
        <f>tbl_ConsultingCompanys!C638</f>
        <v>213268</v>
      </c>
      <c r="S638" s="102" t="str">
        <f t="shared" si="29"/>
        <v>Tangen Ing. og arkitektkontor</v>
      </c>
    </row>
    <row r="639" spans="11:19" x14ac:dyDescent="0.15">
      <c r="K639" s="102">
        <f>tbl_ArchitectureOffices!D639</f>
        <v>0</v>
      </c>
      <c r="L639" s="102">
        <f>tbl_ArchitectureOffices!C639</f>
        <v>0</v>
      </c>
      <c r="M639" s="102">
        <f t="shared" si="27"/>
        <v>0</v>
      </c>
      <c r="N639" s="102" t="str">
        <f>tbl_Companys!D639</f>
        <v>Lervike AS</v>
      </c>
      <c r="O639" s="102">
        <f>tbl_Companys!C639</f>
        <v>247289</v>
      </c>
      <c r="P639" s="102" t="str">
        <f t="shared" si="28"/>
        <v>Lervike AS</v>
      </c>
      <c r="Q639" s="102" t="str">
        <f>tbl_ConsultingCompanys!D639</f>
        <v>Team Rør AS (rørlegger)</v>
      </c>
      <c r="R639" s="102">
        <f>tbl_ConsultingCompanys!C639</f>
        <v>155704</v>
      </c>
      <c r="S639" s="102" t="str">
        <f t="shared" si="29"/>
        <v>Team Rør AS (rørlegger)</v>
      </c>
    </row>
    <row r="640" spans="11:19" x14ac:dyDescent="0.15">
      <c r="K640" s="102">
        <f>tbl_ArchitectureOffices!D640</f>
        <v>0</v>
      </c>
      <c r="L640" s="102">
        <f>tbl_ArchitectureOffices!C640</f>
        <v>0</v>
      </c>
      <c r="M640" s="102">
        <f t="shared" si="27"/>
        <v>0</v>
      </c>
      <c r="N640" s="102" t="str">
        <f>tbl_Companys!D640</f>
        <v>LH Bygg Berkåk og Stjern Entreprenør AS Åfjord (Kysthus)</v>
      </c>
      <c r="O640" s="102">
        <f>tbl_Companys!C640</f>
        <v>230108</v>
      </c>
      <c r="P640" s="102" t="str">
        <f t="shared" si="28"/>
        <v>LH Bygg Berkåk og Stjern Entreprenør AS Åfjord (Kysthus)</v>
      </c>
      <c r="Q640" s="102" t="str">
        <f>tbl_ConsultingCompanys!D640</f>
        <v>Team St. Olav ANS</v>
      </c>
      <c r="R640" s="102">
        <f>tbl_ConsultingCompanys!C640</f>
        <v>243128</v>
      </c>
      <c r="S640" s="102" t="str">
        <f t="shared" si="29"/>
        <v>Team St. Olav ANS</v>
      </c>
    </row>
    <row r="641" spans="11:19" x14ac:dyDescent="0.15">
      <c r="K641" s="102">
        <f>tbl_ArchitectureOffices!D641</f>
        <v>0</v>
      </c>
      <c r="L641" s="102">
        <f>tbl_ArchitectureOffices!C641</f>
        <v>0</v>
      </c>
      <c r="M641" s="102">
        <f t="shared" si="27"/>
        <v>0</v>
      </c>
      <c r="N641" s="102" t="str">
        <f>tbl_Companys!D641</f>
        <v>Lian AS</v>
      </c>
      <c r="O641" s="102">
        <f>tbl_Companys!C641</f>
        <v>202456</v>
      </c>
      <c r="P641" s="102" t="str">
        <f t="shared" si="28"/>
        <v>Lian AS</v>
      </c>
      <c r="Q641" s="102" t="str">
        <f>tbl_ConsultingCompanys!D641</f>
        <v>Teaterplassen 1 AS</v>
      </c>
      <c r="R641" s="102">
        <f>tbl_ConsultingCompanys!C641</f>
        <v>160689</v>
      </c>
      <c r="S641" s="102" t="str">
        <f t="shared" si="29"/>
        <v>Teaterplassen 1 AS</v>
      </c>
    </row>
    <row r="642" spans="11:19" x14ac:dyDescent="0.15">
      <c r="K642" s="102">
        <f>tbl_ArchitectureOffices!D642</f>
        <v>0</v>
      </c>
      <c r="L642" s="102">
        <f>tbl_ArchitectureOffices!C642</f>
        <v>0</v>
      </c>
      <c r="M642" s="102">
        <f t="shared" si="27"/>
        <v>0</v>
      </c>
      <c r="N642" s="102" t="str">
        <f>tbl_Companys!D642</f>
        <v>Lie Øyen arkitekter</v>
      </c>
      <c r="O642" s="102">
        <f>tbl_Companys!C642</f>
        <v>171730</v>
      </c>
      <c r="P642" s="102" t="str">
        <f t="shared" si="28"/>
        <v>Lie Øyen arkitekter</v>
      </c>
      <c r="Q642" s="102" t="str">
        <f>tbl_ConsultingCompanys!D642</f>
        <v>Technoconsult AS (Ribr)</v>
      </c>
      <c r="R642" s="102">
        <f>tbl_ConsultingCompanys!C642</f>
        <v>162917</v>
      </c>
      <c r="S642" s="102" t="str">
        <f t="shared" si="29"/>
        <v>Technoconsult AS (Ribr)</v>
      </c>
    </row>
    <row r="643" spans="11:19" x14ac:dyDescent="0.15">
      <c r="K643" s="102">
        <f>tbl_ArchitectureOffices!D643</f>
        <v>0</v>
      </c>
      <c r="L643" s="102">
        <f>tbl_ArchitectureOffices!C643</f>
        <v>0</v>
      </c>
      <c r="M643" s="102">
        <f t="shared" ref="M643:M706" si="30">IFERROR(REPLACE(K643,FIND(" ",K643,LEN(K643)),1,""),K643)</f>
        <v>0</v>
      </c>
      <c r="N643" s="102" t="str">
        <f>tbl_Companys!D643</f>
        <v>lille frøen as, Arkitektgruppen</v>
      </c>
      <c r="O643" s="102">
        <f>tbl_Companys!C643</f>
        <v>166500</v>
      </c>
      <c r="P643" s="102" t="str">
        <f t="shared" ref="P643:P706" si="31">IFERROR(REPLACE(N643,FIND(" ",N643,LEN(N643)),1,""),N643)</f>
        <v>lille frøen as, Arkitektgruppen</v>
      </c>
      <c r="Q643" s="102" t="str">
        <f>tbl_ConsultingCompanys!D643</f>
        <v>Teka Eiendom AS</v>
      </c>
      <c r="R643" s="102">
        <f>tbl_ConsultingCompanys!C643</f>
        <v>247582</v>
      </c>
      <c r="S643" s="102" t="str">
        <f t="shared" ref="S643:S706" si="32">IFERROR(REPLACE(Q643,FIND(" ",Q643,LEN(Q643)),1,""),Q643)</f>
        <v>Teka Eiendom AS</v>
      </c>
    </row>
    <row r="644" spans="11:19" x14ac:dyDescent="0.15">
      <c r="K644" s="102">
        <f>tbl_ArchitectureOffices!D644</f>
        <v>0</v>
      </c>
      <c r="L644" s="102">
        <f>tbl_ArchitectureOffices!C644</f>
        <v>0</v>
      </c>
      <c r="M644" s="102">
        <f t="shared" si="30"/>
        <v>0</v>
      </c>
      <c r="N644" s="102" t="str">
        <f>tbl_Companys!D644</f>
        <v>Lillestrøm Arkitektkontor AS</v>
      </c>
      <c r="O644" s="102">
        <f>tbl_Companys!C644</f>
        <v>172661</v>
      </c>
      <c r="P644" s="102" t="str">
        <f t="shared" si="31"/>
        <v>Lillestrøm Arkitektkontor AS</v>
      </c>
      <c r="Q644" s="102" t="str">
        <f>tbl_ConsultingCompanys!D644</f>
        <v>Teknisk byrå AS</v>
      </c>
      <c r="R644" s="102">
        <f>tbl_ConsultingCompanys!C644</f>
        <v>97933</v>
      </c>
      <c r="S644" s="102" t="str">
        <f t="shared" si="32"/>
        <v>Teknisk byrå AS</v>
      </c>
    </row>
    <row r="645" spans="11:19" x14ac:dyDescent="0.15">
      <c r="K645" s="102">
        <f>tbl_ArchitectureOffices!D645</f>
        <v>0</v>
      </c>
      <c r="L645" s="102">
        <f>tbl_ArchitectureOffices!C645</f>
        <v>0</v>
      </c>
      <c r="M645" s="102">
        <f t="shared" si="30"/>
        <v>0</v>
      </c>
      <c r="N645" s="102" t="str">
        <f>tbl_Companys!D645</f>
        <v>Linberg &amp; Simmons</v>
      </c>
      <c r="O645" s="102">
        <f>tbl_Companys!C645</f>
        <v>171729</v>
      </c>
      <c r="P645" s="102" t="str">
        <f t="shared" si="31"/>
        <v>Linberg &amp; Simmons</v>
      </c>
      <c r="Q645" s="102" t="str">
        <f>tbl_ConsultingCompanys!D645</f>
        <v>Teknisk Ventilasjon AS</v>
      </c>
      <c r="R645" s="102">
        <f>tbl_ConsultingCompanys!C645</f>
        <v>228144</v>
      </c>
      <c r="S645" s="102" t="str">
        <f t="shared" si="32"/>
        <v>Teknisk Ventilasjon AS</v>
      </c>
    </row>
    <row r="646" spans="11:19" x14ac:dyDescent="0.15">
      <c r="K646" s="102">
        <f>tbl_ArchitectureOffices!D646</f>
        <v>0</v>
      </c>
      <c r="L646" s="102">
        <f>tbl_ArchitectureOffices!C646</f>
        <v>0</v>
      </c>
      <c r="M646" s="102">
        <f t="shared" si="30"/>
        <v>0</v>
      </c>
      <c r="N646" s="102" t="str">
        <f>tbl_Companys!D646</f>
        <v xml:space="preserve">Lindstrøm, Sivilarkitekt Inga </v>
      </c>
      <c r="O646" s="102">
        <f>tbl_Companys!C646</f>
        <v>171728</v>
      </c>
      <c r="P646" s="102" t="str">
        <f t="shared" si="31"/>
        <v>Lindstrøm, Sivilarkitekt Inga</v>
      </c>
      <c r="Q646" s="102" t="str">
        <f>tbl_ConsultingCompanys!D646</f>
        <v xml:space="preserve">Tekno Team AS </v>
      </c>
      <c r="R646" s="102">
        <f>tbl_ConsultingCompanys!C646</f>
        <v>165395</v>
      </c>
      <c r="S646" s="102" t="str">
        <f t="shared" si="32"/>
        <v>Tekno Team AS</v>
      </c>
    </row>
    <row r="647" spans="11:19" x14ac:dyDescent="0.15">
      <c r="K647" s="102">
        <f>tbl_ArchitectureOffices!D647</f>
        <v>0</v>
      </c>
      <c r="L647" s="102">
        <f>tbl_ArchitectureOffices!C647</f>
        <v>0</v>
      </c>
      <c r="M647" s="102">
        <f t="shared" si="30"/>
        <v>0</v>
      </c>
      <c r="N647" s="102" t="str">
        <f>tbl_Companys!D647</f>
        <v>Linje arkitektur as</v>
      </c>
      <c r="O647" s="102">
        <f>tbl_Companys!C647</f>
        <v>171727</v>
      </c>
      <c r="P647" s="102" t="str">
        <f t="shared" si="31"/>
        <v>Linje arkitektur as</v>
      </c>
      <c r="Q647" s="102" t="str">
        <f>tbl_ConsultingCompanys!D647</f>
        <v>Teknobygg AS</v>
      </c>
      <c r="R647" s="102">
        <f>tbl_ConsultingCompanys!C647</f>
        <v>178920</v>
      </c>
      <c r="S647" s="102" t="str">
        <f t="shared" si="32"/>
        <v>Teknobygg AS</v>
      </c>
    </row>
    <row r="648" spans="11:19" x14ac:dyDescent="0.15">
      <c r="K648" s="102">
        <f>tbl_ArchitectureOffices!D648</f>
        <v>0</v>
      </c>
      <c r="L648" s="102">
        <f>tbl_ArchitectureOffices!C648</f>
        <v>0</v>
      </c>
      <c r="M648" s="102">
        <f t="shared" si="30"/>
        <v>0</v>
      </c>
      <c r="N648" s="102" t="str">
        <f>tbl_Companys!D648</f>
        <v>Link Arkitektur AS</v>
      </c>
      <c r="O648" s="102">
        <f>tbl_Companys!C648</f>
        <v>171726</v>
      </c>
      <c r="P648" s="102" t="str">
        <f t="shared" si="31"/>
        <v>Link Arkitektur AS</v>
      </c>
      <c r="Q648" s="102" t="str">
        <f>tbl_ConsultingCompanys!D648</f>
        <v>Teknoconsult AS</v>
      </c>
      <c r="R648" s="102">
        <f>tbl_ConsultingCompanys!C648</f>
        <v>225768</v>
      </c>
      <c r="S648" s="102" t="str">
        <f t="shared" si="32"/>
        <v>Teknoconsult AS</v>
      </c>
    </row>
    <row r="649" spans="11:19" x14ac:dyDescent="0.15">
      <c r="K649" s="102">
        <f>tbl_ArchitectureOffices!D649</f>
        <v>0</v>
      </c>
      <c r="L649" s="102">
        <f>tbl_ArchitectureOffices!C649</f>
        <v>0</v>
      </c>
      <c r="M649" s="102">
        <f t="shared" si="30"/>
        <v>0</v>
      </c>
      <c r="N649" s="102" t="str">
        <f>tbl_Companys!D649</f>
        <v>Link Signatur</v>
      </c>
      <c r="O649" s="102">
        <f>tbl_Companys!C649</f>
        <v>230069</v>
      </c>
      <c r="P649" s="102" t="str">
        <f t="shared" si="31"/>
        <v>Link Signatur</v>
      </c>
      <c r="Q649" s="102" t="str">
        <f>tbl_ConsultingCompanys!D649</f>
        <v>Telerør</v>
      </c>
      <c r="R649" s="102">
        <f>tbl_ConsultingCompanys!C649</f>
        <v>248369</v>
      </c>
      <c r="S649" s="102" t="str">
        <f t="shared" si="32"/>
        <v>Telerør</v>
      </c>
    </row>
    <row r="650" spans="11:19" x14ac:dyDescent="0.15">
      <c r="K650" s="102">
        <f>tbl_ArchitectureOffices!D650</f>
        <v>0</v>
      </c>
      <c r="L650" s="102">
        <f>tbl_ArchitectureOffices!C650</f>
        <v>0</v>
      </c>
      <c r="M650" s="102">
        <f t="shared" si="30"/>
        <v>0</v>
      </c>
      <c r="N650" s="102" t="str">
        <f>tbl_Companys!D650</f>
        <v>Liten Skala AS</v>
      </c>
      <c r="O650" s="102">
        <f>tbl_Companys!C650</f>
        <v>241582</v>
      </c>
      <c r="P650" s="102" t="str">
        <f t="shared" si="31"/>
        <v>Liten Skala AS</v>
      </c>
      <c r="Q650" s="102" t="str">
        <f>tbl_ConsultingCompanys!D650</f>
        <v>Telesafe Consulting AS</v>
      </c>
      <c r="R650" s="102">
        <f>tbl_ConsultingCompanys!C650</f>
        <v>110462</v>
      </c>
      <c r="S650" s="102" t="str">
        <f t="shared" si="32"/>
        <v>Telesafe Consulting AS</v>
      </c>
    </row>
    <row r="651" spans="11:19" x14ac:dyDescent="0.15">
      <c r="K651" s="102">
        <f>tbl_ArchitectureOffices!D651</f>
        <v>0</v>
      </c>
      <c r="L651" s="102">
        <f>tbl_ArchitectureOffices!C651</f>
        <v>0</v>
      </c>
      <c r="M651" s="102">
        <f t="shared" si="30"/>
        <v>0</v>
      </c>
      <c r="N651" s="102" t="str">
        <f>tbl_Companys!D651</f>
        <v>LMR arkitektur as</v>
      </c>
      <c r="O651" s="102">
        <f>tbl_Companys!C651</f>
        <v>171725</v>
      </c>
      <c r="P651" s="102" t="str">
        <f t="shared" si="31"/>
        <v>LMR arkitektur as</v>
      </c>
      <c r="Q651" s="102" t="str">
        <f>tbl_ConsultingCompanys!D651</f>
        <v>Tempero Energitjenester AS</v>
      </c>
      <c r="R651" s="102">
        <f>tbl_ConsultingCompanys!C651</f>
        <v>165394</v>
      </c>
      <c r="S651" s="102" t="str">
        <f t="shared" si="32"/>
        <v>Tempero Energitjenester AS</v>
      </c>
    </row>
    <row r="652" spans="11:19" x14ac:dyDescent="0.15">
      <c r="K652" s="102">
        <f>tbl_ArchitectureOffices!D652</f>
        <v>0</v>
      </c>
      <c r="L652" s="102">
        <f>tbl_ArchitectureOffices!C652</f>
        <v>0</v>
      </c>
      <c r="M652" s="102">
        <f t="shared" si="30"/>
        <v>0</v>
      </c>
      <c r="N652" s="102" t="str">
        <f>tbl_Companys!D652</f>
        <v>Logg arkitektur as</v>
      </c>
      <c r="O652" s="102">
        <f>tbl_Companys!C652</f>
        <v>171723</v>
      </c>
      <c r="P652" s="102" t="str">
        <f t="shared" si="31"/>
        <v>Logg arkitektur as</v>
      </c>
      <c r="Q652" s="102" t="str">
        <f>tbl_ConsultingCompanys!D652</f>
        <v>Theorells AS</v>
      </c>
      <c r="R652" s="102">
        <f>tbl_ConsultingCompanys!C652</f>
        <v>121191</v>
      </c>
      <c r="S652" s="102" t="str">
        <f t="shared" si="32"/>
        <v>Theorells AS</v>
      </c>
    </row>
    <row r="653" spans="11:19" x14ac:dyDescent="0.15">
      <c r="K653" s="102">
        <f>tbl_ArchitectureOffices!D653</f>
        <v>0</v>
      </c>
      <c r="L653" s="102">
        <f>tbl_ArchitectureOffices!C653</f>
        <v>0</v>
      </c>
      <c r="M653" s="102">
        <f t="shared" si="30"/>
        <v>0</v>
      </c>
      <c r="N653" s="102" t="str">
        <f>tbl_Companys!D653</f>
        <v>Longva Arkitekter AS</v>
      </c>
      <c r="O653" s="102">
        <f>tbl_Companys!C653</f>
        <v>171722</v>
      </c>
      <c r="P653" s="102" t="str">
        <f t="shared" si="31"/>
        <v>Longva Arkitekter AS</v>
      </c>
      <c r="Q653" s="102" t="str">
        <f>tbl_ConsultingCompanys!D653</f>
        <v>Thermoplan AS</v>
      </c>
      <c r="R653" s="102">
        <f>tbl_ConsultingCompanys!C653</f>
        <v>218396</v>
      </c>
      <c r="S653" s="102" t="str">
        <f t="shared" si="32"/>
        <v>Thermoplan AS</v>
      </c>
    </row>
    <row r="654" spans="11:19" x14ac:dyDescent="0.15">
      <c r="K654" s="102">
        <f>tbl_ArchitectureOffices!D654</f>
        <v>0</v>
      </c>
      <c r="L654" s="102">
        <f>tbl_ArchitectureOffices!C654</f>
        <v>0</v>
      </c>
      <c r="M654" s="102">
        <f t="shared" si="30"/>
        <v>0</v>
      </c>
      <c r="N654" s="102" t="str">
        <f>tbl_Companys!D654</f>
        <v>Lorentz Kielland arkitekter as</v>
      </c>
      <c r="O654" s="102">
        <f>tbl_Companys!C654</f>
        <v>202237</v>
      </c>
      <c r="P654" s="102" t="str">
        <f t="shared" si="31"/>
        <v>Lorentz Kielland arkitekter as</v>
      </c>
      <c r="Q654" s="102" t="str">
        <f>tbl_ConsultingCompanys!D654</f>
        <v>Thermoplan AS rådgivende ingeniørfirma (VVS)</v>
      </c>
      <c r="R654" s="102">
        <f>tbl_ConsultingCompanys!C654</f>
        <v>218402</v>
      </c>
      <c r="S654" s="102" t="str">
        <f t="shared" si="32"/>
        <v>Thermoplan AS rådgivende ingeniørfirma (VVS)</v>
      </c>
    </row>
    <row r="655" spans="11:19" x14ac:dyDescent="0.15">
      <c r="K655" s="102">
        <f>tbl_ArchitectureOffices!D655</f>
        <v>0</v>
      </c>
      <c r="L655" s="102">
        <f>tbl_ArchitectureOffices!C655</f>
        <v>0</v>
      </c>
      <c r="M655" s="102">
        <f t="shared" si="30"/>
        <v>0</v>
      </c>
      <c r="N655" s="102" t="str">
        <f>tbl_Companys!D655</f>
        <v>Lou</v>
      </c>
      <c r="O655" s="102">
        <f>tbl_Companys!C655</f>
        <v>171721</v>
      </c>
      <c r="P655" s="102" t="str">
        <f t="shared" si="31"/>
        <v>Lou</v>
      </c>
      <c r="Q655" s="102" t="str">
        <f>tbl_ConsultingCompanys!D655</f>
        <v>Thunes Partners AS</v>
      </c>
      <c r="R655" s="102">
        <f>tbl_ConsultingCompanys!C655</f>
        <v>110755</v>
      </c>
      <c r="S655" s="102" t="str">
        <f t="shared" si="32"/>
        <v>Thunes Partners AS</v>
      </c>
    </row>
    <row r="656" spans="11:19" x14ac:dyDescent="0.15">
      <c r="K656" s="102">
        <f>tbl_ArchitectureOffices!D656</f>
        <v>0</v>
      </c>
      <c r="L656" s="102">
        <f>tbl_ArchitectureOffices!C656</f>
        <v>0</v>
      </c>
      <c r="M656" s="102">
        <f t="shared" si="30"/>
        <v>0</v>
      </c>
      <c r="N656" s="102" t="str">
        <f>tbl_Companys!D656</f>
        <v>LPO arkitekter</v>
      </c>
      <c r="O656" s="102">
        <f>tbl_Companys!C656</f>
        <v>171720</v>
      </c>
      <c r="P656" s="102" t="str">
        <f t="shared" si="31"/>
        <v>LPO arkitekter</v>
      </c>
      <c r="Q656" s="102" t="str">
        <f>tbl_ConsultingCompanys!D656</f>
        <v>Timber AS</v>
      </c>
      <c r="R656" s="102">
        <f>tbl_ConsultingCompanys!C656</f>
        <v>111855</v>
      </c>
      <c r="S656" s="102" t="str">
        <f t="shared" si="32"/>
        <v>Timber AS</v>
      </c>
    </row>
    <row r="657" spans="11:19" x14ac:dyDescent="0.15">
      <c r="K657" s="102">
        <f>tbl_ArchitectureOffices!D657</f>
        <v>0</v>
      </c>
      <c r="L657" s="102">
        <f>tbl_ArchitectureOffices!C657</f>
        <v>0</v>
      </c>
      <c r="M657" s="102">
        <f t="shared" si="30"/>
        <v>0</v>
      </c>
      <c r="N657" s="102" t="str">
        <f>tbl_Companys!D657</f>
        <v>Lund &amp; partnere</v>
      </c>
      <c r="O657" s="102">
        <f>tbl_Companys!C657</f>
        <v>171718</v>
      </c>
      <c r="P657" s="102" t="str">
        <f t="shared" si="31"/>
        <v>Lund &amp; partnere</v>
      </c>
      <c r="Q657" s="102" t="str">
        <f>tbl_ConsultingCompanys!D657</f>
        <v>Time kyrkje</v>
      </c>
      <c r="R657" s="102">
        <f>tbl_ConsultingCompanys!C657</f>
        <v>230068</v>
      </c>
      <c r="S657" s="102" t="str">
        <f t="shared" si="32"/>
        <v>Time kyrkje</v>
      </c>
    </row>
    <row r="658" spans="11:19" x14ac:dyDescent="0.15">
      <c r="K658" s="102">
        <f>tbl_ArchitectureOffices!D658</f>
        <v>0</v>
      </c>
      <c r="L658" s="102">
        <f>tbl_ArchitectureOffices!C658</f>
        <v>0</v>
      </c>
      <c r="M658" s="102">
        <f t="shared" si="30"/>
        <v>0</v>
      </c>
      <c r="N658" s="102" t="str">
        <f>tbl_Companys!D658</f>
        <v>Lund &amp; Slaatto Arkitekter AS</v>
      </c>
      <c r="O658" s="102">
        <f>tbl_Companys!C658</f>
        <v>171713</v>
      </c>
      <c r="P658" s="102" t="str">
        <f t="shared" si="31"/>
        <v>Lund &amp; Slaatto Arkitekter AS</v>
      </c>
      <c r="Q658" s="102" t="str">
        <f>tbl_ConsultingCompanys!D658</f>
        <v>Time kyrkjelege fellesråd</v>
      </c>
      <c r="R658" s="102">
        <f>tbl_ConsultingCompanys!C658</f>
        <v>230118</v>
      </c>
      <c r="S658" s="102" t="str">
        <f t="shared" si="32"/>
        <v>Time kyrkjelege fellesråd</v>
      </c>
    </row>
    <row r="659" spans="11:19" x14ac:dyDescent="0.15">
      <c r="K659" s="102">
        <f>tbl_ArchitectureOffices!D659</f>
        <v>0</v>
      </c>
      <c r="L659" s="102">
        <f>tbl_ArchitectureOffices!C659</f>
        <v>0</v>
      </c>
      <c r="M659" s="102">
        <f t="shared" si="30"/>
        <v>0</v>
      </c>
      <c r="N659" s="102" t="str">
        <f>tbl_Companys!D659</f>
        <v xml:space="preserve">Lund A/S, Sivilarkitekt E. Broder </v>
      </c>
      <c r="O659" s="102">
        <f>tbl_Companys!C659</f>
        <v>171717</v>
      </c>
      <c r="P659" s="102" t="str">
        <f t="shared" si="31"/>
        <v>Lund A/S, Sivilarkitekt E. Broder</v>
      </c>
      <c r="Q659" s="102" t="str">
        <f>tbl_ConsultingCompanys!D659</f>
        <v>Tone Ulland Stokke</v>
      </c>
      <c r="R659" s="102">
        <f>tbl_ConsultingCompanys!C659</f>
        <v>158056</v>
      </c>
      <c r="S659" s="102" t="str">
        <f t="shared" si="32"/>
        <v>Tone Ulland Stokke</v>
      </c>
    </row>
    <row r="660" spans="11:19" x14ac:dyDescent="0.15">
      <c r="K660" s="102">
        <f>tbl_ArchitectureOffices!D660</f>
        <v>0</v>
      </c>
      <c r="L660" s="102">
        <f>tbl_ArchitectureOffices!C660</f>
        <v>0</v>
      </c>
      <c r="M660" s="102">
        <f t="shared" si="30"/>
        <v>0</v>
      </c>
      <c r="N660" s="102" t="str">
        <f>tbl_Companys!D660</f>
        <v>Lund Hagem Arkitekter AS</v>
      </c>
      <c r="O660" s="102">
        <f>tbl_Companys!C660</f>
        <v>171715</v>
      </c>
      <c r="P660" s="102" t="str">
        <f t="shared" si="31"/>
        <v>Lund Hagem Arkitekter AS</v>
      </c>
      <c r="Q660" s="102" t="str">
        <f>tbl_ConsultingCompanys!D660</f>
        <v>Tor Entreprenør AS</v>
      </c>
      <c r="R660" s="102">
        <f>tbl_ConsultingCompanys!C660</f>
        <v>121317</v>
      </c>
      <c r="S660" s="102" t="str">
        <f t="shared" si="32"/>
        <v>Tor Entreprenør AS</v>
      </c>
    </row>
    <row r="661" spans="11:19" x14ac:dyDescent="0.15">
      <c r="K661" s="102">
        <f>tbl_ArchitectureOffices!D661</f>
        <v>0</v>
      </c>
      <c r="L661" s="102">
        <f>tbl_ArchitectureOffices!C661</f>
        <v>0</v>
      </c>
      <c r="M661" s="102">
        <f t="shared" si="30"/>
        <v>0</v>
      </c>
      <c r="N661" s="102" t="str">
        <f>tbl_Companys!D661</f>
        <v xml:space="preserve">Lund MNAL, Sivilarkitekt Svein Erik </v>
      </c>
      <c r="O661" s="102">
        <f>tbl_Companys!C661</f>
        <v>171716</v>
      </c>
      <c r="P661" s="102" t="str">
        <f t="shared" si="31"/>
        <v>Lund MNAL, Sivilarkitekt Svein Erik</v>
      </c>
      <c r="Q661" s="102" t="str">
        <f>tbl_ConsultingCompanys!D661</f>
        <v>Tor Helge Dokka</v>
      </c>
      <c r="R661" s="102">
        <f>tbl_ConsultingCompanys!C661</f>
        <v>204509</v>
      </c>
      <c r="S661" s="102" t="str">
        <f t="shared" si="32"/>
        <v>Tor Helge Dokka</v>
      </c>
    </row>
    <row r="662" spans="11:19" x14ac:dyDescent="0.15">
      <c r="K662" s="102">
        <f>tbl_ArchitectureOffices!D662</f>
        <v>0</v>
      </c>
      <c r="L662" s="102">
        <f>tbl_ArchitectureOffices!C662</f>
        <v>0</v>
      </c>
      <c r="M662" s="102">
        <f t="shared" si="30"/>
        <v>0</v>
      </c>
      <c r="N662" s="102" t="str">
        <f>tbl_Companys!D662</f>
        <v>Lundenes as/ AS Anlegg</v>
      </c>
      <c r="O662" s="102">
        <f>tbl_Companys!C662</f>
        <v>103472</v>
      </c>
      <c r="P662" s="102" t="str">
        <f t="shared" si="31"/>
        <v>Lundenes as/ AS Anlegg</v>
      </c>
      <c r="Q662" s="102" t="str">
        <f>tbl_ConsultingCompanys!D662</f>
        <v>Tor Nykvist &amp; sønn AS</v>
      </c>
      <c r="R662" s="102">
        <f>tbl_ConsultingCompanys!C662</f>
        <v>110966</v>
      </c>
      <c r="S662" s="102" t="str">
        <f t="shared" si="32"/>
        <v>Tor Nykvist &amp; sønn AS</v>
      </c>
    </row>
    <row r="663" spans="11:19" x14ac:dyDescent="0.15">
      <c r="K663" s="102">
        <f>tbl_ArchitectureOffices!D663</f>
        <v>0</v>
      </c>
      <c r="L663" s="102">
        <f>tbl_ArchitectureOffices!C663</f>
        <v>0</v>
      </c>
      <c r="M663" s="102">
        <f t="shared" si="30"/>
        <v>0</v>
      </c>
      <c r="N663" s="102" t="str">
        <f>tbl_Companys!D663</f>
        <v xml:space="preserve">Lund-Johnsen sivilarkitekt MNAL, Roar </v>
      </c>
      <c r="O663" s="102">
        <f>tbl_Companys!C663</f>
        <v>171714</v>
      </c>
      <c r="P663" s="102" t="str">
        <f t="shared" si="31"/>
        <v>Lund-Johnsen sivilarkitekt MNAL, Roar</v>
      </c>
      <c r="Q663" s="102" t="str">
        <f>tbl_ConsultingCompanys!D663</f>
        <v>Tore Ravndal AS</v>
      </c>
      <c r="R663" s="102">
        <f>tbl_ConsultingCompanys!C663</f>
        <v>162863</v>
      </c>
      <c r="S663" s="102" t="str">
        <f t="shared" si="32"/>
        <v>Tore Ravndal AS</v>
      </c>
    </row>
    <row r="664" spans="11:19" x14ac:dyDescent="0.15">
      <c r="K664" s="102">
        <f>tbl_ArchitectureOffices!D664</f>
        <v>0</v>
      </c>
      <c r="L664" s="102">
        <f>tbl_ArchitectureOffices!C664</f>
        <v>0</v>
      </c>
      <c r="M664" s="102">
        <f t="shared" si="30"/>
        <v>0</v>
      </c>
      <c r="N664" s="102" t="str">
        <f>tbl_Companys!D664</f>
        <v>Lusparken Arkitekter AS</v>
      </c>
      <c r="O664" s="102">
        <f>tbl_Companys!C664</f>
        <v>171712</v>
      </c>
      <c r="P664" s="102" t="str">
        <f t="shared" si="31"/>
        <v>Lusparken Arkitekter AS</v>
      </c>
      <c r="Q664" s="102" t="str">
        <f>tbl_ConsultingCompanys!D664</f>
        <v>Torleif Holm Glad</v>
      </c>
      <c r="R664" s="102">
        <f>tbl_ConsultingCompanys!C664</f>
        <v>243666</v>
      </c>
      <c r="S664" s="102" t="str">
        <f t="shared" si="32"/>
        <v>Torleif Holm Glad</v>
      </c>
    </row>
    <row r="665" spans="11:19" x14ac:dyDescent="0.15">
      <c r="K665" s="102">
        <f>tbl_ArchitectureOffices!D665</f>
        <v>0</v>
      </c>
      <c r="L665" s="102">
        <f>tbl_ArchitectureOffices!C665</f>
        <v>0</v>
      </c>
      <c r="M665" s="102">
        <f t="shared" si="30"/>
        <v>0</v>
      </c>
      <c r="N665" s="102" t="str">
        <f>tbl_Companys!D665</f>
        <v>Lux Brannteknologi AS</v>
      </c>
      <c r="O665" s="102">
        <f>tbl_Companys!C665</f>
        <v>243668</v>
      </c>
      <c r="P665" s="102" t="str">
        <f t="shared" si="31"/>
        <v>Lux Brannteknologi AS</v>
      </c>
      <c r="Q665" s="102" t="str">
        <f>tbl_ConsultingCompanys!D665</f>
        <v>Trebyggeriet AS</v>
      </c>
      <c r="R665" s="102">
        <f>tbl_ConsultingCompanys!C665</f>
        <v>163046</v>
      </c>
      <c r="S665" s="102" t="str">
        <f t="shared" si="32"/>
        <v>Trebyggeriet AS</v>
      </c>
    </row>
    <row r="666" spans="11:19" x14ac:dyDescent="0.15">
      <c r="K666" s="102">
        <f>tbl_ArchitectureOffices!D666</f>
        <v>0</v>
      </c>
      <c r="L666" s="102">
        <f>tbl_ArchitectureOffices!C666</f>
        <v>0</v>
      </c>
      <c r="M666" s="102">
        <f t="shared" si="30"/>
        <v>0</v>
      </c>
      <c r="N666" s="102" t="str">
        <f>tbl_Companys!D666</f>
        <v>Ly Arkitekter AS</v>
      </c>
      <c r="O666" s="102">
        <f>tbl_Companys!C666</f>
        <v>171711</v>
      </c>
      <c r="P666" s="102" t="str">
        <f t="shared" si="31"/>
        <v>Ly Arkitekter AS</v>
      </c>
      <c r="Q666" s="102" t="str">
        <f>tbl_ConsultingCompanys!D666</f>
        <v>TreSenteret</v>
      </c>
      <c r="R666" s="102">
        <f>tbl_ConsultingCompanys!C666</f>
        <v>178177</v>
      </c>
      <c r="S666" s="102" t="str">
        <f t="shared" si="32"/>
        <v>TreSenteret</v>
      </c>
    </row>
    <row r="667" spans="11:19" x14ac:dyDescent="0.15">
      <c r="K667" s="102">
        <f>tbl_ArchitectureOffices!D667</f>
        <v>0</v>
      </c>
      <c r="L667" s="102">
        <f>tbl_ArchitectureOffices!C667</f>
        <v>0</v>
      </c>
      <c r="M667" s="102">
        <f t="shared" si="30"/>
        <v>0</v>
      </c>
      <c r="N667" s="102" t="str">
        <f>tbl_Companys!D667</f>
        <v>Lys og Mørk arkitektur og design</v>
      </c>
      <c r="O667" s="102">
        <f>tbl_Companys!C667</f>
        <v>171710</v>
      </c>
      <c r="P667" s="102" t="str">
        <f t="shared" si="31"/>
        <v>Lys og Mørk arkitektur og design</v>
      </c>
      <c r="Q667" s="102" t="str">
        <f>tbl_ConsultingCompanys!D667</f>
        <v>Treteknisk Institutt, rådgivingstjenesten</v>
      </c>
      <c r="R667" s="102">
        <f>tbl_ConsultingCompanys!C667</f>
        <v>247318</v>
      </c>
      <c r="S667" s="102" t="str">
        <f t="shared" si="32"/>
        <v>Treteknisk Institutt, rådgivingstjenesten</v>
      </c>
    </row>
    <row r="668" spans="11:19" x14ac:dyDescent="0.15">
      <c r="K668" s="102">
        <f>tbl_ArchitectureOffices!D668</f>
        <v>0</v>
      </c>
      <c r="L668" s="102">
        <f>tbl_ArchitectureOffices!C668</f>
        <v>0</v>
      </c>
      <c r="M668" s="102">
        <f t="shared" si="30"/>
        <v>0</v>
      </c>
      <c r="N668" s="102" t="str">
        <f>tbl_Companys!D668</f>
        <v>Lys og Varme AS</v>
      </c>
      <c r="O668" s="102">
        <f>tbl_Companys!C668</f>
        <v>246739</v>
      </c>
      <c r="P668" s="102" t="str">
        <f t="shared" si="31"/>
        <v>Lys og Varme AS</v>
      </c>
      <c r="Q668" s="102" t="str">
        <f>tbl_ConsultingCompanys!D668</f>
        <v>Trifolia Landskpasarkitekter</v>
      </c>
      <c r="R668" s="102">
        <f>tbl_ConsultingCompanys!C668</f>
        <v>214751</v>
      </c>
      <c r="S668" s="102" t="str">
        <f t="shared" si="32"/>
        <v>Trifolia Landskpasarkitekter</v>
      </c>
    </row>
    <row r="669" spans="11:19" x14ac:dyDescent="0.15">
      <c r="K669" s="102">
        <f>tbl_ArchitectureOffices!D669</f>
        <v>0</v>
      </c>
      <c r="L669" s="102">
        <f>tbl_ArchitectureOffices!C669</f>
        <v>0</v>
      </c>
      <c r="M669" s="102">
        <f t="shared" si="30"/>
        <v>0</v>
      </c>
      <c r="N669" s="102" t="str">
        <f>tbl_Companys!D669</f>
        <v>Lyse AS (energi)</v>
      </c>
      <c r="O669" s="102">
        <f>tbl_Companys!C669</f>
        <v>162882</v>
      </c>
      <c r="P669" s="102" t="str">
        <f t="shared" si="31"/>
        <v>Lyse AS (energi)</v>
      </c>
      <c r="Q669" s="102" t="str">
        <f>tbl_ConsultingCompanys!D669</f>
        <v>Trio Entreprenør</v>
      </c>
      <c r="R669" s="102">
        <f>tbl_ConsultingCompanys!C669</f>
        <v>213751</v>
      </c>
      <c r="S669" s="102" t="str">
        <f t="shared" si="32"/>
        <v>Trio Entreprenør</v>
      </c>
    </row>
    <row r="670" spans="11:19" x14ac:dyDescent="0.15">
      <c r="K670" s="102">
        <f>tbl_ArchitectureOffices!D670</f>
        <v>0</v>
      </c>
      <c r="L670" s="102">
        <f>tbl_ArchitectureOffices!C670</f>
        <v>0</v>
      </c>
      <c r="M670" s="102">
        <f t="shared" si="30"/>
        <v>0</v>
      </c>
      <c r="N670" s="102" t="str">
        <f>tbl_Companys!D670</f>
        <v>Løvetanna Landskap AS</v>
      </c>
      <c r="O670" s="102">
        <f>tbl_Companys!C670</f>
        <v>231819</v>
      </c>
      <c r="P670" s="102" t="str">
        <f t="shared" si="31"/>
        <v>Løvetanna Landskap AS</v>
      </c>
      <c r="Q670" s="102" t="str">
        <f>tbl_ConsultingCompanys!D670</f>
        <v>Troll Næring as</v>
      </c>
      <c r="R670" s="102">
        <f>tbl_ConsultingCompanys!C670</f>
        <v>224101</v>
      </c>
      <c r="S670" s="102" t="str">
        <f t="shared" si="32"/>
        <v>Troll Næring as</v>
      </c>
    </row>
    <row r="671" spans="11:19" x14ac:dyDescent="0.15">
      <c r="K671" s="102">
        <f>tbl_ArchitectureOffices!D671</f>
        <v>0</v>
      </c>
      <c r="L671" s="102">
        <f>tbl_ArchitectureOffices!C671</f>
        <v>0</v>
      </c>
      <c r="M671" s="102">
        <f t="shared" si="30"/>
        <v>0</v>
      </c>
      <c r="N671" s="102" t="str">
        <f>tbl_Companys!D671</f>
        <v>Løvik K A A/S</v>
      </c>
      <c r="O671" s="102">
        <f>tbl_Companys!C671</f>
        <v>157871</v>
      </c>
      <c r="P671" s="102" t="str">
        <f t="shared" si="31"/>
        <v>Løvik K A A/S</v>
      </c>
      <c r="Q671" s="102" t="str">
        <f>tbl_ConsultingCompanys!D671</f>
        <v>Tromsø kommune</v>
      </c>
      <c r="R671" s="102">
        <f>tbl_ConsultingCompanys!C671</f>
        <v>221240</v>
      </c>
      <c r="S671" s="102" t="str">
        <f t="shared" si="32"/>
        <v>Tromsø kommune</v>
      </c>
    </row>
    <row r="672" spans="11:19" x14ac:dyDescent="0.15">
      <c r="K672" s="102">
        <f>tbl_ArchitectureOffices!D672</f>
        <v>0</v>
      </c>
      <c r="L672" s="102">
        <f>tbl_ArchitectureOffices!C672</f>
        <v>0</v>
      </c>
      <c r="M672" s="102">
        <f t="shared" si="30"/>
        <v>0</v>
      </c>
      <c r="N672" s="102" t="str">
        <f>tbl_Companys!D672</f>
        <v>Løvold AS</v>
      </c>
      <c r="O672" s="102">
        <f>tbl_Companys!C672</f>
        <v>121071</v>
      </c>
      <c r="P672" s="102" t="str">
        <f t="shared" si="31"/>
        <v>Løvold AS</v>
      </c>
      <c r="Q672" s="102" t="str">
        <f>tbl_ConsultingCompanys!D672</f>
        <v>Tromsø kommune Eiendom</v>
      </c>
      <c r="R672" s="102">
        <f>tbl_ConsultingCompanys!C672</f>
        <v>217112</v>
      </c>
      <c r="S672" s="102" t="str">
        <f t="shared" si="32"/>
        <v>Tromsø kommune Eiendom</v>
      </c>
    </row>
    <row r="673" spans="11:19" x14ac:dyDescent="0.15">
      <c r="K673" s="102">
        <f>tbl_ArchitectureOffices!D673</f>
        <v>0</v>
      </c>
      <c r="L673" s="102">
        <f>tbl_ArchitectureOffices!C673</f>
        <v>0</v>
      </c>
      <c r="M673" s="102">
        <f t="shared" si="30"/>
        <v>0</v>
      </c>
      <c r="N673" s="102" t="str">
        <f>tbl_Companys!D673</f>
        <v>Løvseth + partners</v>
      </c>
      <c r="O673" s="102">
        <f>tbl_Companys!C673</f>
        <v>219318</v>
      </c>
      <c r="P673" s="102" t="str">
        <f t="shared" si="31"/>
        <v>Løvseth + partners</v>
      </c>
      <c r="Q673" s="102" t="str">
        <f>tbl_ConsultingCompanys!D673</f>
        <v>Trond Wickman AS</v>
      </c>
      <c r="R673" s="102">
        <f>tbl_ConsultingCompanys!C673</f>
        <v>166299</v>
      </c>
      <c r="S673" s="102" t="str">
        <f t="shared" si="32"/>
        <v>Trond Wickman AS</v>
      </c>
    </row>
    <row r="674" spans="11:19" x14ac:dyDescent="0.15">
      <c r="K674" s="102">
        <f>tbl_ArchitectureOffices!D674</f>
        <v>0</v>
      </c>
      <c r="L674" s="102">
        <f>tbl_ArchitectureOffices!C674</f>
        <v>0</v>
      </c>
      <c r="M674" s="102">
        <f t="shared" si="30"/>
        <v>0</v>
      </c>
      <c r="N674" s="102" t="str">
        <f>tbl_Companys!D674</f>
        <v xml:space="preserve">Løvseth arkitektkontor as, Morten </v>
      </c>
      <c r="O674" s="102">
        <f>tbl_Companys!C674</f>
        <v>171709</v>
      </c>
      <c r="P674" s="102" t="str">
        <f t="shared" si="31"/>
        <v>Løvseth arkitektkontor as, Morten</v>
      </c>
      <c r="Q674" s="102" t="str">
        <f>tbl_ConsultingCompanys!D674</f>
        <v>Trond Wickman as (RIE)</v>
      </c>
      <c r="R674" s="102">
        <f>tbl_ConsultingCompanys!C674</f>
        <v>215427</v>
      </c>
      <c r="S674" s="102" t="str">
        <f t="shared" si="32"/>
        <v>Trond Wickman as (RIE)</v>
      </c>
    </row>
    <row r="675" spans="11:19" x14ac:dyDescent="0.15">
      <c r="K675" s="102">
        <f>tbl_ArchitectureOffices!D675</f>
        <v>0</v>
      </c>
      <c r="L675" s="102">
        <f>tbl_ArchitectureOffices!C675</f>
        <v>0</v>
      </c>
      <c r="M675" s="102">
        <f t="shared" si="30"/>
        <v>0</v>
      </c>
      <c r="N675" s="102" t="str">
        <f>tbl_Companys!D675</f>
        <v>Løyning AS</v>
      </c>
      <c r="O675" s="102">
        <f>tbl_Companys!C675</f>
        <v>103327</v>
      </c>
      <c r="P675" s="102" t="str">
        <f t="shared" si="31"/>
        <v>Løyning AS</v>
      </c>
      <c r="Q675" s="102" t="str">
        <f>tbl_ConsultingCompanys!D675</f>
        <v>Trondheim byteknikk</v>
      </c>
      <c r="R675" s="102">
        <f>tbl_ConsultingCompanys!C675</f>
        <v>165405</v>
      </c>
      <c r="S675" s="102" t="str">
        <f t="shared" si="32"/>
        <v>Trondheim byteknikk</v>
      </c>
    </row>
    <row r="676" spans="11:19" x14ac:dyDescent="0.15">
      <c r="K676" s="102">
        <f>tbl_ArchitectureOffices!D676</f>
        <v>0</v>
      </c>
      <c r="L676" s="102">
        <f>tbl_ArchitectureOffices!C676</f>
        <v>0</v>
      </c>
      <c r="M676" s="102">
        <f t="shared" si="30"/>
        <v>0</v>
      </c>
      <c r="N676" s="102" t="str">
        <f>tbl_Companys!D676</f>
        <v>Mad as</v>
      </c>
      <c r="O676" s="102">
        <f>tbl_Companys!C676</f>
        <v>171704</v>
      </c>
      <c r="P676" s="102" t="str">
        <f t="shared" si="31"/>
        <v>Mad as</v>
      </c>
      <c r="Q676" s="102" t="str">
        <f>tbl_ConsultingCompanys!D676</f>
        <v>Trondheim kommune</v>
      </c>
      <c r="R676" s="102">
        <f>tbl_ConsultingCompanys!C676</f>
        <v>178147</v>
      </c>
      <c r="S676" s="102" t="str">
        <f t="shared" si="32"/>
        <v>Trondheim kommune</v>
      </c>
    </row>
    <row r="677" spans="11:19" x14ac:dyDescent="0.15">
      <c r="K677" s="102">
        <f>tbl_ArchitectureOffices!D677</f>
        <v>0</v>
      </c>
      <c r="L677" s="102">
        <f>tbl_ArchitectureOffices!C677</f>
        <v>0</v>
      </c>
      <c r="M677" s="102">
        <f t="shared" si="30"/>
        <v>0</v>
      </c>
      <c r="N677" s="102" t="str">
        <f>tbl_Companys!D677</f>
        <v>Madsø Sveen arkitekter AS</v>
      </c>
      <c r="O677" s="102">
        <f>tbl_Companys!C677</f>
        <v>172655</v>
      </c>
      <c r="P677" s="102" t="str">
        <f t="shared" si="31"/>
        <v>Madsø Sveen arkitekter AS</v>
      </c>
      <c r="Q677" s="102" t="str">
        <f>tbl_ConsultingCompanys!D677</f>
        <v>Trondheim kommune</v>
      </c>
      <c r="R677" s="102">
        <f>tbl_ConsultingCompanys!C677</f>
        <v>213052</v>
      </c>
      <c r="S677" s="102" t="str">
        <f t="shared" si="32"/>
        <v>Trondheim kommune</v>
      </c>
    </row>
    <row r="678" spans="11:19" x14ac:dyDescent="0.15">
      <c r="K678" s="102">
        <f>tbl_ArchitectureOffices!D678</f>
        <v>0</v>
      </c>
      <c r="L678" s="102">
        <f>tbl_ArchitectureOffices!C678</f>
        <v>0</v>
      </c>
      <c r="M678" s="102">
        <f t="shared" si="30"/>
        <v>0</v>
      </c>
      <c r="N678" s="102" t="str">
        <f>tbl_Companys!D678</f>
        <v xml:space="preserve">Magnus, Arkitektfirma Jens </v>
      </c>
      <c r="O678" s="102">
        <f>tbl_Companys!C678</f>
        <v>171703</v>
      </c>
      <c r="P678" s="102" t="str">
        <f t="shared" si="31"/>
        <v>Magnus, Arkitektfirma Jens</v>
      </c>
      <c r="Q678" s="102" t="str">
        <f>tbl_ConsultingCompanys!D678</f>
        <v>Trondheim kommune v/ Trondheim eiendom</v>
      </c>
      <c r="R678" s="102">
        <f>tbl_ConsultingCompanys!C678</f>
        <v>160601</v>
      </c>
      <c r="S678" s="102" t="str">
        <f t="shared" si="32"/>
        <v>Trondheim kommune v/ Trondheim eiendom</v>
      </c>
    </row>
    <row r="679" spans="11:19" x14ac:dyDescent="0.15">
      <c r="K679" s="102">
        <f>tbl_ArchitectureOffices!D679</f>
        <v>0</v>
      </c>
      <c r="L679" s="102">
        <f>tbl_ArchitectureOffices!C679</f>
        <v>0</v>
      </c>
      <c r="M679" s="102">
        <f t="shared" si="30"/>
        <v>0</v>
      </c>
      <c r="N679" s="102" t="str">
        <f>tbl_Companys!D679</f>
        <v>Make Arkitekter AS</v>
      </c>
      <c r="O679" s="102">
        <f>tbl_Companys!C679</f>
        <v>171702</v>
      </c>
      <c r="P679" s="102" t="str">
        <f t="shared" si="31"/>
        <v>Make Arkitekter AS</v>
      </c>
      <c r="Q679" s="102" t="str">
        <f>tbl_ConsultingCompanys!D679</f>
        <v>Tronrud Entreprenør AS</v>
      </c>
      <c r="R679" s="102">
        <f>tbl_ConsultingCompanys!C679</f>
        <v>178579</v>
      </c>
      <c r="S679" s="102" t="str">
        <f t="shared" si="32"/>
        <v>Tronrud Entreprenør AS</v>
      </c>
    </row>
    <row r="680" spans="11:19" x14ac:dyDescent="0.15">
      <c r="K680" s="102">
        <f>tbl_ArchitectureOffices!D680</f>
        <v>0</v>
      </c>
      <c r="L680" s="102">
        <f>tbl_ArchitectureOffices!C680</f>
        <v>0</v>
      </c>
      <c r="M680" s="102">
        <f t="shared" si="30"/>
        <v>0</v>
      </c>
      <c r="N680" s="102" t="str">
        <f>tbl_Companys!D680</f>
        <v xml:space="preserve">Malde mnal, Sivilarkitekt Paal </v>
      </c>
      <c r="O680" s="102">
        <f>tbl_Companys!C680</f>
        <v>185841</v>
      </c>
      <c r="P680" s="102" t="str">
        <f t="shared" si="31"/>
        <v>Malde mnal, Sivilarkitekt Paal</v>
      </c>
      <c r="Q680" s="102" t="str">
        <f>tbl_ConsultingCompanys!D680</f>
        <v>Trygve Leiksett (SMN Kvartalet)</v>
      </c>
      <c r="R680" s="102">
        <f>tbl_ConsultingCompanys!C680</f>
        <v>178934</v>
      </c>
      <c r="S680" s="102" t="str">
        <f t="shared" si="32"/>
        <v>Trygve Leiksett (SMN Kvartalet)</v>
      </c>
    </row>
    <row r="681" spans="11:19" x14ac:dyDescent="0.15">
      <c r="K681" s="102">
        <f>tbl_ArchitectureOffices!D681</f>
        <v>0</v>
      </c>
      <c r="L681" s="102">
        <f>tbl_ArchitectureOffices!C681</f>
        <v>0</v>
      </c>
      <c r="M681" s="102">
        <f t="shared" si="30"/>
        <v>0</v>
      </c>
      <c r="N681" s="102" t="str">
        <f>tbl_Companys!D681</f>
        <v>Malermester Per Johannesen AS</v>
      </c>
      <c r="O681" s="102">
        <f>tbl_Companys!C681</f>
        <v>157875</v>
      </c>
      <c r="P681" s="102" t="str">
        <f t="shared" si="31"/>
        <v>Malermester Per Johannesen AS</v>
      </c>
      <c r="Q681" s="102" t="str">
        <f>tbl_ConsultingCompanys!D681</f>
        <v>Trønderplan</v>
      </c>
      <c r="R681" s="102">
        <f>tbl_ConsultingCompanys!C681</f>
        <v>236737</v>
      </c>
      <c r="S681" s="102" t="str">
        <f t="shared" si="32"/>
        <v>Trønderplan</v>
      </c>
    </row>
    <row r="682" spans="11:19" x14ac:dyDescent="0.15">
      <c r="K682" s="102">
        <f>tbl_ArchitectureOffices!D682</f>
        <v>0</v>
      </c>
      <c r="L682" s="102">
        <f>tbl_ArchitectureOffices!C682</f>
        <v>0</v>
      </c>
      <c r="M682" s="102">
        <f t="shared" si="30"/>
        <v>0</v>
      </c>
      <c r="N682" s="102" t="str">
        <f>tbl_Companys!D682</f>
        <v xml:space="preserve">Malmquist sivilarkitekt MNAL MArch, E.B. </v>
      </c>
      <c r="O682" s="102">
        <f>tbl_Companys!C682</f>
        <v>171701</v>
      </c>
      <c r="P682" s="102" t="str">
        <f t="shared" si="31"/>
        <v>Malmquist sivilarkitekt MNAL MArch, E.B.</v>
      </c>
      <c r="Q682" s="102" t="str">
        <f>tbl_ConsultingCompanys!D682</f>
        <v>Tunge AS Mesterhus</v>
      </c>
      <c r="R682" s="102">
        <f>tbl_ConsultingCompanys!C682</f>
        <v>155708</v>
      </c>
      <c r="S682" s="102" t="str">
        <f t="shared" si="32"/>
        <v>Tunge AS Mesterhus</v>
      </c>
    </row>
    <row r="683" spans="11:19" x14ac:dyDescent="0.15">
      <c r="K683" s="102">
        <f>tbl_ArchitectureOffices!D683</f>
        <v>0</v>
      </c>
      <c r="L683" s="102">
        <f>tbl_ArchitectureOffices!C683</f>
        <v>0</v>
      </c>
      <c r="M683" s="102">
        <f t="shared" si="30"/>
        <v>0</v>
      </c>
      <c r="N683" s="102" t="str">
        <f>tbl_Companys!D683</f>
        <v>Malnes og Endresen AS</v>
      </c>
      <c r="O683" s="102">
        <f>tbl_Companys!C683</f>
        <v>228643</v>
      </c>
      <c r="P683" s="102" t="str">
        <f t="shared" si="31"/>
        <v>Malnes og Endresen AS</v>
      </c>
      <c r="Q683" s="102" t="str">
        <f>tbl_ConsultingCompanys!D683</f>
        <v>Tunge Maskin AS</v>
      </c>
      <c r="R683" s="102">
        <f>tbl_ConsultingCompanys!C683</f>
        <v>155838</v>
      </c>
      <c r="S683" s="102" t="str">
        <f t="shared" si="32"/>
        <v>Tunge Maskin AS</v>
      </c>
    </row>
    <row r="684" spans="11:19" x14ac:dyDescent="0.15">
      <c r="K684" s="102">
        <f>tbl_ArchitectureOffices!D684</f>
        <v>0</v>
      </c>
      <c r="L684" s="102">
        <f>tbl_ArchitectureOffices!C684</f>
        <v>0</v>
      </c>
      <c r="M684" s="102">
        <f t="shared" si="30"/>
        <v>0</v>
      </c>
      <c r="N684" s="102" t="str">
        <f>tbl_Companys!D684</f>
        <v>Malvin L. Hillestad</v>
      </c>
      <c r="O684" s="102">
        <f>tbl_Companys!C684</f>
        <v>192375</v>
      </c>
      <c r="P684" s="102" t="str">
        <f t="shared" si="31"/>
        <v>Malvin L. Hillestad</v>
      </c>
      <c r="Q684" s="102" t="str">
        <f>tbl_ConsultingCompanys!D684</f>
        <v>Tømrer-Tomas AS (byggeleder)</v>
      </c>
      <c r="R684" s="102">
        <f>tbl_ConsultingCompanys!C684</f>
        <v>207498</v>
      </c>
      <c r="S684" s="102" t="str">
        <f t="shared" si="32"/>
        <v>Tømrer-Tomas AS (byggeleder)</v>
      </c>
    </row>
    <row r="685" spans="11:19" x14ac:dyDescent="0.15">
      <c r="K685" s="102">
        <f>tbl_ArchitectureOffices!D685</f>
        <v>0</v>
      </c>
      <c r="L685" s="102">
        <f>tbl_ArchitectureOffices!C685</f>
        <v>0</v>
      </c>
      <c r="M685" s="102">
        <f t="shared" si="30"/>
        <v>0</v>
      </c>
      <c r="N685" s="102" t="str">
        <f>tbl_Companys!D685</f>
        <v>Mandrup Arkitektur &amp; Design as</v>
      </c>
      <c r="O685" s="102">
        <f>tbl_Companys!C685</f>
        <v>171700</v>
      </c>
      <c r="P685" s="102" t="str">
        <f t="shared" si="31"/>
        <v>Mandrup Arkitektur &amp; Design as</v>
      </c>
      <c r="Q685" s="102" t="str">
        <f>tbl_ConsultingCompanys!D685</f>
        <v>Tønsberg kommunale eiendom KF</v>
      </c>
      <c r="R685" s="102">
        <f>tbl_ConsultingCompanys!C685</f>
        <v>213757</v>
      </c>
      <c r="S685" s="102" t="str">
        <f t="shared" si="32"/>
        <v>Tønsberg kommunale eiendom KF</v>
      </c>
    </row>
    <row r="686" spans="11:19" x14ac:dyDescent="0.15">
      <c r="K686" s="102">
        <f>tbl_ArchitectureOffices!D686</f>
        <v>0</v>
      </c>
      <c r="L686" s="102">
        <f>tbl_ArchitectureOffices!C686</f>
        <v>0</v>
      </c>
      <c r="M686" s="102">
        <f t="shared" si="30"/>
        <v>0</v>
      </c>
      <c r="N686" s="102" t="str">
        <f>tbl_Companys!D686</f>
        <v>Map Arkitekter AS</v>
      </c>
      <c r="O686" s="102">
        <f>tbl_Companys!C686</f>
        <v>171699</v>
      </c>
      <c r="P686" s="102" t="str">
        <f t="shared" si="31"/>
        <v>Map Arkitekter AS</v>
      </c>
      <c r="Q686" s="102" t="str">
        <f>tbl_ConsultingCompanys!D686</f>
        <v>Ulsteinvik kommune</v>
      </c>
      <c r="R686" s="102">
        <f>tbl_ConsultingCompanys!C686</f>
        <v>157538</v>
      </c>
      <c r="S686" s="102" t="str">
        <f t="shared" si="32"/>
        <v>Ulsteinvik kommune</v>
      </c>
    </row>
    <row r="687" spans="11:19" x14ac:dyDescent="0.15">
      <c r="K687" s="102">
        <f>tbl_ArchitectureOffices!D687</f>
        <v>0</v>
      </c>
      <c r="L687" s="102">
        <f>tbl_ArchitectureOffices!C687</f>
        <v>0</v>
      </c>
      <c r="M687" s="102">
        <f t="shared" si="30"/>
        <v>0</v>
      </c>
      <c r="N687" s="102" t="str">
        <f>tbl_Companys!D687</f>
        <v>Marianne Laa</v>
      </c>
      <c r="O687" s="102">
        <f>tbl_Companys!C687</f>
        <v>245540</v>
      </c>
      <c r="P687" s="102" t="str">
        <f t="shared" si="31"/>
        <v>Marianne Laa</v>
      </c>
      <c r="Q687" s="102" t="str">
        <f>tbl_ConsultingCompanys!D687</f>
        <v>Undervisningsbygg Oslo KF</v>
      </c>
      <c r="R687" s="102">
        <f>tbl_ConsultingCompanys!C687</f>
        <v>225258</v>
      </c>
      <c r="S687" s="102" t="str">
        <f t="shared" si="32"/>
        <v>Undervisningsbygg Oslo KF</v>
      </c>
    </row>
    <row r="688" spans="11:19" x14ac:dyDescent="0.15">
      <c r="K688" s="102">
        <f>tbl_ArchitectureOffices!D688</f>
        <v>0</v>
      </c>
      <c r="L688" s="102">
        <f>tbl_ArchitectureOffices!C688</f>
        <v>0</v>
      </c>
      <c r="M688" s="102">
        <f t="shared" si="30"/>
        <v>0</v>
      </c>
      <c r="N688" s="102" t="str">
        <f>tbl_Companys!D688</f>
        <v>Marianne og Kim Rudolph-Lund</v>
      </c>
      <c r="O688" s="102">
        <f>tbl_Companys!C688</f>
        <v>207411</v>
      </c>
      <c r="P688" s="102" t="str">
        <f t="shared" si="31"/>
        <v>Marianne og Kim Rudolph-Lund</v>
      </c>
      <c r="Q688" s="102" t="str">
        <f>tbl_ConsultingCompanys!D688</f>
        <v>Unico AS</v>
      </c>
      <c r="R688" s="102">
        <f>tbl_ConsultingCompanys!C688</f>
        <v>119773</v>
      </c>
      <c r="S688" s="102" t="str">
        <f t="shared" si="32"/>
        <v>Unico AS</v>
      </c>
    </row>
    <row r="689" spans="11:19" x14ac:dyDescent="0.15">
      <c r="K689" s="102">
        <f>tbl_ArchitectureOffices!D689</f>
        <v>0</v>
      </c>
      <c r="L689" s="102">
        <f>tbl_ArchitectureOffices!C689</f>
        <v>0</v>
      </c>
      <c r="M689" s="102">
        <f t="shared" si="30"/>
        <v>0</v>
      </c>
      <c r="N689" s="102" t="str">
        <f>tbl_Companys!D689</f>
        <v>Marlow - Ramfelt A38 arkitektur og design as</v>
      </c>
      <c r="O689" s="102">
        <f>tbl_Companys!C689</f>
        <v>181036</v>
      </c>
      <c r="P689" s="102" t="str">
        <f t="shared" si="31"/>
        <v>Marlow - Ramfelt A38 arkitektur og design as</v>
      </c>
      <c r="Q689" s="102" t="str">
        <f>tbl_ConsultingCompanys!D689</f>
        <v>Unison Elektro AS (elektro)</v>
      </c>
      <c r="R689" s="102">
        <f>tbl_ConsultingCompanys!C689</f>
        <v>155705</v>
      </c>
      <c r="S689" s="102" t="str">
        <f t="shared" si="32"/>
        <v>Unison Elektro AS (elektro)</v>
      </c>
    </row>
    <row r="690" spans="11:19" x14ac:dyDescent="0.15">
      <c r="K690" s="102">
        <f>tbl_ArchitectureOffices!D690</f>
        <v>0</v>
      </c>
      <c r="L690" s="102">
        <f>tbl_ArchitectureOffices!C690</f>
        <v>0</v>
      </c>
      <c r="M690" s="102">
        <f t="shared" si="30"/>
        <v>0</v>
      </c>
      <c r="N690" s="102" t="str">
        <f>tbl_Companys!D690</f>
        <v>Martens Sivilarkitekt, Trond</v>
      </c>
      <c r="O690" s="102">
        <f>tbl_Companys!C690</f>
        <v>172881</v>
      </c>
      <c r="P690" s="102" t="str">
        <f t="shared" si="31"/>
        <v>Martens Sivilarkitekt, Trond</v>
      </c>
      <c r="Q690" s="102" t="str">
        <f>tbl_ConsultingCompanys!D690</f>
        <v>Universell Utforming AS</v>
      </c>
      <c r="R690" s="102">
        <f>tbl_ConsultingCompanys!C690</f>
        <v>245581</v>
      </c>
      <c r="S690" s="102" t="str">
        <f t="shared" si="32"/>
        <v>Universell Utforming AS</v>
      </c>
    </row>
    <row r="691" spans="11:19" x14ac:dyDescent="0.15">
      <c r="K691" s="102">
        <f>tbl_ArchitectureOffices!D691</f>
        <v>0</v>
      </c>
      <c r="L691" s="102">
        <f>tbl_ArchitectureOffices!C691</f>
        <v>0</v>
      </c>
      <c r="M691" s="102">
        <f t="shared" si="30"/>
        <v>0</v>
      </c>
      <c r="N691" s="102" t="str">
        <f>tbl_Companys!D691</f>
        <v>Martinsons Tre AB</v>
      </c>
      <c r="O691" s="102">
        <f>tbl_Companys!C691</f>
        <v>178156</v>
      </c>
      <c r="P691" s="102" t="str">
        <f t="shared" si="31"/>
        <v>Martinsons Tre AB</v>
      </c>
      <c r="Q691" s="102" t="str">
        <f>tbl_ConsultingCompanys!D691</f>
        <v>Urd Klima Sandnes AS (ventilasjon)</v>
      </c>
      <c r="R691" s="102">
        <f>tbl_ConsultingCompanys!C691</f>
        <v>162873</v>
      </c>
      <c r="S691" s="102" t="str">
        <f t="shared" si="32"/>
        <v>Urd Klima Sandnes AS (ventilasjon)</v>
      </c>
    </row>
    <row r="692" spans="11:19" x14ac:dyDescent="0.15">
      <c r="K692" s="102">
        <f>tbl_ArchitectureOffices!D692</f>
        <v>0</v>
      </c>
      <c r="L692" s="102">
        <f>tbl_ArchitectureOffices!C692</f>
        <v>0</v>
      </c>
      <c r="M692" s="102">
        <f t="shared" si="30"/>
        <v>0</v>
      </c>
      <c r="N692" s="102" t="str">
        <f>tbl_Companys!D692</f>
        <v>Martinsons Tre AS</v>
      </c>
      <c r="O692" s="102">
        <f>tbl_Companys!C692</f>
        <v>232349</v>
      </c>
      <c r="P692" s="102" t="str">
        <f t="shared" si="31"/>
        <v>Martinsons Tre AS</v>
      </c>
      <c r="Q692" s="102" t="str">
        <f>tbl_ConsultingCompanys!D692</f>
        <v>USBL (Stig Paugaard)</v>
      </c>
      <c r="R692" s="102">
        <f>tbl_ConsultingCompanys!C692</f>
        <v>191298</v>
      </c>
      <c r="S692" s="102" t="str">
        <f t="shared" si="32"/>
        <v>USBL (Stig Paugaard)</v>
      </c>
    </row>
    <row r="693" spans="11:19" x14ac:dyDescent="0.15">
      <c r="K693" s="102">
        <f>tbl_ArchitectureOffices!D693</f>
        <v>0</v>
      </c>
      <c r="L693" s="102">
        <f>tbl_ArchitectureOffices!C693</f>
        <v>0</v>
      </c>
      <c r="M693" s="102">
        <f t="shared" si="30"/>
        <v>0</v>
      </c>
      <c r="N693" s="102" t="str">
        <f>tbl_Companys!D693</f>
        <v>Martinsons Tre AS (rådgivn. massivtre)</v>
      </c>
      <c r="O693" s="102">
        <f>tbl_Companys!C693</f>
        <v>228145</v>
      </c>
      <c r="P693" s="102" t="str">
        <f t="shared" si="31"/>
        <v>Martinsons Tre AS (rådgivn. massivtre)</v>
      </c>
      <c r="Q693" s="102" t="str">
        <f>tbl_ConsultingCompanys!D693</f>
        <v>Utdanningsforbundet</v>
      </c>
      <c r="R693" s="102">
        <f>tbl_ConsultingCompanys!C693</f>
        <v>202685</v>
      </c>
      <c r="S693" s="102" t="str">
        <f t="shared" si="32"/>
        <v>Utdanningsforbundet</v>
      </c>
    </row>
    <row r="694" spans="11:19" x14ac:dyDescent="0.15">
      <c r="K694" s="102">
        <f>tbl_ArchitectureOffices!D694</f>
        <v>0</v>
      </c>
      <c r="L694" s="102">
        <f>tbl_ArchitectureOffices!C694</f>
        <v>0</v>
      </c>
      <c r="M694" s="102">
        <f t="shared" si="30"/>
        <v>0</v>
      </c>
      <c r="N694" s="102" t="str">
        <f>tbl_Companys!D694</f>
        <v>Materialbanken AS (Malmfuru)</v>
      </c>
      <c r="O694" s="102">
        <f>tbl_Companys!C694</f>
        <v>162874</v>
      </c>
      <c r="P694" s="102" t="str">
        <f t="shared" si="31"/>
        <v>Materialbanken AS (Malmfuru)</v>
      </c>
      <c r="Q694" s="102" t="str">
        <f>tbl_ConsultingCompanys!D694</f>
        <v>Utstillingsplassen Eiendom</v>
      </c>
      <c r="R694" s="102">
        <f>tbl_ConsultingCompanys!C694</f>
        <v>228617</v>
      </c>
      <c r="S694" s="102" t="str">
        <f t="shared" si="32"/>
        <v>Utstillingsplassen Eiendom</v>
      </c>
    </row>
    <row r="695" spans="11:19" x14ac:dyDescent="0.15">
      <c r="K695" s="102">
        <f>tbl_ArchitectureOffices!D695</f>
        <v>0</v>
      </c>
      <c r="L695" s="102">
        <f>tbl_ArchitectureOffices!C695</f>
        <v>0</v>
      </c>
      <c r="M695" s="102">
        <f t="shared" si="30"/>
        <v>0</v>
      </c>
      <c r="N695" s="102" t="str">
        <f>tbl_Companys!D695</f>
        <v>Maurstadgruppen</v>
      </c>
      <c r="O695" s="102">
        <f>tbl_Companys!C695</f>
        <v>182978</v>
      </c>
      <c r="P695" s="102" t="str">
        <f t="shared" si="31"/>
        <v>Maurstadgruppen</v>
      </c>
      <c r="Q695" s="102" t="str">
        <f>tbl_ConsultingCompanys!D695</f>
        <v>Varde byggadministrasjon AS</v>
      </c>
      <c r="R695" s="102">
        <f>tbl_ConsultingCompanys!C695</f>
        <v>172761</v>
      </c>
      <c r="S695" s="102" t="str">
        <f t="shared" si="32"/>
        <v>Varde byggadministrasjon AS</v>
      </c>
    </row>
    <row r="696" spans="11:19" x14ac:dyDescent="0.15">
      <c r="K696" s="102">
        <f>tbl_ArchitectureOffices!D696</f>
        <v>0</v>
      </c>
      <c r="L696" s="102">
        <f>tbl_ArchitectureOffices!C696</f>
        <v>0</v>
      </c>
      <c r="M696" s="102">
        <f t="shared" si="30"/>
        <v>0</v>
      </c>
      <c r="N696" s="102" t="str">
        <f>tbl_Companys!D696</f>
        <v>May Bente Aronsen (kunstner, lobby)</v>
      </c>
      <c r="O696" s="102">
        <f>tbl_Companys!C696</f>
        <v>203158</v>
      </c>
      <c r="P696" s="102" t="str">
        <f t="shared" si="31"/>
        <v>May Bente Aronsen (kunstner, lobby)</v>
      </c>
      <c r="Q696" s="102" t="str">
        <f>tbl_ConsultingCompanys!D696</f>
        <v xml:space="preserve">VAR-prosjekt AS, Bærum </v>
      </c>
      <c r="R696" s="102">
        <f>tbl_ConsultingCompanys!C696</f>
        <v>120021</v>
      </c>
      <c r="S696" s="102" t="str">
        <f t="shared" si="32"/>
        <v>VAR-prosjekt AS, Bærum</v>
      </c>
    </row>
    <row r="697" spans="11:19" x14ac:dyDescent="0.15">
      <c r="K697" s="102">
        <f>tbl_ArchitectureOffices!D697</f>
        <v>0</v>
      </c>
      <c r="L697" s="102">
        <f>tbl_ArchitectureOffices!C697</f>
        <v>0</v>
      </c>
      <c r="M697" s="102">
        <f t="shared" si="30"/>
        <v>0</v>
      </c>
      <c r="N697" s="102" t="str">
        <f>tbl_Companys!D697</f>
        <v>Medplan as Arkitekter</v>
      </c>
      <c r="O697" s="102">
        <f>tbl_Companys!C697</f>
        <v>171697</v>
      </c>
      <c r="P697" s="102" t="str">
        <f t="shared" si="31"/>
        <v>Medplan as Arkitekter</v>
      </c>
      <c r="Q697" s="102" t="str">
        <f>tbl_ConsultingCompanys!D697</f>
        <v>VEF Entreprenør</v>
      </c>
      <c r="R697" s="102">
        <f>tbl_ConsultingCompanys!C697</f>
        <v>231291</v>
      </c>
      <c r="S697" s="102" t="str">
        <f t="shared" si="32"/>
        <v>VEF Entreprenør</v>
      </c>
    </row>
    <row r="698" spans="11:19" x14ac:dyDescent="0.15">
      <c r="K698" s="102">
        <f>tbl_ArchitectureOffices!D698</f>
        <v>0</v>
      </c>
      <c r="L698" s="102">
        <f>tbl_ArchitectureOffices!C698</f>
        <v>0</v>
      </c>
      <c r="M698" s="102">
        <f t="shared" si="30"/>
        <v>0</v>
      </c>
      <c r="N698" s="102" t="str">
        <f>tbl_Companys!D698</f>
        <v>Meinich Arkitekter AS</v>
      </c>
      <c r="O698" s="102">
        <f>tbl_Companys!C698</f>
        <v>178890</v>
      </c>
      <c r="P698" s="102" t="str">
        <f t="shared" si="31"/>
        <v>Meinich Arkitekter AS</v>
      </c>
      <c r="Q698" s="102" t="str">
        <f>tbl_ConsultingCompanys!D698</f>
        <v>Veg Tech AB (sedumstaket)</v>
      </c>
      <c r="R698" s="102">
        <f>tbl_ConsultingCompanys!C698</f>
        <v>155181</v>
      </c>
      <c r="S698" s="102" t="str">
        <f t="shared" si="32"/>
        <v>Veg Tech AB (sedumstaket)</v>
      </c>
    </row>
    <row r="699" spans="11:19" x14ac:dyDescent="0.15">
      <c r="K699" s="102">
        <f>tbl_ArchitectureOffices!D699</f>
        <v>0</v>
      </c>
      <c r="L699" s="102">
        <f>tbl_ArchitectureOffices!C699</f>
        <v>0</v>
      </c>
      <c r="M699" s="102">
        <f t="shared" si="30"/>
        <v>0</v>
      </c>
      <c r="N699" s="102" t="str">
        <f>tbl_Companys!D699</f>
        <v>MEK Architects (Madrid)</v>
      </c>
      <c r="O699" s="102">
        <f>tbl_Companys!C699</f>
        <v>243120</v>
      </c>
      <c r="P699" s="102" t="str">
        <f t="shared" si="31"/>
        <v>MEK Architects (Madrid)</v>
      </c>
      <c r="Q699" s="102" t="str">
        <f>tbl_ConsultingCompanys!D699</f>
        <v>Veg Tech AB (sedumstaket)</v>
      </c>
      <c r="R699" s="102">
        <f>tbl_ConsultingCompanys!C699</f>
        <v>155182</v>
      </c>
      <c r="S699" s="102" t="str">
        <f t="shared" si="32"/>
        <v>Veg Tech AB (sedumstaket)</v>
      </c>
    </row>
    <row r="700" spans="11:19" x14ac:dyDescent="0.15">
      <c r="K700" s="102">
        <f>tbl_ArchitectureOffices!D700</f>
        <v>0</v>
      </c>
      <c r="L700" s="102">
        <f>tbl_ArchitectureOffices!C700</f>
        <v>0</v>
      </c>
      <c r="M700" s="102">
        <f t="shared" si="30"/>
        <v>0</v>
      </c>
      <c r="N700" s="102" t="str">
        <f>tbl_Companys!D700</f>
        <v>Mellbye Arkitekter AS</v>
      </c>
      <c r="O700" s="102">
        <f>tbl_Companys!C700</f>
        <v>171695</v>
      </c>
      <c r="P700" s="102" t="str">
        <f t="shared" si="31"/>
        <v>Mellbye Arkitekter AS</v>
      </c>
      <c r="Q700" s="102" t="str">
        <f>tbl_ConsultingCompanys!D700</f>
        <v>Veidekke ASA</v>
      </c>
      <c r="R700" s="102">
        <f>tbl_ConsultingCompanys!C700</f>
        <v>103003</v>
      </c>
      <c r="S700" s="102" t="str">
        <f t="shared" si="32"/>
        <v>Veidekke ASA</v>
      </c>
    </row>
    <row r="701" spans="11:19" x14ac:dyDescent="0.15">
      <c r="K701" s="102">
        <f>tbl_ArchitectureOffices!D701</f>
        <v>0</v>
      </c>
      <c r="L701" s="102">
        <f>tbl_ArchitectureOffices!C701</f>
        <v>0</v>
      </c>
      <c r="M701" s="102">
        <f t="shared" si="30"/>
        <v>0</v>
      </c>
      <c r="N701" s="102" t="str">
        <f>tbl_Companys!D701</f>
        <v>Mercur VVS Entreprenør AS</v>
      </c>
      <c r="O701" s="102">
        <f>tbl_Companys!C701</f>
        <v>110475</v>
      </c>
      <c r="P701" s="102" t="str">
        <f t="shared" si="31"/>
        <v>Mercur VVS Entreprenør AS</v>
      </c>
      <c r="Q701" s="102" t="str">
        <f>tbl_ConsultingCompanys!D701</f>
        <v>Veidekke Eiedom AS</v>
      </c>
      <c r="R701" s="102">
        <f>tbl_ConsultingCompanys!C701</f>
        <v>164235</v>
      </c>
      <c r="S701" s="102" t="str">
        <f t="shared" si="32"/>
        <v>Veidekke Eiedom AS</v>
      </c>
    </row>
    <row r="702" spans="11:19" x14ac:dyDescent="0.15">
      <c r="K702" s="102">
        <f>tbl_ArchitectureOffices!D702</f>
        <v>0</v>
      </c>
      <c r="L702" s="102">
        <f>tbl_ArchitectureOffices!C702</f>
        <v>0</v>
      </c>
      <c r="M702" s="102">
        <f t="shared" si="30"/>
        <v>0</v>
      </c>
      <c r="N702" s="102" t="str">
        <f>tbl_Companys!D702</f>
        <v>Mesterbygg Namsos</v>
      </c>
      <c r="O702" s="102">
        <f>tbl_Companys!C702</f>
        <v>236724</v>
      </c>
      <c r="P702" s="102" t="str">
        <f t="shared" si="31"/>
        <v>Mesterbygg Namsos</v>
      </c>
      <c r="Q702" s="102" t="str">
        <f>tbl_ConsultingCompanys!D702</f>
        <v>Veidekke entreprenør AS</v>
      </c>
      <c r="R702" s="102">
        <f>tbl_ConsultingCompanys!C702</f>
        <v>165881</v>
      </c>
      <c r="S702" s="102" t="str">
        <f t="shared" si="32"/>
        <v>Veidekke entreprenør AS</v>
      </c>
    </row>
    <row r="703" spans="11:19" x14ac:dyDescent="0.15">
      <c r="K703" s="102">
        <f>tbl_ArchitectureOffices!D703</f>
        <v>0</v>
      </c>
      <c r="L703" s="102">
        <f>tbl_ArchitectureOffices!C703</f>
        <v>0</v>
      </c>
      <c r="M703" s="102">
        <f t="shared" si="30"/>
        <v>0</v>
      </c>
      <c r="N703" s="102" t="str">
        <f>tbl_Companys!D703</f>
        <v>Mesterhus</v>
      </c>
      <c r="O703" s="102">
        <f>tbl_Companys!C703</f>
        <v>204956</v>
      </c>
      <c r="P703" s="102" t="str">
        <f t="shared" si="31"/>
        <v>Mesterhus</v>
      </c>
      <c r="Q703" s="102" t="str">
        <f>tbl_ConsultingCompanys!D703</f>
        <v>Velux Norge AS (takvinduer)</v>
      </c>
      <c r="R703" s="102">
        <f>tbl_ConsultingCompanys!C703</f>
        <v>162875</v>
      </c>
      <c r="S703" s="102" t="str">
        <f t="shared" si="32"/>
        <v>Velux Norge AS (takvinduer)</v>
      </c>
    </row>
    <row r="704" spans="11:19" x14ac:dyDescent="0.15">
      <c r="K704" s="102">
        <f>tbl_ArchitectureOffices!D704</f>
        <v>0</v>
      </c>
      <c r="L704" s="102">
        <f>tbl_ArchitectureOffices!C704</f>
        <v>0</v>
      </c>
      <c r="M704" s="102">
        <f t="shared" si="30"/>
        <v>0</v>
      </c>
      <c r="N704" s="102" t="str">
        <f>tbl_Companys!D704</f>
        <v>Mesterhus</v>
      </c>
      <c r="O704" s="102">
        <f>tbl_Companys!C704</f>
        <v>204957</v>
      </c>
      <c r="P704" s="102" t="str">
        <f t="shared" si="31"/>
        <v>Mesterhus</v>
      </c>
      <c r="Q704" s="102" t="str">
        <f>tbl_ConsultingCompanys!D704</f>
        <v>Vennesla kommune</v>
      </c>
      <c r="R704" s="102">
        <f>tbl_ConsultingCompanys!C704</f>
        <v>231289</v>
      </c>
      <c r="S704" s="102" t="str">
        <f t="shared" si="32"/>
        <v>Vennesla kommune</v>
      </c>
    </row>
    <row r="705" spans="11:19" x14ac:dyDescent="0.15">
      <c r="K705" s="102">
        <f>tbl_ArchitectureOffices!D705</f>
        <v>0</v>
      </c>
      <c r="L705" s="102">
        <f>tbl_ArchitectureOffices!C705</f>
        <v>0</v>
      </c>
      <c r="M705" s="102">
        <f t="shared" si="30"/>
        <v>0</v>
      </c>
      <c r="N705" s="102" t="str">
        <f>tbl_Companys!D705</f>
        <v>Metamorphosis</v>
      </c>
      <c r="O705" s="102">
        <f>tbl_Companys!C705</f>
        <v>205444</v>
      </c>
      <c r="P705" s="102" t="str">
        <f t="shared" si="31"/>
        <v>Metamorphosis</v>
      </c>
      <c r="Q705" s="102" t="str">
        <f>tbl_ConsultingCompanys!D705</f>
        <v>Vest Consult (VVS)</v>
      </c>
      <c r="R705" s="102">
        <f>tbl_ConsultingCompanys!C705</f>
        <v>101065</v>
      </c>
      <c r="S705" s="102" t="str">
        <f t="shared" si="32"/>
        <v>Vest Consult (VVS)</v>
      </c>
    </row>
    <row r="706" spans="11:19" x14ac:dyDescent="0.15">
      <c r="K706" s="102">
        <f>tbl_ArchitectureOffices!D706</f>
        <v>0</v>
      </c>
      <c r="L706" s="102">
        <f>tbl_ArchitectureOffices!C706</f>
        <v>0</v>
      </c>
      <c r="M706" s="102">
        <f t="shared" si="30"/>
        <v>0</v>
      </c>
      <c r="N706" s="102" t="str">
        <f>tbl_Companys!D706</f>
        <v>Meteorologisk institutt</v>
      </c>
      <c r="O706" s="102">
        <f>tbl_Companys!C706</f>
        <v>181037</v>
      </c>
      <c r="P706" s="102" t="str">
        <f t="shared" si="31"/>
        <v>Meteorologisk institutt</v>
      </c>
      <c r="Q706" s="102" t="str">
        <f>tbl_ConsultingCompanys!D706</f>
        <v>Vestafjell as (grunn og betong)</v>
      </c>
      <c r="R706" s="102">
        <f>tbl_ConsultingCompanys!C706</f>
        <v>218406</v>
      </c>
      <c r="S706" s="102" t="str">
        <f t="shared" si="32"/>
        <v>Vestafjell as (grunn og betong)</v>
      </c>
    </row>
    <row r="707" spans="11:19" x14ac:dyDescent="0.15">
      <c r="K707" s="102">
        <f>tbl_ArchitectureOffices!D707</f>
        <v>0</v>
      </c>
      <c r="L707" s="102">
        <f>tbl_ArchitectureOffices!C707</f>
        <v>0</v>
      </c>
      <c r="M707" s="102">
        <f t="shared" ref="M707:M770" si="33">IFERROR(REPLACE(K707,FIND(" ",K707,LEN(K707)),1,""),K707)</f>
        <v>0</v>
      </c>
      <c r="N707" s="102" t="str">
        <f>tbl_Companys!D707</f>
        <v>Meter Arkitektur AS</v>
      </c>
      <c r="O707" s="102">
        <f>tbl_Companys!C707</f>
        <v>171694</v>
      </c>
      <c r="P707" s="102" t="str">
        <f t="shared" ref="P707:P770" si="34">IFERROR(REPLACE(N707,FIND(" ",N707,LEN(N707)),1,""),N707)</f>
        <v>Meter Arkitektur AS</v>
      </c>
      <c r="Q707" s="102" t="str">
        <f>tbl_ConsultingCompanys!D707</f>
        <v>Via Nova AS</v>
      </c>
      <c r="R707" s="102">
        <f>tbl_ConsultingCompanys!C707</f>
        <v>97856</v>
      </c>
      <c r="S707" s="102" t="str">
        <f t="shared" ref="S707:S770" si="35">IFERROR(REPLACE(Q707,FIND(" ",Q707,LEN(Q707)),1,""),Q707)</f>
        <v>Via Nova AS</v>
      </c>
    </row>
    <row r="708" spans="11:19" x14ac:dyDescent="0.15">
      <c r="K708" s="102">
        <f>tbl_ArchitectureOffices!D708</f>
        <v>0</v>
      </c>
      <c r="L708" s="102">
        <f>tbl_ArchitectureOffices!C708</f>
        <v>0</v>
      </c>
      <c r="M708" s="102">
        <f t="shared" si="33"/>
        <v>0</v>
      </c>
      <c r="N708" s="102" t="str">
        <f>tbl_Companys!D708</f>
        <v>Metropolitan Workshop LLP</v>
      </c>
      <c r="O708" s="102">
        <f>tbl_Companys!C708</f>
        <v>171692</v>
      </c>
      <c r="P708" s="102" t="str">
        <f t="shared" si="34"/>
        <v>Metropolitan Workshop LLP</v>
      </c>
      <c r="Q708" s="102" t="str">
        <f>tbl_ConsultingCompanys!D708</f>
        <v>Viken skog</v>
      </c>
      <c r="R708" s="102">
        <f>tbl_ConsultingCompanys!C708</f>
        <v>243864</v>
      </c>
      <c r="S708" s="102" t="str">
        <f t="shared" si="35"/>
        <v>Viken skog</v>
      </c>
    </row>
    <row r="709" spans="11:19" x14ac:dyDescent="0.15">
      <c r="K709" s="102">
        <f>tbl_ArchitectureOffices!D709</f>
        <v>0</v>
      </c>
      <c r="L709" s="102">
        <f>tbl_ArchitectureOffices!C709</f>
        <v>0</v>
      </c>
      <c r="M709" s="102">
        <f t="shared" si="33"/>
        <v>0</v>
      </c>
      <c r="N709" s="102" t="str">
        <f>tbl_Companys!D709</f>
        <v>Michael Blümlein AS (RIBr)</v>
      </c>
      <c r="O709" s="102">
        <f>tbl_Companys!C709</f>
        <v>215013</v>
      </c>
      <c r="P709" s="102" t="str">
        <f t="shared" si="34"/>
        <v>Michael Blümlein AS (RIBr)</v>
      </c>
      <c r="Q709" s="102" t="str">
        <f>tbl_ConsultingCompanys!D709</f>
        <v>Vink Plast AS (Vindskjermer)</v>
      </c>
      <c r="R709" s="102">
        <f>tbl_ConsultingCompanys!C709</f>
        <v>155183</v>
      </c>
      <c r="S709" s="102" t="str">
        <f t="shared" si="35"/>
        <v>Vink Plast AS (Vindskjermer)</v>
      </c>
    </row>
    <row r="710" spans="11:19" x14ac:dyDescent="0.15">
      <c r="K710" s="102">
        <f>tbl_ArchitectureOffices!D710</f>
        <v>0</v>
      </c>
      <c r="L710" s="102">
        <f>tbl_ArchitectureOffices!C710</f>
        <v>0</v>
      </c>
      <c r="M710" s="102">
        <f t="shared" si="33"/>
        <v>0</v>
      </c>
      <c r="N710" s="102" t="str">
        <f>tbl_Companys!D710</f>
        <v>Miljøbyen Granås AS</v>
      </c>
      <c r="O710" s="102">
        <f>tbl_Companys!C710</f>
        <v>246977</v>
      </c>
      <c r="P710" s="102" t="str">
        <f t="shared" si="34"/>
        <v>Miljøbyen Granås AS</v>
      </c>
      <c r="Q710" s="102" t="str">
        <f>tbl_ConsultingCompanys!D710</f>
        <v>Vink Plast AS (Vindskjermer)</v>
      </c>
      <c r="R710" s="102">
        <f>tbl_ConsultingCompanys!C710</f>
        <v>155185</v>
      </c>
      <c r="S710" s="102" t="str">
        <f t="shared" si="35"/>
        <v>Vink Plast AS (Vindskjermer)</v>
      </c>
    </row>
    <row r="711" spans="11:19" x14ac:dyDescent="0.15">
      <c r="K711" s="102">
        <f>tbl_ArchitectureOffices!D711</f>
        <v>0</v>
      </c>
      <c r="L711" s="102">
        <f>tbl_ArchitectureOffices!C711</f>
        <v>0</v>
      </c>
      <c r="M711" s="102">
        <f t="shared" si="33"/>
        <v>0</v>
      </c>
      <c r="N711" s="102" t="str">
        <f>tbl_Companys!D711</f>
        <v>Miljøconsult AS</v>
      </c>
      <c r="O711" s="102">
        <f>tbl_Companys!C711</f>
        <v>247297</v>
      </c>
      <c r="P711" s="102" t="str">
        <f t="shared" si="34"/>
        <v>Miljøconsult AS</v>
      </c>
      <c r="Q711" s="102" t="str">
        <f>tbl_ConsultingCompanys!D711</f>
        <v>Vintervoll AS</v>
      </c>
      <c r="R711" s="102">
        <f>tbl_ConsultingCompanys!C711</f>
        <v>225765</v>
      </c>
      <c r="S711" s="102" t="str">
        <f t="shared" si="35"/>
        <v>Vintervoll AS</v>
      </c>
    </row>
    <row r="712" spans="11:19" x14ac:dyDescent="0.15">
      <c r="K712" s="102">
        <f>tbl_ArchitectureOffices!D712</f>
        <v>0</v>
      </c>
      <c r="L712" s="102">
        <f>tbl_ArchitectureOffices!C712</f>
        <v>0</v>
      </c>
      <c r="M712" s="102">
        <f t="shared" si="33"/>
        <v>0</v>
      </c>
      <c r="N712" s="102" t="str">
        <f>tbl_Companys!D712</f>
        <v>Miljøforskningssenteret ANS</v>
      </c>
      <c r="O712" s="102">
        <f>tbl_Companys!C712</f>
        <v>160588</v>
      </c>
      <c r="P712" s="102" t="str">
        <f t="shared" si="34"/>
        <v>Miljøforskningssenteret ANS</v>
      </c>
      <c r="Q712" s="102" t="str">
        <f>tbl_ConsultingCompanys!D712</f>
        <v>Vision Bygg AS</v>
      </c>
      <c r="R712" s="102">
        <f>tbl_ConsultingCompanys!C712</f>
        <v>245834</v>
      </c>
      <c r="S712" s="102" t="str">
        <f t="shared" si="35"/>
        <v>Vision Bygg AS</v>
      </c>
    </row>
    <row r="713" spans="11:19" x14ac:dyDescent="0.15">
      <c r="K713" s="102">
        <f>tbl_ArchitectureOffices!D713</f>
        <v>0</v>
      </c>
      <c r="L713" s="102">
        <f>tbl_ArchitectureOffices!C713</f>
        <v>0</v>
      </c>
      <c r="M713" s="102">
        <f t="shared" si="33"/>
        <v>0</v>
      </c>
      <c r="N713" s="102" t="str">
        <f>tbl_Companys!D713</f>
        <v>Minera Norge AS (skifer)</v>
      </c>
      <c r="O713" s="102">
        <f>tbl_Companys!C713</f>
        <v>155751</v>
      </c>
      <c r="P713" s="102" t="str">
        <f t="shared" si="34"/>
        <v>Minera Norge AS (skifer)</v>
      </c>
      <c r="Q713" s="102" t="str">
        <f>tbl_ConsultingCompanys!D713</f>
        <v>VVS Norplan AS</v>
      </c>
      <c r="R713" s="102">
        <f>tbl_ConsultingCompanys!C713</f>
        <v>178154</v>
      </c>
      <c r="S713" s="102" t="str">
        <f t="shared" si="35"/>
        <v>VVS Norplan AS</v>
      </c>
    </row>
    <row r="714" spans="11:19" x14ac:dyDescent="0.15">
      <c r="K714" s="102">
        <f>tbl_ArchitectureOffices!D714</f>
        <v>0</v>
      </c>
      <c r="L714" s="102">
        <f>tbl_ArchitectureOffices!C714</f>
        <v>0</v>
      </c>
      <c r="M714" s="102">
        <f t="shared" si="33"/>
        <v>0</v>
      </c>
      <c r="N714" s="102" t="str">
        <f>tbl_Companys!D714</f>
        <v>Mir Arkitektur AS</v>
      </c>
      <c r="O714" s="102">
        <f>tbl_Companys!C714</f>
        <v>171691</v>
      </c>
      <c r="P714" s="102" t="str">
        <f t="shared" si="34"/>
        <v>Mir Arkitektur AS</v>
      </c>
      <c r="Q714" s="102" t="str">
        <f>tbl_ConsultingCompanys!D714</f>
        <v>Wegger &amp; Kvalsvik AS (totalentreprenør)</v>
      </c>
      <c r="R714" s="102">
        <f>tbl_ConsultingCompanys!C714</f>
        <v>215020</v>
      </c>
      <c r="S714" s="102" t="str">
        <f t="shared" si="35"/>
        <v>Wegger &amp; Kvalsvik AS (totalentreprenør)</v>
      </c>
    </row>
    <row r="715" spans="11:19" x14ac:dyDescent="0.15">
      <c r="K715" s="102">
        <f>tbl_ArchitectureOffices!D715</f>
        <v>0</v>
      </c>
      <c r="L715" s="102">
        <f>tbl_ArchitectureOffices!C715</f>
        <v>0</v>
      </c>
      <c r="M715" s="102">
        <f t="shared" si="33"/>
        <v>0</v>
      </c>
      <c r="N715" s="102" t="str">
        <f>tbl_Companys!D715</f>
        <v>MMW sivilarkitekter mnal as</v>
      </c>
      <c r="O715" s="102">
        <f>tbl_Companys!C715</f>
        <v>171690</v>
      </c>
      <c r="P715" s="102" t="str">
        <f t="shared" si="34"/>
        <v>MMW sivilarkitekter mnal as</v>
      </c>
      <c r="Q715" s="102" t="str">
        <f>tbl_ConsultingCompanys!D715</f>
        <v>Wiberg arkitektur &amp; plan</v>
      </c>
      <c r="R715" s="102">
        <f>tbl_ConsultingCompanys!C715</f>
        <v>228272</v>
      </c>
      <c r="S715" s="102" t="str">
        <f t="shared" si="35"/>
        <v>Wiberg arkitektur &amp; plan</v>
      </c>
    </row>
    <row r="716" spans="11:19" x14ac:dyDescent="0.15">
      <c r="K716" s="102">
        <f>tbl_ArchitectureOffices!D716</f>
        <v>0</v>
      </c>
      <c r="L716" s="102">
        <f>tbl_ArchitectureOffices!C716</f>
        <v>0</v>
      </c>
      <c r="M716" s="102">
        <f t="shared" si="33"/>
        <v>0</v>
      </c>
      <c r="N716" s="102" t="str">
        <f>tbl_Companys!D716</f>
        <v>Modalsli Prosjektering</v>
      </c>
      <c r="O716" s="102">
        <f>tbl_Companys!C716</f>
        <v>162870</v>
      </c>
      <c r="P716" s="102" t="str">
        <f t="shared" si="34"/>
        <v>Modalsli Prosjektering</v>
      </c>
      <c r="Q716" s="102" t="str">
        <f>tbl_ConsultingCompanys!D716</f>
        <v>Will Arentz AS</v>
      </c>
      <c r="R716" s="102">
        <f>tbl_ConsultingCompanys!C716</f>
        <v>103206</v>
      </c>
      <c r="S716" s="102" t="str">
        <f t="shared" si="35"/>
        <v>Will Arentz AS</v>
      </c>
    </row>
    <row r="717" spans="11:19" x14ac:dyDescent="0.15">
      <c r="K717" s="102">
        <f>tbl_ArchitectureOffices!D717</f>
        <v>0</v>
      </c>
      <c r="L717" s="102">
        <f>tbl_ArchitectureOffices!C717</f>
        <v>0</v>
      </c>
      <c r="M717" s="102">
        <f t="shared" si="33"/>
        <v>0</v>
      </c>
      <c r="N717" s="102" t="str">
        <f>tbl_Companys!D717</f>
        <v>Moe &amp; Løvseth AS</v>
      </c>
      <c r="O717" s="102">
        <f>tbl_Companys!C717</f>
        <v>171602</v>
      </c>
      <c r="P717" s="102" t="str">
        <f t="shared" si="34"/>
        <v>Moe &amp; Løvseth AS</v>
      </c>
      <c r="Q717" s="102" t="str">
        <f>tbl_ConsultingCompanys!D717</f>
        <v xml:space="preserve">Will Arentz, Rådgivende ingeniører </v>
      </c>
      <c r="R717" s="102">
        <f>tbl_ConsultingCompanys!C717</f>
        <v>164237</v>
      </c>
      <c r="S717" s="102" t="str">
        <f t="shared" si="35"/>
        <v>Will Arentz, Rådgivende ingeniører</v>
      </c>
    </row>
    <row r="718" spans="11:19" x14ac:dyDescent="0.15">
      <c r="K718" s="102">
        <f>tbl_ArchitectureOffices!D718</f>
        <v>0</v>
      </c>
      <c r="L718" s="102">
        <f>tbl_ArchitectureOffices!C718</f>
        <v>0</v>
      </c>
      <c r="M718" s="102">
        <f t="shared" si="33"/>
        <v>0</v>
      </c>
      <c r="N718" s="102" t="str">
        <f>tbl_Companys!D718</f>
        <v xml:space="preserve">Moe Ltd, Sjur </v>
      </c>
      <c r="O718" s="102">
        <f>tbl_Companys!C718</f>
        <v>173043</v>
      </c>
      <c r="P718" s="102" t="str">
        <f t="shared" si="34"/>
        <v>Moe Ltd, Sjur</v>
      </c>
      <c r="Q718" s="102" t="str">
        <f>tbl_ConsultingCompanys!D718</f>
        <v>Wörle Sparowitz Ingenieure (statikk)</v>
      </c>
      <c r="R718" s="102">
        <f>tbl_ConsultingCompanys!C718</f>
        <v>172575</v>
      </c>
      <c r="S718" s="102" t="str">
        <f t="shared" si="35"/>
        <v>Wörle Sparowitz Ingenieure (statikk)</v>
      </c>
    </row>
    <row r="719" spans="11:19" x14ac:dyDescent="0.15">
      <c r="K719" s="102">
        <f>tbl_ArchitectureOffices!D719</f>
        <v>0</v>
      </c>
      <c r="L719" s="102">
        <f>tbl_ArchitectureOffices!C719</f>
        <v>0</v>
      </c>
      <c r="M719" s="102">
        <f t="shared" si="33"/>
        <v>0</v>
      </c>
      <c r="N719" s="102" t="str">
        <f>tbl_Companys!D719</f>
        <v>Moelven Elektro AS (RIE)</v>
      </c>
      <c r="O719" s="102">
        <f>tbl_Companys!C719</f>
        <v>214149</v>
      </c>
      <c r="P719" s="102" t="str">
        <f t="shared" si="34"/>
        <v>Moelven Elektro AS (RIE)</v>
      </c>
      <c r="Q719" s="102" t="str">
        <f>tbl_ConsultingCompanys!D719</f>
        <v>YIT</v>
      </c>
      <c r="R719" s="102">
        <f>tbl_ConsultingCompanys!C719</f>
        <v>178922</v>
      </c>
      <c r="S719" s="102" t="str">
        <f t="shared" si="35"/>
        <v>YIT</v>
      </c>
    </row>
    <row r="720" spans="11:19" x14ac:dyDescent="0.15">
      <c r="K720" s="102">
        <f>tbl_ArchitectureOffices!D720</f>
        <v>0</v>
      </c>
      <c r="L720" s="102">
        <f>tbl_ArchitectureOffices!C720</f>
        <v>0</v>
      </c>
      <c r="M720" s="102">
        <f t="shared" si="33"/>
        <v>0</v>
      </c>
      <c r="N720" s="102" t="str">
        <f>tbl_Companys!D720</f>
        <v xml:space="preserve">Moelven limtre </v>
      </c>
      <c r="O720" s="102">
        <f>tbl_Companys!C720</f>
        <v>162861</v>
      </c>
      <c r="P720" s="102" t="str">
        <f t="shared" si="34"/>
        <v>Moelven limtre</v>
      </c>
      <c r="Q720" s="102" t="str">
        <f>tbl_ConsultingCompanys!D720</f>
        <v>YIT (tekniske løsninger)</v>
      </c>
      <c r="R720" s="102">
        <f>tbl_ConsultingCompanys!C720</f>
        <v>158235</v>
      </c>
      <c r="S720" s="102" t="str">
        <f t="shared" si="35"/>
        <v>YIT (tekniske løsninger)</v>
      </c>
    </row>
    <row r="721" spans="11:19" x14ac:dyDescent="0.15">
      <c r="K721" s="102">
        <f>tbl_ArchitectureOffices!D721</f>
        <v>0</v>
      </c>
      <c r="L721" s="102">
        <f>tbl_ArchitectureOffices!C721</f>
        <v>0</v>
      </c>
      <c r="M721" s="102">
        <f t="shared" si="33"/>
        <v>0</v>
      </c>
      <c r="N721" s="102" t="str">
        <f>tbl_Companys!D721</f>
        <v>Moelven massivtre (dekker, veggelementer)</v>
      </c>
      <c r="O721" s="102">
        <f>tbl_Companys!C721</f>
        <v>162862</v>
      </c>
      <c r="P721" s="102" t="str">
        <f t="shared" si="34"/>
        <v>Moelven massivtre (dekker, veggelementer)</v>
      </c>
      <c r="Q721" s="102" t="str">
        <f>tbl_ConsultingCompanys!D721</f>
        <v>YIT (ventilasjon, EL)</v>
      </c>
      <c r="R721" s="102">
        <f>tbl_ConsultingCompanys!C721</f>
        <v>157872</v>
      </c>
      <c r="S721" s="102" t="str">
        <f t="shared" si="35"/>
        <v>YIT (ventilasjon, EL)</v>
      </c>
    </row>
    <row r="722" spans="11:19" x14ac:dyDescent="0.15">
      <c r="K722" s="102">
        <f>tbl_ArchitectureOffices!D722</f>
        <v>0</v>
      </c>
      <c r="L722" s="102">
        <f>tbl_ArchitectureOffices!C722</f>
        <v>0</v>
      </c>
      <c r="M722" s="102">
        <f t="shared" si="33"/>
        <v>0</v>
      </c>
      <c r="N722" s="102" t="str">
        <f>tbl_Companys!D722</f>
        <v xml:space="preserve">Molden AS, Mette &amp; Morten </v>
      </c>
      <c r="O722" s="102">
        <f>tbl_Companys!C722</f>
        <v>171689</v>
      </c>
      <c r="P722" s="102" t="str">
        <f t="shared" si="34"/>
        <v>Molden AS, Mette &amp; Morten</v>
      </c>
      <c r="Q722" s="102" t="str">
        <f>tbl_ConsultingCompanys!D722</f>
        <v>YIT, Gard Olsen (Elektro)</v>
      </c>
      <c r="R722" s="102">
        <f>tbl_ConsultingCompanys!C722</f>
        <v>158193</v>
      </c>
      <c r="S722" s="102" t="str">
        <f t="shared" si="35"/>
        <v>YIT, Gard Olsen (Elektro)</v>
      </c>
    </row>
    <row r="723" spans="11:19" x14ac:dyDescent="0.15">
      <c r="K723" s="102">
        <f>tbl_ArchitectureOffices!D723</f>
        <v>0</v>
      </c>
      <c r="L723" s="102">
        <f>tbl_ArchitectureOffices!C723</f>
        <v>0</v>
      </c>
      <c r="M723" s="102">
        <f t="shared" si="33"/>
        <v>0</v>
      </c>
      <c r="N723" s="102" t="str">
        <f>tbl_Companys!D723</f>
        <v>Momenta arkitekter</v>
      </c>
      <c r="O723" s="102">
        <f>tbl_Companys!C723</f>
        <v>171688</v>
      </c>
      <c r="P723" s="102" t="str">
        <f t="shared" si="34"/>
        <v>Momenta arkitekter</v>
      </c>
      <c r="Q723" s="102" t="str">
        <f>tbl_ConsultingCompanys!D723</f>
        <v>YIT/Optimo Prosjekt</v>
      </c>
      <c r="R723" s="102">
        <f>tbl_ConsultingCompanys!C723</f>
        <v>236448</v>
      </c>
      <c r="S723" s="102" t="str">
        <f t="shared" si="35"/>
        <v>YIT/Optimo Prosjekt</v>
      </c>
    </row>
    <row r="724" spans="11:19" x14ac:dyDescent="0.15">
      <c r="K724" s="102">
        <f>tbl_ArchitectureOffices!D724</f>
        <v>0</v>
      </c>
      <c r="L724" s="102">
        <f>tbl_ArchitectureOffices!C724</f>
        <v>0</v>
      </c>
      <c r="M724" s="102">
        <f t="shared" si="33"/>
        <v>0</v>
      </c>
      <c r="N724" s="102" t="str">
        <f>tbl_Companys!D724</f>
        <v>Momentum Arkitekter AS</v>
      </c>
      <c r="O724" s="102">
        <f>tbl_Companys!C724</f>
        <v>186182</v>
      </c>
      <c r="P724" s="102" t="str">
        <f t="shared" si="34"/>
        <v>Momentum Arkitekter AS</v>
      </c>
      <c r="Q724" s="102" t="str">
        <f>tbl_ConsultingCompanys!D724</f>
        <v>Zen Resort &amp; Spa, Norge</v>
      </c>
      <c r="R724" s="102">
        <f>tbl_ConsultingCompanys!C724</f>
        <v>178577</v>
      </c>
      <c r="S724" s="102" t="str">
        <f t="shared" si="35"/>
        <v>Zen Resort &amp; Spa, Norge</v>
      </c>
    </row>
    <row r="725" spans="11:19" x14ac:dyDescent="0.15">
      <c r="K725" s="102">
        <f>tbl_ArchitectureOffices!D725</f>
        <v>0</v>
      </c>
      <c r="L725" s="102">
        <f>tbl_ArchitectureOffices!C725</f>
        <v>0</v>
      </c>
      <c r="M725" s="102">
        <f t="shared" si="33"/>
        <v>0</v>
      </c>
      <c r="N725" s="102" t="str">
        <f>tbl_Companys!D725</f>
        <v>Morfeus Arkitekter</v>
      </c>
      <c r="O725" s="102">
        <f>tbl_Companys!C725</f>
        <v>172296</v>
      </c>
      <c r="P725" s="102" t="str">
        <f t="shared" si="34"/>
        <v>Morfeus Arkitekter</v>
      </c>
      <c r="Q725" s="102" t="str">
        <f>tbl_ConsultingCompanys!D725</f>
        <v>Øivin Vestre</v>
      </c>
      <c r="R725" s="102">
        <f>tbl_ConsultingCompanys!C725</f>
        <v>192373</v>
      </c>
      <c r="S725" s="102" t="str">
        <f t="shared" si="35"/>
        <v>Øivin Vestre</v>
      </c>
    </row>
    <row r="726" spans="11:19" x14ac:dyDescent="0.15">
      <c r="K726" s="102">
        <f>tbl_ArchitectureOffices!D726</f>
        <v>0</v>
      </c>
      <c r="L726" s="102">
        <f>tbl_ArchitectureOffices!C726</f>
        <v>0</v>
      </c>
      <c r="M726" s="102">
        <f t="shared" si="33"/>
        <v>0</v>
      </c>
      <c r="N726" s="102" t="str">
        <f>tbl_Companys!D726</f>
        <v>Morten Hagen</v>
      </c>
      <c r="O726" s="102">
        <f>tbl_Companys!C726</f>
        <v>110658</v>
      </c>
      <c r="P726" s="102" t="str">
        <f t="shared" si="34"/>
        <v>Morten Hagen</v>
      </c>
      <c r="Q726" s="102" t="str">
        <f>tbl_ConsultingCompanys!D726</f>
        <v>Økologisk håndverksbedrift / NJH</v>
      </c>
      <c r="R726" s="102">
        <f>tbl_ConsultingCompanys!C726</f>
        <v>112306</v>
      </c>
      <c r="S726" s="102" t="str">
        <f t="shared" si="35"/>
        <v>Økologisk håndverksbedrift / NJH</v>
      </c>
    </row>
    <row r="727" spans="11:19" x14ac:dyDescent="0.15">
      <c r="K727" s="102">
        <f>tbl_ArchitectureOffices!D727</f>
        <v>0</v>
      </c>
      <c r="L727" s="102">
        <f>tbl_ArchitectureOffices!C727</f>
        <v>0</v>
      </c>
      <c r="M727" s="102">
        <f t="shared" si="33"/>
        <v>0</v>
      </c>
      <c r="N727" s="102" t="str">
        <f>tbl_Companys!D727</f>
        <v>moseng poulsen arkitektur as</v>
      </c>
      <c r="O727" s="102">
        <f>tbl_Companys!C727</f>
        <v>192072</v>
      </c>
      <c r="P727" s="102" t="str">
        <f t="shared" si="34"/>
        <v>moseng poulsen arkitektur as</v>
      </c>
      <c r="Q727" s="102" t="str">
        <f>tbl_ConsultingCompanys!D727</f>
        <v>Øren Consult</v>
      </c>
      <c r="R727" s="102">
        <f>tbl_ConsultingCompanys!C727</f>
        <v>172587</v>
      </c>
      <c r="S727" s="102" t="str">
        <f t="shared" si="35"/>
        <v>Øren Consult</v>
      </c>
    </row>
    <row r="728" spans="11:19" x14ac:dyDescent="0.15">
      <c r="K728" s="102">
        <f>tbl_ArchitectureOffices!D728</f>
        <v>0</v>
      </c>
      <c r="L728" s="102">
        <f>tbl_ArchitectureOffices!C728</f>
        <v>0</v>
      </c>
      <c r="M728" s="102">
        <f t="shared" si="33"/>
        <v>0</v>
      </c>
      <c r="N728" s="102" t="str">
        <f>tbl_Companys!D728</f>
        <v>Mossemøllene eiendom</v>
      </c>
      <c r="O728" s="102">
        <f>tbl_Companys!C728</f>
        <v>224058</v>
      </c>
      <c r="P728" s="102" t="str">
        <f t="shared" si="34"/>
        <v>Mossemøllene eiendom</v>
      </c>
      <c r="Q728" s="102" t="str">
        <f>tbl_ConsultingCompanys!D728</f>
        <v>Øvre Romerike Prosjektering AS</v>
      </c>
      <c r="R728" s="102">
        <f>tbl_ConsultingCompanys!C728</f>
        <v>103255</v>
      </c>
      <c r="S728" s="102" t="str">
        <f t="shared" si="35"/>
        <v>Øvre Romerike Prosjektering AS</v>
      </c>
    </row>
    <row r="729" spans="11:19" x14ac:dyDescent="0.15">
      <c r="K729" s="102">
        <f>tbl_ArchitectureOffices!D729</f>
        <v>0</v>
      </c>
      <c r="L729" s="102">
        <f>tbl_ArchitectureOffices!C729</f>
        <v>0</v>
      </c>
      <c r="M729" s="102">
        <f t="shared" si="33"/>
        <v>0</v>
      </c>
      <c r="N729" s="102" t="str">
        <f>tbl_Companys!D729</f>
        <v>Mossige AS arkitekter</v>
      </c>
      <c r="O729" s="102">
        <f>tbl_Companys!C729</f>
        <v>171686</v>
      </c>
      <c r="P729" s="102" t="str">
        <f t="shared" si="34"/>
        <v>Mossige AS arkitekter</v>
      </c>
      <c r="Q729" s="102" t="str">
        <f>tbl_ConsultingCompanys!D729</f>
        <v>Øystein Thommesen AS</v>
      </c>
      <c r="R729" s="102">
        <f>tbl_ConsultingCompanys!C729</f>
        <v>244636</v>
      </c>
      <c r="S729" s="102" t="str">
        <f t="shared" si="35"/>
        <v>Øystein Thommesen AS</v>
      </c>
    </row>
    <row r="730" spans="11:19" x14ac:dyDescent="0.15">
      <c r="K730" s="102">
        <f>tbl_ArchitectureOffices!D730</f>
        <v>0</v>
      </c>
      <c r="L730" s="102">
        <f>tbl_ArchitectureOffices!C730</f>
        <v>0</v>
      </c>
      <c r="M730" s="102">
        <f t="shared" si="33"/>
        <v>0</v>
      </c>
      <c r="N730" s="102" t="str">
        <f>tbl_Companys!D730</f>
        <v>M-TO sivilarkitekt MNAL</v>
      </c>
      <c r="O730" s="102">
        <f>tbl_Companys!C730</f>
        <v>171685</v>
      </c>
      <c r="P730" s="102" t="str">
        <f t="shared" si="34"/>
        <v>M-TO sivilarkitekt MNAL</v>
      </c>
      <c r="Q730" s="102" t="str">
        <f>tbl_ConsultingCompanys!D730</f>
        <v>ÅF - Consult AS</v>
      </c>
      <c r="R730" s="102">
        <f>tbl_ConsultingCompanys!C730</f>
        <v>214727</v>
      </c>
      <c r="S730" s="102" t="str">
        <f t="shared" si="35"/>
        <v>ÅF - Consult AS</v>
      </c>
    </row>
    <row r="731" spans="11:19" x14ac:dyDescent="0.15">
      <c r="K731" s="102">
        <f>tbl_ArchitectureOffices!D731</f>
        <v>0</v>
      </c>
      <c r="L731" s="102">
        <f>tbl_ArchitectureOffices!C731</f>
        <v>0</v>
      </c>
      <c r="M731" s="102">
        <f t="shared" si="33"/>
        <v>0</v>
      </c>
      <c r="N731" s="102" t="str">
        <f>tbl_Companys!D731</f>
        <v>Multiconsult</v>
      </c>
      <c r="O731" s="102">
        <f>tbl_Companys!C731</f>
        <v>97927</v>
      </c>
      <c r="P731" s="102" t="str">
        <f t="shared" si="34"/>
        <v>Multiconsult</v>
      </c>
      <c r="Q731" s="102" t="str">
        <f>tbl_ConsultingCompanys!D731</f>
        <v>ÅF Engineering AS</v>
      </c>
      <c r="R731" s="102">
        <f>tbl_ConsultingCompanys!C731</f>
        <v>213756</v>
      </c>
      <c r="S731" s="102" t="str">
        <f t="shared" si="35"/>
        <v>ÅF Engineering AS</v>
      </c>
    </row>
    <row r="732" spans="11:19" x14ac:dyDescent="0.15">
      <c r="K732" s="102">
        <f>tbl_ArchitectureOffices!D732</f>
        <v>0</v>
      </c>
      <c r="L732" s="102">
        <f>tbl_ArchitectureOffices!C732</f>
        <v>0</v>
      </c>
      <c r="M732" s="102">
        <f t="shared" si="33"/>
        <v>0</v>
      </c>
      <c r="N732" s="102" t="str">
        <f>tbl_Companys!D732</f>
        <v>Multiteknikk AS</v>
      </c>
      <c r="O732" s="102">
        <f>tbl_Companys!C732</f>
        <v>155701</v>
      </c>
      <c r="P732" s="102" t="str">
        <f t="shared" si="34"/>
        <v>Multiteknikk AS</v>
      </c>
      <c r="Q732" s="102" t="str">
        <f>tbl_ConsultingCompanys!D732</f>
        <v>ÅF-consulting AS (RIE)</v>
      </c>
      <c r="R732" s="102">
        <f>tbl_ConsultingCompanys!C732</f>
        <v>209553</v>
      </c>
      <c r="S732" s="102" t="str">
        <f t="shared" si="35"/>
        <v>ÅF-consulting AS (RIE)</v>
      </c>
    </row>
    <row r="733" spans="11:19" x14ac:dyDescent="0.15">
      <c r="K733" s="102">
        <f>tbl_ArchitectureOffices!D733</f>
        <v>0</v>
      </c>
      <c r="L733" s="102">
        <f>tbl_ArchitectureOffices!C733</f>
        <v>0</v>
      </c>
      <c r="M733" s="102">
        <f t="shared" si="33"/>
        <v>0</v>
      </c>
      <c r="N733" s="102" t="str">
        <f>tbl_Companys!D733</f>
        <v>Murermester Tore Sjømæling</v>
      </c>
      <c r="O733" s="102">
        <f>tbl_Companys!C733</f>
        <v>225762</v>
      </c>
      <c r="P733" s="102" t="str">
        <f t="shared" si="34"/>
        <v>Murermester Tore Sjømæling</v>
      </c>
      <c r="Q733" s="102" t="str">
        <f>tbl_ConsultingCompanys!D733</f>
        <v>Åke Larson Construction AS</v>
      </c>
      <c r="R733" s="102">
        <f>tbl_ConsultingCompanys!C733</f>
        <v>160581</v>
      </c>
      <c r="S733" s="102" t="str">
        <f t="shared" si="35"/>
        <v>Åke Larson Construction AS</v>
      </c>
    </row>
    <row r="734" spans="11:19" x14ac:dyDescent="0.15">
      <c r="K734" s="102">
        <f>tbl_ArchitectureOffices!D734</f>
        <v>0</v>
      </c>
      <c r="L734" s="102">
        <f>tbl_ArchitectureOffices!C734</f>
        <v>0</v>
      </c>
      <c r="M734" s="102">
        <f t="shared" si="33"/>
        <v>0</v>
      </c>
      <c r="N734" s="102" t="str">
        <f>tbl_Companys!D734</f>
        <v>Murmester Aksel Hansen</v>
      </c>
      <c r="O734" s="102">
        <f>tbl_Companys!C734</f>
        <v>157873</v>
      </c>
      <c r="P734" s="102" t="str">
        <f t="shared" si="34"/>
        <v>Murmester Aksel Hansen</v>
      </c>
      <c r="Q734" s="102" t="str">
        <f>tbl_ConsultingCompanys!D734</f>
        <v>Åsane Byggmesterforretning AS</v>
      </c>
      <c r="R734" s="102">
        <f>tbl_ConsultingCompanys!C734</f>
        <v>218050</v>
      </c>
      <c r="S734" s="102" t="str">
        <f t="shared" si="35"/>
        <v>Åsane Byggmesterforretning AS</v>
      </c>
    </row>
    <row r="735" spans="11:19" x14ac:dyDescent="0.15">
      <c r="K735" s="102">
        <f>tbl_ArchitectureOffices!D735</f>
        <v>0</v>
      </c>
      <c r="L735" s="102">
        <f>tbl_ArchitectureOffices!C735</f>
        <v>0</v>
      </c>
      <c r="M735" s="102">
        <f t="shared" si="33"/>
        <v>0</v>
      </c>
      <c r="N735" s="102" t="str">
        <f>tbl_Companys!D735</f>
        <v>Murmester Rolf Holm as</v>
      </c>
      <c r="O735" s="102">
        <f>tbl_Companys!C735</f>
        <v>112153</v>
      </c>
      <c r="P735" s="102" t="str">
        <f t="shared" si="34"/>
        <v>Murmester Rolf Holm as</v>
      </c>
      <c r="Q735" s="102" t="str">
        <f>tbl_ConsultingCompanys!D735</f>
        <v>Åsane Byggmesterforretning AS</v>
      </c>
      <c r="R735" s="102">
        <f>tbl_ConsultingCompanys!C735</f>
        <v>218051</v>
      </c>
      <c r="S735" s="102" t="str">
        <f t="shared" si="35"/>
        <v>Åsane Byggmesterforretning AS</v>
      </c>
    </row>
    <row r="736" spans="11:19" x14ac:dyDescent="0.15">
      <c r="K736" s="102">
        <f>tbl_ArchitectureOffices!D736</f>
        <v>0</v>
      </c>
      <c r="L736" s="102">
        <f>tbl_ArchitectureOffices!C736</f>
        <v>0</v>
      </c>
      <c r="M736" s="102">
        <f t="shared" si="33"/>
        <v>0</v>
      </c>
      <c r="N736" s="102" t="str">
        <f>tbl_Companys!D736</f>
        <v>Myhrerenga BRL</v>
      </c>
      <c r="O736" s="102">
        <f>tbl_Companys!C736</f>
        <v>191299</v>
      </c>
      <c r="P736" s="102" t="str">
        <f t="shared" si="34"/>
        <v>Myhrerenga BRL</v>
      </c>
      <c r="Q736" s="102">
        <f>tbl_ConsultingCompanys!D736</f>
        <v>0</v>
      </c>
      <c r="R736" s="102">
        <f>tbl_ConsultingCompanys!C736</f>
        <v>0</v>
      </c>
      <c r="S736" s="102">
        <f t="shared" si="35"/>
        <v>0</v>
      </c>
    </row>
    <row r="737" spans="11:19" x14ac:dyDescent="0.15">
      <c r="K737" s="102">
        <f>tbl_ArchitectureOffices!D737</f>
        <v>0</v>
      </c>
      <c r="L737" s="102">
        <f>tbl_ArchitectureOffices!C737</f>
        <v>0</v>
      </c>
      <c r="M737" s="102">
        <f t="shared" si="33"/>
        <v>0</v>
      </c>
      <c r="N737" s="102" t="str">
        <f>tbl_Companys!D737</f>
        <v>Myklebust AS</v>
      </c>
      <c r="O737" s="102">
        <f>tbl_Companys!C737</f>
        <v>178927</v>
      </c>
      <c r="P737" s="102" t="str">
        <f t="shared" si="34"/>
        <v>Myklebust AS</v>
      </c>
      <c r="Q737" s="102">
        <f>tbl_ConsultingCompanys!D737</f>
        <v>0</v>
      </c>
      <c r="R737" s="102">
        <f>tbl_ConsultingCompanys!C737</f>
        <v>0</v>
      </c>
      <c r="S737" s="102">
        <f t="shared" si="35"/>
        <v>0</v>
      </c>
    </row>
    <row r="738" spans="11:19" x14ac:dyDescent="0.15">
      <c r="K738" s="102">
        <f>tbl_ArchitectureOffices!D738</f>
        <v>0</v>
      </c>
      <c r="L738" s="102">
        <f>tbl_ArchitectureOffices!C738</f>
        <v>0</v>
      </c>
      <c r="M738" s="102">
        <f t="shared" si="33"/>
        <v>0</v>
      </c>
      <c r="N738" s="102" t="str">
        <f>tbl_Companys!D738</f>
        <v xml:space="preserve">Mylius Arkitektkontor, E. </v>
      </c>
      <c r="O738" s="102">
        <f>tbl_Companys!C738</f>
        <v>178657</v>
      </c>
      <c r="P738" s="102" t="str">
        <f t="shared" si="34"/>
        <v>Mylius Arkitektkontor, E.</v>
      </c>
      <c r="Q738" s="102">
        <f>tbl_ConsultingCompanys!D738</f>
        <v>0</v>
      </c>
      <c r="R738" s="102">
        <f>tbl_ConsultingCompanys!C738</f>
        <v>0</v>
      </c>
      <c r="S738" s="102">
        <f t="shared" si="35"/>
        <v>0</v>
      </c>
    </row>
    <row r="739" spans="11:19" x14ac:dyDescent="0.15">
      <c r="K739" s="102">
        <f>tbl_ArchitectureOffices!D739</f>
        <v>0</v>
      </c>
      <c r="L739" s="102">
        <f>tbl_ArchitectureOffices!C739</f>
        <v>0</v>
      </c>
      <c r="M739" s="102">
        <f t="shared" si="33"/>
        <v>0</v>
      </c>
      <c r="N739" s="102" t="str">
        <f>tbl_Companys!D739</f>
        <v xml:space="preserve">Myrstad AS, Arkitekt Jim </v>
      </c>
      <c r="O739" s="102">
        <f>tbl_Companys!C739</f>
        <v>171683</v>
      </c>
      <c r="P739" s="102" t="str">
        <f t="shared" si="34"/>
        <v>Myrstad AS, Arkitekt Jim</v>
      </c>
      <c r="Q739" s="102">
        <f>tbl_ConsultingCompanys!D739</f>
        <v>0</v>
      </c>
      <c r="R739" s="102">
        <f>tbl_ConsultingCompanys!C739</f>
        <v>0</v>
      </c>
      <c r="S739" s="102">
        <f t="shared" si="35"/>
        <v>0</v>
      </c>
    </row>
    <row r="740" spans="11:19" x14ac:dyDescent="0.15">
      <c r="K740" s="102">
        <f>tbl_ArchitectureOffices!D740</f>
        <v>0</v>
      </c>
      <c r="L740" s="102">
        <f>tbl_ArchitectureOffices!C740</f>
        <v>0</v>
      </c>
      <c r="M740" s="102">
        <f t="shared" si="33"/>
        <v>0</v>
      </c>
      <c r="N740" s="102" t="str">
        <f>tbl_Companys!D740</f>
        <v>Myrvold Utemiljø</v>
      </c>
      <c r="O740" s="102">
        <f>tbl_Companys!C740</f>
        <v>178583</v>
      </c>
      <c r="P740" s="102" t="str">
        <f t="shared" si="34"/>
        <v>Myrvold Utemiljø</v>
      </c>
      <c r="Q740" s="102">
        <f>tbl_ConsultingCompanys!D740</f>
        <v>0</v>
      </c>
      <c r="R740" s="102">
        <f>tbl_ConsultingCompanys!C740</f>
        <v>0</v>
      </c>
      <c r="S740" s="102">
        <f t="shared" si="35"/>
        <v>0</v>
      </c>
    </row>
    <row r="741" spans="11:19" x14ac:dyDescent="0.15">
      <c r="K741" s="102">
        <f>tbl_ArchitectureOffices!D741</f>
        <v>0</v>
      </c>
      <c r="L741" s="102">
        <f>tbl_ArchitectureOffices!C741</f>
        <v>0</v>
      </c>
      <c r="M741" s="102">
        <f t="shared" si="33"/>
        <v>0</v>
      </c>
      <c r="N741" s="102" t="str">
        <f>tbl_Companys!D741</f>
        <v xml:space="preserve">Møller, Arkitektfirmaet C.F. </v>
      </c>
      <c r="O741" s="102">
        <f>tbl_Companys!C741</f>
        <v>171681</v>
      </c>
      <c r="P741" s="102" t="str">
        <f t="shared" si="34"/>
        <v>Møller, Arkitektfirmaet C.F.</v>
      </c>
      <c r="Q741" s="102">
        <f>tbl_ConsultingCompanys!D741</f>
        <v>0</v>
      </c>
      <c r="R741" s="102">
        <f>tbl_ConsultingCompanys!C741</f>
        <v>0</v>
      </c>
      <c r="S741" s="102">
        <f t="shared" si="35"/>
        <v>0</v>
      </c>
    </row>
    <row r="742" spans="11:19" x14ac:dyDescent="0.15">
      <c r="K742" s="102">
        <f>tbl_ArchitectureOffices!D742</f>
        <v>0</v>
      </c>
      <c r="L742" s="102">
        <f>tbl_ArchitectureOffices!C742</f>
        <v>0</v>
      </c>
      <c r="M742" s="102">
        <f t="shared" si="33"/>
        <v>0</v>
      </c>
      <c r="N742" s="102" t="str">
        <f>tbl_Companys!D742</f>
        <v>Møre og Romsdal fylkeskommune</v>
      </c>
      <c r="O742" s="102">
        <f>tbl_Companys!C742</f>
        <v>247286</v>
      </c>
      <c r="P742" s="102" t="str">
        <f t="shared" si="34"/>
        <v>Møre og Romsdal fylkeskommune</v>
      </c>
      <c r="Q742" s="102">
        <f>tbl_ConsultingCompanys!D742</f>
        <v>0</v>
      </c>
      <c r="R742" s="102">
        <f>tbl_ConsultingCompanys!C742</f>
        <v>0</v>
      </c>
      <c r="S742" s="102">
        <f t="shared" si="35"/>
        <v>0</v>
      </c>
    </row>
    <row r="743" spans="11:19" x14ac:dyDescent="0.15">
      <c r="K743" s="102">
        <f>tbl_ArchitectureOffices!D743</f>
        <v>0</v>
      </c>
      <c r="L743" s="102">
        <f>tbl_ArchitectureOffices!C743</f>
        <v>0</v>
      </c>
      <c r="M743" s="102">
        <f t="shared" si="33"/>
        <v>0</v>
      </c>
      <c r="N743" s="102" t="str">
        <f>tbl_Companys!D743</f>
        <v>Møystad + Nielsen Arkitektur AS</v>
      </c>
      <c r="O743" s="102">
        <f>tbl_Companys!C743</f>
        <v>171680</v>
      </c>
      <c r="P743" s="102" t="str">
        <f t="shared" si="34"/>
        <v>Møystad + Nielsen Arkitektur AS</v>
      </c>
      <c r="Q743" s="102">
        <f>tbl_ConsultingCompanys!D743</f>
        <v>0</v>
      </c>
      <c r="R743" s="102">
        <f>tbl_ConsultingCompanys!C743</f>
        <v>0</v>
      </c>
      <c r="S743" s="102">
        <f t="shared" si="35"/>
        <v>0</v>
      </c>
    </row>
    <row r="744" spans="11:19" x14ac:dyDescent="0.15">
      <c r="K744" s="102">
        <f>tbl_ArchitectureOffices!D744</f>
        <v>0</v>
      </c>
      <c r="L744" s="102">
        <f>tbl_ArchitectureOffices!C744</f>
        <v>0</v>
      </c>
      <c r="M744" s="102">
        <f t="shared" si="33"/>
        <v>0</v>
      </c>
      <c r="N744" s="102" t="str">
        <f>tbl_Companys!D744</f>
        <v>Narud-Stokke-Wiig sivilarkitekter as</v>
      </c>
      <c r="O744" s="102">
        <f>tbl_Companys!C744</f>
        <v>171508</v>
      </c>
      <c r="P744" s="102" t="str">
        <f t="shared" si="34"/>
        <v>Narud-Stokke-Wiig sivilarkitekter as</v>
      </c>
      <c r="Q744" s="102">
        <f>tbl_ConsultingCompanys!D744</f>
        <v>0</v>
      </c>
      <c r="R744" s="102">
        <f>tbl_ConsultingCompanys!C744</f>
        <v>0</v>
      </c>
      <c r="S744" s="102">
        <f t="shared" si="35"/>
        <v>0</v>
      </c>
    </row>
    <row r="745" spans="11:19" x14ac:dyDescent="0.15">
      <c r="K745" s="102">
        <f>tbl_ArchitectureOffices!D745</f>
        <v>0</v>
      </c>
      <c r="L745" s="102">
        <f>tbl_ArchitectureOffices!C745</f>
        <v>0</v>
      </c>
      <c r="M745" s="102">
        <f t="shared" si="33"/>
        <v>0</v>
      </c>
      <c r="N745" s="102" t="str">
        <f>tbl_Companys!D745</f>
        <v xml:space="preserve">Nataas, Gisle </v>
      </c>
      <c r="O745" s="102">
        <f>tbl_Companys!C745</f>
        <v>171507</v>
      </c>
      <c r="P745" s="102" t="str">
        <f t="shared" si="34"/>
        <v>Nataas, Gisle</v>
      </c>
      <c r="Q745" s="102">
        <f>tbl_ConsultingCompanys!D745</f>
        <v>0</v>
      </c>
      <c r="R745" s="102">
        <f>tbl_ConsultingCompanys!C745</f>
        <v>0</v>
      </c>
      <c r="S745" s="102">
        <f t="shared" si="35"/>
        <v>0</v>
      </c>
    </row>
    <row r="746" spans="11:19" x14ac:dyDescent="0.15">
      <c r="K746" s="102">
        <f>tbl_ArchitectureOffices!D746</f>
        <v>0</v>
      </c>
      <c r="L746" s="102">
        <f>tbl_ArchitectureOffices!C746</f>
        <v>0</v>
      </c>
      <c r="M746" s="102">
        <f t="shared" si="33"/>
        <v>0</v>
      </c>
      <c r="N746" s="102" t="str">
        <f>tbl_Companys!D746</f>
        <v>National Elektro AS</v>
      </c>
      <c r="O746" s="102">
        <f>tbl_Companys!C746</f>
        <v>110479</v>
      </c>
      <c r="P746" s="102" t="str">
        <f t="shared" si="34"/>
        <v>National Elektro AS</v>
      </c>
      <c r="Q746" s="102">
        <f>tbl_ConsultingCompanys!D746</f>
        <v>0</v>
      </c>
      <c r="R746" s="102">
        <f>tbl_ConsultingCompanys!C746</f>
        <v>0</v>
      </c>
      <c r="S746" s="102">
        <f t="shared" si="35"/>
        <v>0</v>
      </c>
    </row>
    <row r="747" spans="11:19" x14ac:dyDescent="0.15">
      <c r="K747" s="102">
        <f>tbl_ArchitectureOffices!D747</f>
        <v>0</v>
      </c>
      <c r="L747" s="102">
        <f>tbl_ArchitectureOffices!C747</f>
        <v>0</v>
      </c>
      <c r="M747" s="102">
        <f t="shared" si="33"/>
        <v>0</v>
      </c>
      <c r="N747" s="102" t="str">
        <f>tbl_Companys!D747</f>
        <v>Naturbygg AS</v>
      </c>
      <c r="O747" s="102">
        <f>tbl_Companys!C747</f>
        <v>103262</v>
      </c>
      <c r="P747" s="102" t="str">
        <f t="shared" si="34"/>
        <v>Naturbygg AS</v>
      </c>
      <c r="Q747" s="102">
        <f>tbl_ConsultingCompanys!D747</f>
        <v>0</v>
      </c>
      <c r="R747" s="102">
        <f>tbl_ConsultingCompanys!C747</f>
        <v>0</v>
      </c>
      <c r="S747" s="102">
        <f t="shared" si="35"/>
        <v>0</v>
      </c>
    </row>
    <row r="748" spans="11:19" x14ac:dyDescent="0.15">
      <c r="K748" s="102">
        <f>tbl_ArchitectureOffices!D748</f>
        <v>0</v>
      </c>
      <c r="L748" s="102">
        <f>tbl_ArchitectureOffices!C748</f>
        <v>0</v>
      </c>
      <c r="M748" s="102">
        <f t="shared" si="33"/>
        <v>0</v>
      </c>
      <c r="N748" s="102" t="str">
        <f>tbl_Companys!D748</f>
        <v>NAV A.S. Arkitekter MNAL NPA</v>
      </c>
      <c r="O748" s="102">
        <f>tbl_Companys!C748</f>
        <v>171506</v>
      </c>
      <c r="P748" s="102" t="str">
        <f t="shared" si="34"/>
        <v>NAV A.S. Arkitekter MNAL NPA</v>
      </c>
      <c r="Q748" s="102">
        <f>tbl_ConsultingCompanys!D748</f>
        <v>0</v>
      </c>
      <c r="R748" s="102">
        <f>tbl_ConsultingCompanys!C748</f>
        <v>0</v>
      </c>
      <c r="S748" s="102">
        <f t="shared" si="35"/>
        <v>0</v>
      </c>
    </row>
    <row r="749" spans="11:19" x14ac:dyDescent="0.15">
      <c r="K749" s="102">
        <f>tbl_ArchitectureOffices!D749</f>
        <v>0</v>
      </c>
      <c r="L749" s="102">
        <f>tbl_ArchitectureOffices!C749</f>
        <v>0</v>
      </c>
      <c r="M749" s="102">
        <f t="shared" si="33"/>
        <v>0</v>
      </c>
      <c r="N749" s="102" t="str">
        <f>tbl_Companys!D749</f>
        <v>NCC Construction AS</v>
      </c>
      <c r="O749" s="102">
        <f>tbl_Companys!C749</f>
        <v>97922</v>
      </c>
      <c r="P749" s="102" t="str">
        <f t="shared" si="34"/>
        <v>NCC Construction AS</v>
      </c>
      <c r="Q749" s="102">
        <f>tbl_ConsultingCompanys!D749</f>
        <v>0</v>
      </c>
      <c r="R749" s="102">
        <f>tbl_ConsultingCompanys!C749</f>
        <v>0</v>
      </c>
      <c r="S749" s="102">
        <f t="shared" si="35"/>
        <v>0</v>
      </c>
    </row>
    <row r="750" spans="11:19" x14ac:dyDescent="0.15">
      <c r="K750" s="102">
        <f>tbl_ArchitectureOffices!D750</f>
        <v>0</v>
      </c>
      <c r="L750" s="102">
        <f>tbl_ArchitectureOffices!C750</f>
        <v>0</v>
      </c>
      <c r="M750" s="102">
        <f t="shared" si="33"/>
        <v>0</v>
      </c>
      <c r="N750" s="102" t="str">
        <f>tbl_Companys!D750</f>
        <v>NCC Construction AS</v>
      </c>
      <c r="O750" s="102">
        <f>tbl_Companys!C750</f>
        <v>165388</v>
      </c>
      <c r="P750" s="102" t="str">
        <f t="shared" si="34"/>
        <v>NCC Construction AS</v>
      </c>
      <c r="Q750" s="102">
        <f>tbl_ConsultingCompanys!D750</f>
        <v>0</v>
      </c>
      <c r="R750" s="102">
        <f>tbl_ConsultingCompanys!C750</f>
        <v>0</v>
      </c>
      <c r="S750" s="102">
        <f t="shared" si="35"/>
        <v>0</v>
      </c>
    </row>
    <row r="751" spans="11:19" x14ac:dyDescent="0.15">
      <c r="K751" s="102">
        <f>tbl_ArchitectureOffices!D751</f>
        <v>0</v>
      </c>
      <c r="L751" s="102">
        <f>tbl_ArchitectureOffices!C751</f>
        <v>0</v>
      </c>
      <c r="M751" s="102">
        <f t="shared" si="33"/>
        <v>0</v>
      </c>
      <c r="N751" s="102" t="str">
        <f>tbl_Companys!D751</f>
        <v>NCC Property Development</v>
      </c>
      <c r="O751" s="102">
        <f>tbl_Companys!C751</f>
        <v>207445</v>
      </c>
      <c r="P751" s="102" t="str">
        <f t="shared" si="34"/>
        <v>NCC Property Development</v>
      </c>
      <c r="Q751" s="102">
        <f>tbl_ConsultingCompanys!D751</f>
        <v>0</v>
      </c>
      <c r="R751" s="102">
        <f>tbl_ConsultingCompanys!C751</f>
        <v>0</v>
      </c>
      <c r="S751" s="102">
        <f t="shared" si="35"/>
        <v>0</v>
      </c>
    </row>
    <row r="752" spans="11:19" x14ac:dyDescent="0.15">
      <c r="K752" s="102">
        <f>tbl_ArchitectureOffices!D752</f>
        <v>0</v>
      </c>
      <c r="L752" s="102">
        <f>tbl_ArchitectureOffices!C752</f>
        <v>0</v>
      </c>
      <c r="M752" s="102">
        <f t="shared" si="33"/>
        <v>0</v>
      </c>
      <c r="N752" s="102" t="str">
        <f>tbl_Companys!D752</f>
        <v>Neas Consulting</v>
      </c>
      <c r="O752" s="102">
        <f>tbl_Companys!C752</f>
        <v>178155</v>
      </c>
      <c r="P752" s="102" t="str">
        <f t="shared" si="34"/>
        <v>Neas Consulting</v>
      </c>
      <c r="Q752" s="102">
        <f>tbl_ConsultingCompanys!D752</f>
        <v>0</v>
      </c>
      <c r="R752" s="102">
        <f>tbl_ConsultingCompanys!C752</f>
        <v>0</v>
      </c>
      <c r="S752" s="102">
        <f t="shared" si="35"/>
        <v>0</v>
      </c>
    </row>
    <row r="753" spans="11:19" x14ac:dyDescent="0.15">
      <c r="K753" s="102">
        <f>tbl_ArchitectureOffices!D753</f>
        <v>0</v>
      </c>
      <c r="L753" s="102">
        <f>tbl_ArchitectureOffices!C753</f>
        <v>0</v>
      </c>
      <c r="M753" s="102">
        <f t="shared" si="33"/>
        <v>0</v>
      </c>
      <c r="N753" s="102" t="str">
        <f>tbl_Companys!D753</f>
        <v>Nedig AS</v>
      </c>
      <c r="O753" s="102">
        <f>tbl_Companys!C753</f>
        <v>103150</v>
      </c>
      <c r="P753" s="102" t="str">
        <f t="shared" si="34"/>
        <v>Nedig AS</v>
      </c>
      <c r="Q753" s="102">
        <f>tbl_ConsultingCompanys!D753</f>
        <v>0</v>
      </c>
      <c r="R753" s="102">
        <f>tbl_ConsultingCompanys!C753</f>
        <v>0</v>
      </c>
      <c r="S753" s="102">
        <f t="shared" si="35"/>
        <v>0</v>
      </c>
    </row>
    <row r="754" spans="11:19" x14ac:dyDescent="0.15">
      <c r="K754" s="102">
        <f>tbl_ArchitectureOffices!D754</f>
        <v>0</v>
      </c>
      <c r="L754" s="102">
        <f>tbl_ArchitectureOffices!C754</f>
        <v>0</v>
      </c>
      <c r="M754" s="102">
        <f t="shared" si="33"/>
        <v>0</v>
      </c>
      <c r="N754" s="102" t="str">
        <f>tbl_Companys!D754</f>
        <v>Nedre Buskerud Boligbyggelag (NBBO)</v>
      </c>
      <c r="O754" s="102">
        <f>tbl_Companys!C754</f>
        <v>207456</v>
      </c>
      <c r="P754" s="102" t="str">
        <f t="shared" si="34"/>
        <v>Nedre Buskerud Boligbyggelag (NBBO)</v>
      </c>
      <c r="Q754" s="102">
        <f>tbl_ConsultingCompanys!D754</f>
        <v>0</v>
      </c>
      <c r="R754" s="102">
        <f>tbl_ConsultingCompanys!C754</f>
        <v>0</v>
      </c>
      <c r="S754" s="102">
        <f t="shared" si="35"/>
        <v>0</v>
      </c>
    </row>
    <row r="755" spans="11:19" x14ac:dyDescent="0.15">
      <c r="K755" s="102">
        <f>tbl_ArchitectureOffices!D755</f>
        <v>0</v>
      </c>
      <c r="L755" s="102">
        <f>tbl_ArchitectureOffices!C755</f>
        <v>0</v>
      </c>
      <c r="M755" s="102">
        <f t="shared" si="33"/>
        <v>0</v>
      </c>
      <c r="N755" s="102" t="str">
        <f>tbl_Companys!D755</f>
        <v xml:space="preserve">Nes Arkitekter, Leiv </v>
      </c>
      <c r="O755" s="102">
        <f>tbl_Companys!C755</f>
        <v>172651</v>
      </c>
      <c r="P755" s="102" t="str">
        <f t="shared" si="34"/>
        <v>Nes Arkitekter, Leiv</v>
      </c>
      <c r="Q755" s="102">
        <f>tbl_ConsultingCompanys!D755</f>
        <v>0</v>
      </c>
      <c r="R755" s="102">
        <f>tbl_ConsultingCompanys!C755</f>
        <v>0</v>
      </c>
      <c r="S755" s="102">
        <f t="shared" si="35"/>
        <v>0</v>
      </c>
    </row>
    <row r="756" spans="11:19" x14ac:dyDescent="0.15">
      <c r="K756" s="102">
        <f>tbl_ArchitectureOffices!D756</f>
        <v>0</v>
      </c>
      <c r="L756" s="102">
        <f>tbl_ArchitectureOffices!C756</f>
        <v>0</v>
      </c>
      <c r="M756" s="102">
        <f t="shared" si="33"/>
        <v>0</v>
      </c>
      <c r="N756" s="102" t="str">
        <f>tbl_Companys!D756</f>
        <v>Nesodden Arkitektkontor AS</v>
      </c>
      <c r="O756" s="102">
        <f>tbl_Companys!C756</f>
        <v>172656</v>
      </c>
      <c r="P756" s="102" t="str">
        <f t="shared" si="34"/>
        <v>Nesodden Arkitektkontor AS</v>
      </c>
      <c r="Q756" s="102">
        <f>tbl_ConsultingCompanys!D756</f>
        <v>0</v>
      </c>
      <c r="R756" s="102">
        <f>tbl_ConsultingCompanys!C756</f>
        <v>0</v>
      </c>
      <c r="S756" s="102">
        <f t="shared" si="35"/>
        <v>0</v>
      </c>
    </row>
    <row r="757" spans="11:19" x14ac:dyDescent="0.15">
      <c r="K757" s="102">
        <f>tbl_ArchitectureOffices!D757</f>
        <v>0</v>
      </c>
      <c r="L757" s="102">
        <f>tbl_ArchitectureOffices!C757</f>
        <v>0</v>
      </c>
      <c r="M757" s="102">
        <f t="shared" si="33"/>
        <v>0</v>
      </c>
      <c r="N757" s="102" t="str">
        <f>tbl_Companys!D757</f>
        <v>Nesodden kommune</v>
      </c>
      <c r="O757" s="102">
        <f>tbl_Companys!C757</f>
        <v>160571</v>
      </c>
      <c r="P757" s="102" t="str">
        <f t="shared" si="34"/>
        <v>Nesodden kommune</v>
      </c>
      <c r="Q757" s="102">
        <f>tbl_ConsultingCompanys!D757</f>
        <v>0</v>
      </c>
      <c r="R757" s="102">
        <f>tbl_ConsultingCompanys!C757</f>
        <v>0</v>
      </c>
      <c r="S757" s="102">
        <f t="shared" si="35"/>
        <v>0</v>
      </c>
    </row>
    <row r="758" spans="11:19" x14ac:dyDescent="0.15">
      <c r="K758" s="102">
        <f>tbl_ArchitectureOffices!D758</f>
        <v>0</v>
      </c>
      <c r="L758" s="102">
        <f>tbl_ArchitectureOffices!C758</f>
        <v>0</v>
      </c>
      <c r="M758" s="102">
        <f t="shared" si="33"/>
        <v>0</v>
      </c>
      <c r="N758" s="102" t="str">
        <f>tbl_Companys!D758</f>
        <v>Nexi Bygg as</v>
      </c>
      <c r="O758" s="102">
        <f>tbl_Companys!C758</f>
        <v>94533</v>
      </c>
      <c r="P758" s="102" t="str">
        <f t="shared" si="34"/>
        <v>Nexi Bygg as</v>
      </c>
      <c r="Q758" s="102">
        <f>tbl_ConsultingCompanys!D758</f>
        <v>0</v>
      </c>
      <c r="R758" s="102">
        <f>tbl_ConsultingCompanys!C758</f>
        <v>0</v>
      </c>
      <c r="S758" s="102">
        <f t="shared" si="35"/>
        <v>0</v>
      </c>
    </row>
    <row r="759" spans="11:19" x14ac:dyDescent="0.15">
      <c r="K759" s="102">
        <f>tbl_ArchitectureOffices!D759</f>
        <v>0</v>
      </c>
      <c r="L759" s="102">
        <f>tbl_ArchitectureOffices!C759</f>
        <v>0</v>
      </c>
      <c r="M759" s="102">
        <f t="shared" si="33"/>
        <v>0</v>
      </c>
      <c r="N759" s="102" t="str">
        <f>tbl_Companys!D759</f>
        <v>Nils Ivar Bovim</v>
      </c>
      <c r="O759" s="102">
        <f>tbl_Companys!C759</f>
        <v>193869</v>
      </c>
      <c r="P759" s="102" t="str">
        <f t="shared" si="34"/>
        <v>Nils Ivar Bovim</v>
      </c>
      <c r="Q759" s="102">
        <f>tbl_ConsultingCompanys!D759</f>
        <v>0</v>
      </c>
      <c r="R759" s="102">
        <f>tbl_ConsultingCompanys!C759</f>
        <v>0</v>
      </c>
      <c r="S759" s="102">
        <f t="shared" si="35"/>
        <v>0</v>
      </c>
    </row>
    <row r="760" spans="11:19" x14ac:dyDescent="0.15">
      <c r="K760" s="102">
        <f>tbl_ArchitectureOffices!D760</f>
        <v>0</v>
      </c>
      <c r="L760" s="102">
        <f>tbl_ArchitectureOffices!C760</f>
        <v>0</v>
      </c>
      <c r="M760" s="102">
        <f t="shared" si="33"/>
        <v>0</v>
      </c>
      <c r="N760" s="102" t="str">
        <f>tbl_Companys!D760</f>
        <v>NODE rådgivende ing.AS</v>
      </c>
      <c r="O760" s="102">
        <f>tbl_Companys!C760</f>
        <v>166297</v>
      </c>
      <c r="P760" s="102" t="str">
        <f t="shared" si="34"/>
        <v>NODE rådgivende ing.AS</v>
      </c>
      <c r="Q760" s="102">
        <f>tbl_ConsultingCompanys!D760</f>
        <v>0</v>
      </c>
      <c r="R760" s="102">
        <f>tbl_ConsultingCompanys!C760</f>
        <v>0</v>
      </c>
      <c r="S760" s="102">
        <f t="shared" si="35"/>
        <v>0</v>
      </c>
    </row>
    <row r="761" spans="11:19" x14ac:dyDescent="0.15">
      <c r="K761" s="102">
        <f>tbl_ArchitectureOffices!D761</f>
        <v>0</v>
      </c>
      <c r="L761" s="102">
        <f>tbl_ArchitectureOffices!C761</f>
        <v>0</v>
      </c>
      <c r="M761" s="102">
        <f t="shared" si="33"/>
        <v>0</v>
      </c>
      <c r="N761" s="102" t="str">
        <f>tbl_Companys!D761</f>
        <v>NODE rådgivende ingeniører as (RIB)</v>
      </c>
      <c r="O761" s="102">
        <f>tbl_Companys!C761</f>
        <v>215424</v>
      </c>
      <c r="P761" s="102" t="str">
        <f t="shared" si="34"/>
        <v>NODE rådgivende ingeniører as (RIB)</v>
      </c>
      <c r="Q761" s="102">
        <f>tbl_ConsultingCompanys!D761</f>
        <v>0</v>
      </c>
      <c r="R761" s="102">
        <f>tbl_ConsultingCompanys!C761</f>
        <v>0</v>
      </c>
      <c r="S761" s="102">
        <f t="shared" si="35"/>
        <v>0</v>
      </c>
    </row>
    <row r="762" spans="11:19" x14ac:dyDescent="0.15">
      <c r="K762" s="102">
        <f>tbl_ArchitectureOffices!D762</f>
        <v>0</v>
      </c>
      <c r="L762" s="102">
        <f>tbl_ArchitectureOffices!C762</f>
        <v>0</v>
      </c>
      <c r="M762" s="102">
        <f t="shared" si="33"/>
        <v>0</v>
      </c>
      <c r="N762" s="102" t="str">
        <f>tbl_Companys!D762</f>
        <v>Noncon:form (Østerrike)</v>
      </c>
      <c r="O762" s="102">
        <f>tbl_Companys!C762</f>
        <v>245866</v>
      </c>
      <c r="P762" s="102" t="str">
        <f t="shared" si="34"/>
        <v>Noncon:form (Østerrike)</v>
      </c>
      <c r="Q762" s="102">
        <f>tbl_ConsultingCompanys!D762</f>
        <v>0</v>
      </c>
      <c r="R762" s="102">
        <f>tbl_ConsultingCompanys!C762</f>
        <v>0</v>
      </c>
      <c r="S762" s="102">
        <f t="shared" si="35"/>
        <v>0</v>
      </c>
    </row>
    <row r="763" spans="11:19" x14ac:dyDescent="0.15">
      <c r="K763" s="102">
        <f>tbl_ArchitectureOffices!D763</f>
        <v>0</v>
      </c>
      <c r="L763" s="102">
        <f>tbl_ArchitectureOffices!C763</f>
        <v>0</v>
      </c>
      <c r="M763" s="102">
        <f t="shared" si="33"/>
        <v>0</v>
      </c>
      <c r="N763" s="102" t="str">
        <f>tbl_Companys!D763</f>
        <v>Norconsult AS</v>
      </c>
      <c r="O763" s="102">
        <f>tbl_Companys!C763</f>
        <v>103147</v>
      </c>
      <c r="P763" s="102" t="str">
        <f t="shared" si="34"/>
        <v>Norconsult AS</v>
      </c>
      <c r="Q763" s="102">
        <f>tbl_ConsultingCompanys!D763</f>
        <v>0</v>
      </c>
      <c r="R763" s="102">
        <f>tbl_ConsultingCompanys!C763</f>
        <v>0</v>
      </c>
      <c r="S763" s="102">
        <f t="shared" si="35"/>
        <v>0</v>
      </c>
    </row>
    <row r="764" spans="11:19" x14ac:dyDescent="0.15">
      <c r="K764" s="102">
        <f>tbl_ArchitectureOffices!D764</f>
        <v>0</v>
      </c>
      <c r="L764" s="102">
        <f>tbl_ArchitectureOffices!C764</f>
        <v>0</v>
      </c>
      <c r="M764" s="102">
        <f t="shared" si="33"/>
        <v>0</v>
      </c>
      <c r="N764" s="102" t="str">
        <f>tbl_Companys!D764</f>
        <v>Norconsult AS</v>
      </c>
      <c r="O764" s="102">
        <f>tbl_Companys!C764</f>
        <v>247295</v>
      </c>
      <c r="P764" s="102" t="str">
        <f t="shared" si="34"/>
        <v>Norconsult AS</v>
      </c>
      <c r="Q764" s="102">
        <f>tbl_ConsultingCompanys!D764</f>
        <v>0</v>
      </c>
      <c r="R764" s="102">
        <f>tbl_ConsultingCompanys!C764</f>
        <v>0</v>
      </c>
      <c r="S764" s="102">
        <f t="shared" si="35"/>
        <v>0</v>
      </c>
    </row>
    <row r="765" spans="11:19" x14ac:dyDescent="0.15">
      <c r="K765" s="102">
        <f>tbl_ArchitectureOffices!D765</f>
        <v>0</v>
      </c>
      <c r="L765" s="102">
        <f>tbl_ArchitectureOffices!C765</f>
        <v>0</v>
      </c>
      <c r="M765" s="102">
        <f t="shared" si="33"/>
        <v>0</v>
      </c>
      <c r="N765" s="102" t="str">
        <f>tbl_Companys!D765</f>
        <v xml:space="preserve">Nord AS, Arkitektkontoret </v>
      </c>
      <c r="O765" s="102">
        <f>tbl_Companys!C765</f>
        <v>171505</v>
      </c>
      <c r="P765" s="102" t="str">
        <f t="shared" si="34"/>
        <v>Nord AS, Arkitektkontoret</v>
      </c>
      <c r="Q765" s="102">
        <f>tbl_ConsultingCompanys!D765</f>
        <v>0</v>
      </c>
      <c r="R765" s="102">
        <f>tbl_ConsultingCompanys!C765</f>
        <v>0</v>
      </c>
      <c r="S765" s="102">
        <f t="shared" si="35"/>
        <v>0</v>
      </c>
    </row>
    <row r="766" spans="11:19" x14ac:dyDescent="0.15">
      <c r="K766" s="102">
        <f>tbl_ArchitectureOffices!D766</f>
        <v>0</v>
      </c>
      <c r="L766" s="102">
        <f>tbl_ArchitectureOffices!C766</f>
        <v>0</v>
      </c>
      <c r="M766" s="102">
        <f t="shared" si="33"/>
        <v>0</v>
      </c>
      <c r="N766" s="102" t="str">
        <f>tbl_Companys!D766</f>
        <v>NorDan AS (dører, vinduer, glassfasade)</v>
      </c>
      <c r="O766" s="102">
        <f>tbl_Companys!C766</f>
        <v>172953</v>
      </c>
      <c r="P766" s="102" t="str">
        <f t="shared" si="34"/>
        <v>NorDan AS (dører, vinduer, glassfasade)</v>
      </c>
      <c r="Q766" s="102">
        <f>tbl_ConsultingCompanys!D766</f>
        <v>0</v>
      </c>
      <c r="R766" s="102">
        <f>tbl_ConsultingCompanys!C766</f>
        <v>0</v>
      </c>
      <c r="S766" s="102">
        <f t="shared" si="35"/>
        <v>0</v>
      </c>
    </row>
    <row r="767" spans="11:19" x14ac:dyDescent="0.15">
      <c r="K767" s="102">
        <f>tbl_ArchitectureOffices!D767</f>
        <v>0</v>
      </c>
      <c r="L767" s="102">
        <f>tbl_ArchitectureOffices!C767</f>
        <v>0</v>
      </c>
      <c r="M767" s="102">
        <f t="shared" si="33"/>
        <v>0</v>
      </c>
      <c r="N767" s="102" t="str">
        <f>tbl_Companys!D767</f>
        <v xml:space="preserve">Nordberg As, Sissel </v>
      </c>
      <c r="O767" s="102">
        <f>tbl_Companys!C767</f>
        <v>172680</v>
      </c>
      <c r="P767" s="102" t="str">
        <f t="shared" si="34"/>
        <v>Nordberg As, Sissel</v>
      </c>
      <c r="Q767" s="102">
        <f>tbl_ConsultingCompanys!D767</f>
        <v>0</v>
      </c>
      <c r="R767" s="102">
        <f>tbl_ConsultingCompanys!C767</f>
        <v>0</v>
      </c>
      <c r="S767" s="102">
        <f t="shared" si="35"/>
        <v>0</v>
      </c>
    </row>
    <row r="768" spans="11:19" x14ac:dyDescent="0.15">
      <c r="K768" s="102">
        <f>tbl_ArchitectureOffices!D768</f>
        <v>0</v>
      </c>
      <c r="L768" s="102">
        <f>tbl_ArchitectureOffices!C768</f>
        <v>0</v>
      </c>
      <c r="M768" s="102">
        <f t="shared" si="33"/>
        <v>0</v>
      </c>
      <c r="N768" s="102" t="str">
        <f>tbl_Companys!D768</f>
        <v xml:space="preserve">Nordbohus AS v/ ingeniør Randi Nåvik </v>
      </c>
      <c r="O768" s="102">
        <f>tbl_Companys!C768</f>
        <v>111983</v>
      </c>
      <c r="P768" s="102" t="str">
        <f t="shared" si="34"/>
        <v>Nordbohus AS v/ ingeniør Randi Nåvik</v>
      </c>
      <c r="Q768" s="102">
        <f>tbl_ConsultingCompanys!D768</f>
        <v>0</v>
      </c>
      <c r="R768" s="102">
        <f>tbl_ConsultingCompanys!C768</f>
        <v>0</v>
      </c>
      <c r="S768" s="102">
        <f t="shared" si="35"/>
        <v>0</v>
      </c>
    </row>
    <row r="769" spans="11:19" x14ac:dyDescent="0.15">
      <c r="K769" s="102">
        <f>tbl_ArchitectureOffices!D769</f>
        <v>0</v>
      </c>
      <c r="L769" s="102">
        <f>tbl_ArchitectureOffices!C769</f>
        <v>0</v>
      </c>
      <c r="M769" s="102">
        <f t="shared" si="33"/>
        <v>0</v>
      </c>
      <c r="N769" s="102" t="str">
        <f>tbl_Companys!D769</f>
        <v>Nordesign</v>
      </c>
      <c r="O769" s="102">
        <f>tbl_Companys!C769</f>
        <v>232352</v>
      </c>
      <c r="P769" s="102" t="str">
        <f t="shared" si="34"/>
        <v>Nordesign</v>
      </c>
      <c r="Q769" s="102">
        <f>tbl_ConsultingCompanys!D769</f>
        <v>0</v>
      </c>
      <c r="R769" s="102">
        <f>tbl_ConsultingCompanys!C769</f>
        <v>0</v>
      </c>
      <c r="S769" s="102">
        <f t="shared" si="35"/>
        <v>0</v>
      </c>
    </row>
    <row r="770" spans="11:19" x14ac:dyDescent="0.15">
      <c r="K770" s="102">
        <f>tbl_ArchitectureOffices!D770</f>
        <v>0</v>
      </c>
      <c r="L770" s="102">
        <f>tbl_ArchitectureOffices!C770</f>
        <v>0</v>
      </c>
      <c r="M770" s="102">
        <f t="shared" si="33"/>
        <v>0</v>
      </c>
      <c r="N770" s="102" t="str">
        <f>tbl_Companys!D770</f>
        <v>Nordic - Office of Architecture</v>
      </c>
      <c r="O770" s="102">
        <f>tbl_Companys!C770</f>
        <v>172792</v>
      </c>
      <c r="P770" s="102" t="str">
        <f t="shared" si="34"/>
        <v>Nordic - Office of Architecture</v>
      </c>
      <c r="Q770" s="102">
        <f>tbl_ConsultingCompanys!D770</f>
        <v>0</v>
      </c>
      <c r="R770" s="102">
        <f>tbl_ConsultingCompanys!C770</f>
        <v>0</v>
      </c>
      <c r="S770" s="102">
        <f t="shared" si="35"/>
        <v>0</v>
      </c>
    </row>
    <row r="771" spans="11:19" x14ac:dyDescent="0.15">
      <c r="K771" s="102">
        <f>tbl_ArchitectureOffices!D771</f>
        <v>0</v>
      </c>
      <c r="L771" s="102">
        <f>tbl_ArchitectureOffices!C771</f>
        <v>0</v>
      </c>
      <c r="M771" s="102">
        <f t="shared" ref="M771:M834" si="36">IFERROR(REPLACE(K771,FIND(" ",K771,LEN(K771)),1,""),K771)</f>
        <v>0</v>
      </c>
      <c r="N771" s="102" t="str">
        <f>tbl_Companys!D771</f>
        <v>Nordland Fylkeskommune</v>
      </c>
      <c r="O771" s="102">
        <f>tbl_Companys!C771</f>
        <v>223331</v>
      </c>
      <c r="P771" s="102" t="str">
        <f t="shared" ref="P771:P834" si="37">IFERROR(REPLACE(N771,FIND(" ",N771,LEN(N771)),1,""),N771)</f>
        <v>Nordland Fylkeskommune</v>
      </c>
      <c r="Q771" s="102">
        <f>tbl_ConsultingCompanys!D771</f>
        <v>0</v>
      </c>
      <c r="R771" s="102">
        <f>tbl_ConsultingCompanys!C771</f>
        <v>0</v>
      </c>
      <c r="S771" s="102">
        <f t="shared" ref="S771:S834" si="38">IFERROR(REPLACE(Q771,FIND(" ",Q771,LEN(Q771)),1,""),Q771)</f>
        <v>0</v>
      </c>
    </row>
    <row r="772" spans="11:19" x14ac:dyDescent="0.15">
      <c r="K772" s="102">
        <f>tbl_ArchitectureOffices!D772</f>
        <v>0</v>
      </c>
      <c r="L772" s="102">
        <f>tbl_ArchitectureOffices!C772</f>
        <v>0</v>
      </c>
      <c r="M772" s="102">
        <f t="shared" si="36"/>
        <v>0</v>
      </c>
      <c r="N772" s="102" t="str">
        <f>tbl_Companys!D772</f>
        <v>Nordplan AS</v>
      </c>
      <c r="O772" s="102">
        <f>tbl_Companys!C772</f>
        <v>171504</v>
      </c>
      <c r="P772" s="102" t="str">
        <f t="shared" si="37"/>
        <v>Nordplan AS</v>
      </c>
      <c r="Q772" s="102">
        <f>tbl_ConsultingCompanys!D772</f>
        <v>0</v>
      </c>
      <c r="R772" s="102">
        <f>tbl_ConsultingCompanys!C772</f>
        <v>0</v>
      </c>
      <c r="S772" s="102">
        <f t="shared" si="38"/>
        <v>0</v>
      </c>
    </row>
    <row r="773" spans="11:19" x14ac:dyDescent="0.15">
      <c r="K773" s="102">
        <f>tbl_ArchitectureOffices!D773</f>
        <v>0</v>
      </c>
      <c r="L773" s="102">
        <f>tbl_ArchitectureOffices!C773</f>
        <v>0</v>
      </c>
      <c r="M773" s="102">
        <f t="shared" si="36"/>
        <v>0</v>
      </c>
      <c r="N773" s="102" t="str">
        <f>tbl_Companys!D773</f>
        <v>Nordvest Prosjekt AS</v>
      </c>
      <c r="O773" s="102">
        <f>tbl_Companys!C773</f>
        <v>171501</v>
      </c>
      <c r="P773" s="102" t="str">
        <f t="shared" si="37"/>
        <v>Nordvest Prosjekt AS</v>
      </c>
      <c r="Q773" s="102">
        <f>tbl_ConsultingCompanys!D773</f>
        <v>0</v>
      </c>
      <c r="R773" s="102">
        <f>tbl_ConsultingCompanys!C773</f>
        <v>0</v>
      </c>
      <c r="S773" s="102">
        <f t="shared" si="38"/>
        <v>0</v>
      </c>
    </row>
    <row r="774" spans="11:19" x14ac:dyDescent="0.15">
      <c r="K774" s="102">
        <f>tbl_ArchitectureOffices!D774</f>
        <v>0</v>
      </c>
      <c r="L774" s="102">
        <f>tbl_ArchitectureOffices!C774</f>
        <v>0</v>
      </c>
      <c r="M774" s="102">
        <f t="shared" si="36"/>
        <v>0</v>
      </c>
      <c r="N774" s="102" t="str">
        <f>tbl_Companys!D774</f>
        <v>Norelement (PREFAB)</v>
      </c>
      <c r="O774" s="102">
        <f>tbl_Companys!C774</f>
        <v>158234</v>
      </c>
      <c r="P774" s="102" t="str">
        <f t="shared" si="37"/>
        <v>Norelement (PREFAB)</v>
      </c>
      <c r="Q774" s="102">
        <f>tbl_ConsultingCompanys!D774</f>
        <v>0</v>
      </c>
      <c r="R774" s="102">
        <f>tbl_ConsultingCompanys!C774</f>
        <v>0</v>
      </c>
      <c r="S774" s="102">
        <f t="shared" si="38"/>
        <v>0</v>
      </c>
    </row>
    <row r="775" spans="11:19" x14ac:dyDescent="0.15">
      <c r="K775" s="102">
        <f>tbl_ArchitectureOffices!D775</f>
        <v>0</v>
      </c>
      <c r="L775" s="102">
        <f>tbl_ArchitectureOffices!C775</f>
        <v>0</v>
      </c>
      <c r="M775" s="102">
        <f t="shared" si="36"/>
        <v>0</v>
      </c>
      <c r="N775" s="102" t="str">
        <f>tbl_Companys!D775</f>
        <v>Norelement Dag Kerlefsen (PREFAB)</v>
      </c>
      <c r="O775" s="102">
        <f>tbl_Companys!C775</f>
        <v>158196</v>
      </c>
      <c r="P775" s="102" t="str">
        <f t="shared" si="37"/>
        <v>Norelement Dag Kerlefsen (PREFAB)</v>
      </c>
      <c r="Q775" s="102">
        <f>tbl_ConsultingCompanys!D775</f>
        <v>0</v>
      </c>
      <c r="R775" s="102">
        <f>tbl_ConsultingCompanys!C775</f>
        <v>0</v>
      </c>
      <c r="S775" s="102">
        <f t="shared" si="38"/>
        <v>0</v>
      </c>
    </row>
    <row r="776" spans="11:19" x14ac:dyDescent="0.15">
      <c r="K776" s="102">
        <f>tbl_ArchitectureOffices!D776</f>
        <v>0</v>
      </c>
      <c r="L776" s="102">
        <f>tbl_ArchitectureOffices!C776</f>
        <v>0</v>
      </c>
      <c r="M776" s="102">
        <f t="shared" si="36"/>
        <v>0</v>
      </c>
      <c r="N776" s="102" t="str">
        <f>tbl_Companys!D776</f>
        <v>Norgeshus</v>
      </c>
      <c r="O776" s="102">
        <f>tbl_Companys!C776</f>
        <v>246279</v>
      </c>
      <c r="P776" s="102" t="str">
        <f t="shared" si="37"/>
        <v>Norgeshus</v>
      </c>
      <c r="Q776" s="102">
        <f>tbl_ConsultingCompanys!D776</f>
        <v>0</v>
      </c>
      <c r="R776" s="102">
        <f>tbl_ConsultingCompanys!C776</f>
        <v>0</v>
      </c>
      <c r="S776" s="102">
        <f t="shared" si="38"/>
        <v>0</v>
      </c>
    </row>
    <row r="777" spans="11:19" x14ac:dyDescent="0.15">
      <c r="K777" s="102">
        <f>tbl_ArchitectureOffices!D777</f>
        <v>0</v>
      </c>
      <c r="L777" s="102">
        <f>tbl_ArchitectureOffices!C777</f>
        <v>0</v>
      </c>
      <c r="M777" s="102">
        <f t="shared" si="36"/>
        <v>0</v>
      </c>
      <c r="N777" s="102" t="str">
        <f>tbl_Companys!D777</f>
        <v>Norgeshus AS</v>
      </c>
      <c r="O777" s="102">
        <f>tbl_Companys!C777</f>
        <v>246401</v>
      </c>
      <c r="P777" s="102" t="str">
        <f t="shared" si="37"/>
        <v>Norgeshus AS</v>
      </c>
      <c r="Q777" s="102">
        <f>tbl_ConsultingCompanys!D777</f>
        <v>0</v>
      </c>
      <c r="R777" s="102">
        <f>tbl_ConsultingCompanys!C777</f>
        <v>0</v>
      </c>
      <c r="S777" s="102">
        <f t="shared" si="38"/>
        <v>0</v>
      </c>
    </row>
    <row r="778" spans="11:19" x14ac:dyDescent="0.15">
      <c r="K778" s="102">
        <f>tbl_ArchitectureOffices!D778</f>
        <v>0</v>
      </c>
      <c r="L778" s="102">
        <f>tbl_ArchitectureOffices!C778</f>
        <v>0</v>
      </c>
      <c r="M778" s="102">
        <f t="shared" si="36"/>
        <v>0</v>
      </c>
      <c r="N778" s="102" t="str">
        <f>tbl_Companys!D778</f>
        <v>Norsas</v>
      </c>
      <c r="O778" s="102">
        <f>tbl_Companys!C778</f>
        <v>184491</v>
      </c>
      <c r="P778" s="102" t="str">
        <f t="shared" si="37"/>
        <v>Norsas</v>
      </c>
      <c r="Q778" s="102">
        <f>tbl_ConsultingCompanys!D778</f>
        <v>0</v>
      </c>
      <c r="R778" s="102">
        <f>tbl_ConsultingCompanys!C778</f>
        <v>0</v>
      </c>
      <c r="S778" s="102">
        <f t="shared" si="38"/>
        <v>0</v>
      </c>
    </row>
    <row r="779" spans="11:19" x14ac:dyDescent="0.15">
      <c r="K779" s="102">
        <f>tbl_ArchitectureOffices!D779</f>
        <v>0</v>
      </c>
      <c r="L779" s="102">
        <f>tbl_ArchitectureOffices!C779</f>
        <v>0</v>
      </c>
      <c r="M779" s="102">
        <f t="shared" si="36"/>
        <v>0</v>
      </c>
      <c r="N779" s="102" t="str">
        <f>tbl_Companys!D779</f>
        <v>Norsk brannvernforening</v>
      </c>
      <c r="O779" s="102">
        <f>tbl_Companys!C779</f>
        <v>247312</v>
      </c>
      <c r="P779" s="102" t="str">
        <f t="shared" si="37"/>
        <v>Norsk brannvernforening</v>
      </c>
      <c r="Q779" s="102">
        <f>tbl_ConsultingCompanys!D779</f>
        <v>0</v>
      </c>
      <c r="R779" s="102">
        <f>tbl_ConsultingCompanys!C779</f>
        <v>0</v>
      </c>
      <c r="S779" s="102">
        <f t="shared" si="38"/>
        <v>0</v>
      </c>
    </row>
    <row r="780" spans="11:19" x14ac:dyDescent="0.15">
      <c r="K780" s="102">
        <f>tbl_ArchitectureOffices!D780</f>
        <v>0</v>
      </c>
      <c r="L780" s="102">
        <f>tbl_ArchitectureOffices!C780</f>
        <v>0</v>
      </c>
      <c r="M780" s="102">
        <f t="shared" si="36"/>
        <v>0</v>
      </c>
      <c r="N780" s="102" t="str">
        <f>tbl_Companys!D780</f>
        <v>Norsk institutt for naturforskning (NINA)</v>
      </c>
      <c r="O780" s="102">
        <f>tbl_Companys!C780</f>
        <v>246946</v>
      </c>
      <c r="P780" s="102" t="str">
        <f t="shared" si="37"/>
        <v>Norsk institutt for naturforskning (NINA)</v>
      </c>
      <c r="Q780" s="102">
        <f>tbl_ConsultingCompanys!D780</f>
        <v>0</v>
      </c>
      <c r="R780" s="102">
        <f>tbl_ConsultingCompanys!C780</f>
        <v>0</v>
      </c>
      <c r="S780" s="102">
        <f t="shared" si="38"/>
        <v>0</v>
      </c>
    </row>
    <row r="781" spans="11:19" x14ac:dyDescent="0.15">
      <c r="K781" s="102">
        <f>tbl_ArchitectureOffices!D781</f>
        <v>0</v>
      </c>
      <c r="L781" s="102">
        <f>tbl_ArchitectureOffices!C781</f>
        <v>0</v>
      </c>
      <c r="M781" s="102">
        <f t="shared" si="36"/>
        <v>0</v>
      </c>
      <c r="N781" s="102" t="str">
        <f>tbl_Companys!D781</f>
        <v>Norsk Massivtre AS</v>
      </c>
      <c r="O781" s="102">
        <f>tbl_Companys!C781</f>
        <v>177615</v>
      </c>
      <c r="P781" s="102" t="str">
        <f t="shared" si="37"/>
        <v>Norsk Massivtre AS</v>
      </c>
      <c r="Q781" s="102">
        <f>tbl_ConsultingCompanys!D781</f>
        <v>0</v>
      </c>
      <c r="R781" s="102">
        <f>tbl_ConsultingCompanys!C781</f>
        <v>0</v>
      </c>
      <c r="S781" s="102">
        <f t="shared" si="38"/>
        <v>0</v>
      </c>
    </row>
    <row r="782" spans="11:19" x14ac:dyDescent="0.15">
      <c r="K782" s="102">
        <f>tbl_ArchitectureOffices!D782</f>
        <v>0</v>
      </c>
      <c r="L782" s="102">
        <f>tbl_ArchitectureOffices!C782</f>
        <v>0</v>
      </c>
      <c r="M782" s="102">
        <f t="shared" si="36"/>
        <v>0</v>
      </c>
      <c r="N782" s="102" t="str">
        <f>tbl_Companys!D782</f>
        <v>Norsk Oljemuseum</v>
      </c>
      <c r="O782" s="102">
        <f>tbl_Companys!C782</f>
        <v>192372</v>
      </c>
      <c r="P782" s="102" t="str">
        <f t="shared" si="37"/>
        <v>Norsk Oljemuseum</v>
      </c>
      <c r="Q782" s="102">
        <f>tbl_ConsultingCompanys!D782</f>
        <v>0</v>
      </c>
      <c r="R782" s="102">
        <f>tbl_ConsultingCompanys!C782</f>
        <v>0</v>
      </c>
      <c r="S782" s="102">
        <f t="shared" si="38"/>
        <v>0</v>
      </c>
    </row>
    <row r="783" spans="11:19" x14ac:dyDescent="0.15">
      <c r="K783" s="102">
        <f>tbl_ArchitectureOffices!D783</f>
        <v>0</v>
      </c>
      <c r="L783" s="102">
        <f>tbl_ArchitectureOffices!C783</f>
        <v>0</v>
      </c>
      <c r="M783" s="102">
        <f t="shared" si="36"/>
        <v>0</v>
      </c>
      <c r="N783" s="102" t="str">
        <f>tbl_Companys!D783</f>
        <v xml:space="preserve">Noveta AS </v>
      </c>
      <c r="O783" s="102">
        <f>tbl_Companys!C783</f>
        <v>202451</v>
      </c>
      <c r="P783" s="102" t="str">
        <f t="shared" si="37"/>
        <v>Noveta AS</v>
      </c>
      <c r="Q783" s="102">
        <f>tbl_ConsultingCompanys!D783</f>
        <v>0</v>
      </c>
      <c r="R783" s="102">
        <f>tbl_ConsultingCompanys!C783</f>
        <v>0</v>
      </c>
      <c r="S783" s="102">
        <f t="shared" si="38"/>
        <v>0</v>
      </c>
    </row>
    <row r="784" spans="11:19" x14ac:dyDescent="0.15">
      <c r="K784" s="102">
        <f>tbl_ArchitectureOffices!D784</f>
        <v>0</v>
      </c>
      <c r="L784" s="102">
        <f>tbl_ArchitectureOffices!C784</f>
        <v>0</v>
      </c>
      <c r="M784" s="102">
        <f t="shared" si="36"/>
        <v>0</v>
      </c>
      <c r="N784" s="102" t="str">
        <f>tbl_Companys!D784</f>
        <v>NTNU</v>
      </c>
      <c r="O784" s="102">
        <f>tbl_Companys!C784</f>
        <v>178928</v>
      </c>
      <c r="P784" s="102" t="str">
        <f t="shared" si="37"/>
        <v>NTNU</v>
      </c>
      <c r="Q784" s="102">
        <f>tbl_ConsultingCompanys!D784</f>
        <v>0</v>
      </c>
      <c r="R784" s="102">
        <f>tbl_ConsultingCompanys!C784</f>
        <v>0</v>
      </c>
      <c r="S784" s="102">
        <f t="shared" si="38"/>
        <v>0</v>
      </c>
    </row>
    <row r="785" spans="11:19" x14ac:dyDescent="0.15">
      <c r="K785" s="102">
        <f>tbl_ArchitectureOffices!D785</f>
        <v>0</v>
      </c>
      <c r="L785" s="102">
        <f>tbl_ArchitectureOffices!C785</f>
        <v>0</v>
      </c>
      <c r="M785" s="102">
        <f t="shared" si="36"/>
        <v>0</v>
      </c>
      <c r="N785" s="102" t="str">
        <f>tbl_Companys!D785</f>
        <v>Nuno arkitektur AS</v>
      </c>
      <c r="O785" s="102">
        <f>tbl_Companys!C785</f>
        <v>166535</v>
      </c>
      <c r="P785" s="102" t="str">
        <f t="shared" si="37"/>
        <v>Nuno arkitektur AS</v>
      </c>
      <c r="Q785" s="102">
        <f>tbl_ConsultingCompanys!D785</f>
        <v>0</v>
      </c>
      <c r="R785" s="102">
        <f>tbl_ConsultingCompanys!C785</f>
        <v>0</v>
      </c>
      <c r="S785" s="102">
        <f t="shared" si="38"/>
        <v>0</v>
      </c>
    </row>
    <row r="786" spans="11:19" x14ac:dyDescent="0.15">
      <c r="K786" s="102">
        <f>tbl_ArchitectureOffices!D786</f>
        <v>0</v>
      </c>
      <c r="L786" s="102">
        <f>tbl_ArchitectureOffices!C786</f>
        <v>0</v>
      </c>
      <c r="M786" s="102">
        <f t="shared" si="36"/>
        <v>0</v>
      </c>
      <c r="N786" s="102" t="str">
        <f>tbl_Companys!D786</f>
        <v>Nydesign AS</v>
      </c>
      <c r="O786" s="102">
        <f>tbl_Companys!C786</f>
        <v>207042</v>
      </c>
      <c r="P786" s="102" t="str">
        <f t="shared" si="37"/>
        <v>Nydesign AS</v>
      </c>
      <c r="Q786" s="102">
        <f>tbl_ConsultingCompanys!D786</f>
        <v>0</v>
      </c>
      <c r="R786" s="102">
        <f>tbl_ConsultingCompanys!C786</f>
        <v>0</v>
      </c>
      <c r="S786" s="102">
        <f t="shared" si="38"/>
        <v>0</v>
      </c>
    </row>
    <row r="787" spans="11:19" x14ac:dyDescent="0.15">
      <c r="K787" s="102">
        <f>tbl_ArchitectureOffices!D787</f>
        <v>0</v>
      </c>
      <c r="L787" s="102">
        <f>tbl_ArchitectureOffices!C787</f>
        <v>0</v>
      </c>
      <c r="M787" s="102">
        <f t="shared" si="36"/>
        <v>0</v>
      </c>
      <c r="N787" s="102" t="str">
        <f>tbl_Companys!D787</f>
        <v>Nygaard AS</v>
      </c>
      <c r="O787" s="102">
        <f>tbl_Companys!C787</f>
        <v>192282</v>
      </c>
      <c r="P787" s="102" t="str">
        <f t="shared" si="37"/>
        <v>Nygaard AS</v>
      </c>
      <c r="Q787" s="102">
        <f>tbl_ConsultingCompanys!D787</f>
        <v>0</v>
      </c>
      <c r="R787" s="102">
        <f>tbl_ConsultingCompanys!C787</f>
        <v>0</v>
      </c>
      <c r="S787" s="102">
        <f t="shared" si="38"/>
        <v>0</v>
      </c>
    </row>
    <row r="788" spans="11:19" x14ac:dyDescent="0.15">
      <c r="K788" s="102">
        <f>tbl_ArchitectureOffices!D788</f>
        <v>0</v>
      </c>
      <c r="L788" s="102">
        <f>tbl_ArchitectureOffices!C788</f>
        <v>0</v>
      </c>
      <c r="M788" s="102">
        <f t="shared" si="36"/>
        <v>0</v>
      </c>
      <c r="N788" s="102" t="str">
        <f>tbl_Companys!D788</f>
        <v>Nyland byggeadministrasjon AS</v>
      </c>
      <c r="O788" s="102">
        <f>tbl_Companys!C788</f>
        <v>245784</v>
      </c>
      <c r="P788" s="102" t="str">
        <f t="shared" si="37"/>
        <v>Nyland byggeadministrasjon AS</v>
      </c>
      <c r="Q788" s="102">
        <f>tbl_ConsultingCompanys!D788</f>
        <v>0</v>
      </c>
      <c r="R788" s="102">
        <f>tbl_ConsultingCompanys!C788</f>
        <v>0</v>
      </c>
      <c r="S788" s="102">
        <f t="shared" si="38"/>
        <v>0</v>
      </c>
    </row>
    <row r="789" spans="11:19" x14ac:dyDescent="0.15">
      <c r="K789" s="102">
        <f>tbl_ArchitectureOffices!D789</f>
        <v>0</v>
      </c>
      <c r="L789" s="102">
        <f>tbl_ArchitectureOffices!C789</f>
        <v>0</v>
      </c>
      <c r="M789" s="102">
        <f t="shared" si="36"/>
        <v>0</v>
      </c>
      <c r="N789" s="102" t="str">
        <f>tbl_Companys!D789</f>
        <v>OBAS</v>
      </c>
      <c r="O789" s="102">
        <f>tbl_Companys!C789</f>
        <v>204487</v>
      </c>
      <c r="P789" s="102" t="str">
        <f t="shared" si="37"/>
        <v>OBAS</v>
      </c>
      <c r="Q789" s="102">
        <f>tbl_ConsultingCompanys!D789</f>
        <v>0</v>
      </c>
      <c r="R789" s="102">
        <f>tbl_ConsultingCompanys!C789</f>
        <v>0</v>
      </c>
      <c r="S789" s="102">
        <f t="shared" si="38"/>
        <v>0</v>
      </c>
    </row>
    <row r="790" spans="11:19" x14ac:dyDescent="0.15">
      <c r="K790" s="102">
        <f>tbl_ArchitectureOffices!D790</f>
        <v>0</v>
      </c>
      <c r="L790" s="102">
        <f>tbl_ArchitectureOffices!C790</f>
        <v>0</v>
      </c>
      <c r="M790" s="102">
        <f t="shared" si="36"/>
        <v>0</v>
      </c>
      <c r="N790" s="102" t="str">
        <f>tbl_Companys!D790</f>
        <v>OBOS nye hjem</v>
      </c>
      <c r="O790" s="102">
        <f>tbl_Companys!C790</f>
        <v>160585</v>
      </c>
      <c r="P790" s="102" t="str">
        <f t="shared" si="37"/>
        <v>OBOS nye hjem</v>
      </c>
      <c r="Q790" s="102">
        <f>tbl_ConsultingCompanys!D790</f>
        <v>0</v>
      </c>
      <c r="R790" s="102">
        <f>tbl_ConsultingCompanys!C790</f>
        <v>0</v>
      </c>
      <c r="S790" s="102">
        <f t="shared" si="38"/>
        <v>0</v>
      </c>
    </row>
    <row r="791" spans="11:19" x14ac:dyDescent="0.15">
      <c r="K791" s="102">
        <f>tbl_ArchitectureOffices!D791</f>
        <v>0</v>
      </c>
      <c r="L791" s="102">
        <f>tbl_ArchitectureOffices!C791</f>
        <v>0</v>
      </c>
      <c r="M791" s="102">
        <f t="shared" si="36"/>
        <v>0</v>
      </c>
      <c r="N791" s="102" t="str">
        <f>tbl_Companys!D791</f>
        <v>OBOS Nye Hjem</v>
      </c>
      <c r="O791" s="102">
        <f>tbl_Companys!C791</f>
        <v>204958</v>
      </c>
      <c r="P791" s="102" t="str">
        <f t="shared" si="37"/>
        <v>OBOS Nye Hjem</v>
      </c>
      <c r="Q791" s="102">
        <f>tbl_ConsultingCompanys!D791</f>
        <v>0</v>
      </c>
      <c r="R791" s="102">
        <f>tbl_ConsultingCompanys!C791</f>
        <v>0</v>
      </c>
      <c r="S791" s="102">
        <f t="shared" si="38"/>
        <v>0</v>
      </c>
    </row>
    <row r="792" spans="11:19" x14ac:dyDescent="0.15">
      <c r="K792" s="102">
        <f>tbl_ArchitectureOffices!D792</f>
        <v>0</v>
      </c>
      <c r="L792" s="102">
        <f>tbl_ArchitectureOffices!C792</f>
        <v>0</v>
      </c>
      <c r="M792" s="102">
        <f t="shared" si="36"/>
        <v>0</v>
      </c>
      <c r="N792" s="102" t="str">
        <f>tbl_Companys!D792</f>
        <v>OEC Consulting AS</v>
      </c>
      <c r="O792" s="102">
        <f>tbl_Companys!C792</f>
        <v>214495</v>
      </c>
      <c r="P792" s="102" t="str">
        <f t="shared" si="37"/>
        <v>OEC Consulting AS</v>
      </c>
      <c r="Q792" s="102">
        <f>tbl_ConsultingCompanys!D792</f>
        <v>0</v>
      </c>
      <c r="R792" s="102">
        <f>tbl_ConsultingCompanys!C792</f>
        <v>0</v>
      </c>
      <c r="S792" s="102">
        <f t="shared" si="38"/>
        <v>0</v>
      </c>
    </row>
    <row r="793" spans="11:19" x14ac:dyDescent="0.15">
      <c r="K793" s="102">
        <f>tbl_ArchitectureOffices!D793</f>
        <v>0</v>
      </c>
      <c r="L793" s="102">
        <f>tbl_ArchitectureOffices!C793</f>
        <v>0</v>
      </c>
      <c r="M793" s="102">
        <f t="shared" si="36"/>
        <v>0</v>
      </c>
      <c r="N793" s="102" t="str">
        <f>tbl_Companys!D793</f>
        <v>OFE AS</v>
      </c>
      <c r="O793" s="102">
        <f>tbl_Companys!C793</f>
        <v>101079</v>
      </c>
      <c r="P793" s="102" t="str">
        <f t="shared" si="37"/>
        <v>OFE AS</v>
      </c>
      <c r="Q793" s="102">
        <f>tbl_ConsultingCompanys!D793</f>
        <v>0</v>
      </c>
      <c r="R793" s="102">
        <f>tbl_ConsultingCompanys!C793</f>
        <v>0</v>
      </c>
      <c r="S793" s="102">
        <f t="shared" si="38"/>
        <v>0</v>
      </c>
    </row>
    <row r="794" spans="11:19" x14ac:dyDescent="0.15">
      <c r="K794" s="102">
        <f>tbl_ArchitectureOffices!D794</f>
        <v>0</v>
      </c>
      <c r="L794" s="102">
        <f>tbl_ArchitectureOffices!C794</f>
        <v>0</v>
      </c>
      <c r="M794" s="102">
        <f t="shared" si="36"/>
        <v>0</v>
      </c>
      <c r="N794" s="102" t="str">
        <f>tbl_Companys!D794</f>
        <v>Og Arkitekter as</v>
      </c>
      <c r="O794" s="102">
        <f>tbl_Companys!C794</f>
        <v>166671</v>
      </c>
      <c r="P794" s="102" t="str">
        <f t="shared" si="37"/>
        <v>Og Arkitekter as</v>
      </c>
      <c r="Q794" s="102">
        <f>tbl_ConsultingCompanys!D794</f>
        <v>0</v>
      </c>
      <c r="R794" s="102">
        <f>tbl_ConsultingCompanys!C794</f>
        <v>0</v>
      </c>
      <c r="S794" s="102">
        <f t="shared" si="38"/>
        <v>0</v>
      </c>
    </row>
    <row r="795" spans="11:19" x14ac:dyDescent="0.15">
      <c r="K795" s="102">
        <f>tbl_ArchitectureOffices!D795</f>
        <v>0</v>
      </c>
      <c r="L795" s="102">
        <f>tbl_ArchitectureOffices!C795</f>
        <v>0</v>
      </c>
      <c r="M795" s="102">
        <f t="shared" si="36"/>
        <v>0</v>
      </c>
      <c r="N795" s="102" t="str">
        <f>tbl_Companys!D795</f>
        <v>OHC arkitektur &amp; design as</v>
      </c>
      <c r="O795" s="102">
        <f>tbl_Companys!C795</f>
        <v>172686</v>
      </c>
      <c r="P795" s="102" t="str">
        <f t="shared" si="37"/>
        <v>OHC arkitektur &amp; design as</v>
      </c>
      <c r="Q795" s="102">
        <f>tbl_ConsultingCompanys!D795</f>
        <v>0</v>
      </c>
      <c r="R795" s="102">
        <f>tbl_ConsultingCompanys!C795</f>
        <v>0</v>
      </c>
      <c r="S795" s="102">
        <f t="shared" si="38"/>
        <v>0</v>
      </c>
    </row>
    <row r="796" spans="11:19" x14ac:dyDescent="0.15">
      <c r="K796" s="102">
        <f>tbl_ArchitectureOffices!D796</f>
        <v>0</v>
      </c>
      <c r="L796" s="102">
        <f>tbl_ArchitectureOffices!C796</f>
        <v>0</v>
      </c>
      <c r="M796" s="102">
        <f t="shared" si="36"/>
        <v>0</v>
      </c>
      <c r="N796" s="102" t="str">
        <f>tbl_Companys!D796</f>
        <v>OK arkitekter</v>
      </c>
      <c r="O796" s="102">
        <f>tbl_Companys!C796</f>
        <v>171500</v>
      </c>
      <c r="P796" s="102" t="str">
        <f t="shared" si="37"/>
        <v>OK arkitekter</v>
      </c>
      <c r="Q796" s="102">
        <f>tbl_ConsultingCompanys!D796</f>
        <v>0</v>
      </c>
      <c r="R796" s="102">
        <f>tbl_ConsultingCompanys!C796</f>
        <v>0</v>
      </c>
      <c r="S796" s="102">
        <f t="shared" si="38"/>
        <v>0</v>
      </c>
    </row>
    <row r="797" spans="11:19" x14ac:dyDescent="0.15">
      <c r="K797" s="102">
        <f>tbl_ArchitectureOffices!D797</f>
        <v>0</v>
      </c>
      <c r="L797" s="102">
        <f>tbl_ArchitectureOffices!C797</f>
        <v>0</v>
      </c>
      <c r="M797" s="102">
        <f t="shared" si="36"/>
        <v>0</v>
      </c>
      <c r="N797" s="102" t="str">
        <f>tbl_Companys!D797</f>
        <v>OKK Entreprenør AS</v>
      </c>
      <c r="O797" s="102">
        <f>tbl_Companys!C797</f>
        <v>214156</v>
      </c>
      <c r="P797" s="102" t="str">
        <f t="shared" si="37"/>
        <v>OKK Entreprenør AS</v>
      </c>
      <c r="Q797" s="102">
        <f>tbl_ConsultingCompanys!D797</f>
        <v>0</v>
      </c>
      <c r="R797" s="102">
        <f>tbl_ConsultingCompanys!C797</f>
        <v>0</v>
      </c>
      <c r="S797" s="102">
        <f t="shared" si="38"/>
        <v>0</v>
      </c>
    </row>
    <row r="798" spans="11:19" x14ac:dyDescent="0.15">
      <c r="K798" s="102">
        <f>tbl_ArchitectureOffices!D798</f>
        <v>0</v>
      </c>
      <c r="L798" s="102">
        <f>tbl_ArchitectureOffices!C798</f>
        <v>0</v>
      </c>
      <c r="M798" s="102">
        <f t="shared" si="36"/>
        <v>0</v>
      </c>
      <c r="N798" s="102" t="str">
        <f>tbl_Companys!D798</f>
        <v>Olaussen AS</v>
      </c>
      <c r="O798" s="102">
        <f>tbl_Companys!C798</f>
        <v>213832</v>
      </c>
      <c r="P798" s="102" t="str">
        <f t="shared" si="37"/>
        <v>Olaussen AS</v>
      </c>
      <c r="Q798" s="102">
        <f>tbl_ConsultingCompanys!D798</f>
        <v>0</v>
      </c>
      <c r="R798" s="102">
        <f>tbl_ConsultingCompanys!C798</f>
        <v>0</v>
      </c>
      <c r="S798" s="102">
        <f t="shared" si="38"/>
        <v>0</v>
      </c>
    </row>
    <row r="799" spans="11:19" x14ac:dyDescent="0.15">
      <c r="K799" s="102">
        <f>tbl_ArchitectureOffices!D799</f>
        <v>0</v>
      </c>
      <c r="L799" s="102">
        <f>tbl_ArchitectureOffices!C799</f>
        <v>0</v>
      </c>
      <c r="M799" s="102">
        <f t="shared" si="36"/>
        <v>0</v>
      </c>
      <c r="N799" s="102" t="str">
        <f>tbl_Companys!D799</f>
        <v xml:space="preserve">Olav Olsen </v>
      </c>
      <c r="O799" s="102">
        <f>tbl_Companys!C799</f>
        <v>120134</v>
      </c>
      <c r="P799" s="102" t="str">
        <f t="shared" si="37"/>
        <v>Olav Olsen</v>
      </c>
      <c r="Q799" s="102">
        <f>tbl_ConsultingCompanys!D799</f>
        <v>0</v>
      </c>
      <c r="R799" s="102">
        <f>tbl_ConsultingCompanys!C799</f>
        <v>0</v>
      </c>
      <c r="S799" s="102">
        <f t="shared" si="38"/>
        <v>0</v>
      </c>
    </row>
    <row r="800" spans="11:19" x14ac:dyDescent="0.15">
      <c r="K800" s="102">
        <f>tbl_ArchitectureOffices!D800</f>
        <v>0</v>
      </c>
      <c r="L800" s="102">
        <f>tbl_ArchitectureOffices!C800</f>
        <v>0</v>
      </c>
      <c r="M800" s="102">
        <f t="shared" si="36"/>
        <v>0</v>
      </c>
      <c r="N800" s="102" t="str">
        <f>tbl_Companys!D800</f>
        <v>Ole Jørgen Furdal, Sveio kommune</v>
      </c>
      <c r="O800" s="102">
        <f>tbl_Companys!C800</f>
        <v>172749</v>
      </c>
      <c r="P800" s="102" t="str">
        <f t="shared" si="37"/>
        <v>Ole Jørgen Furdal, Sveio kommune</v>
      </c>
      <c r="Q800" s="102">
        <f>tbl_ConsultingCompanys!D800</f>
        <v>0</v>
      </c>
      <c r="R800" s="102">
        <f>tbl_ConsultingCompanys!C800</f>
        <v>0</v>
      </c>
      <c r="S800" s="102">
        <f t="shared" si="38"/>
        <v>0</v>
      </c>
    </row>
    <row r="801" spans="11:19" x14ac:dyDescent="0.15">
      <c r="K801" s="102">
        <f>tbl_ArchitectureOffices!D801</f>
        <v>0</v>
      </c>
      <c r="L801" s="102">
        <f>tbl_ArchitectureOffices!C801</f>
        <v>0</v>
      </c>
      <c r="M801" s="102">
        <f t="shared" si="36"/>
        <v>0</v>
      </c>
      <c r="N801" s="102" t="str">
        <f>tbl_Companys!D801</f>
        <v>Ole K. Karlsen Entreprenør AS</v>
      </c>
      <c r="O801" s="102">
        <f>tbl_Companys!C801</f>
        <v>103185</v>
      </c>
      <c r="P801" s="102" t="str">
        <f t="shared" si="37"/>
        <v>Ole K. Karlsen Entreprenør AS</v>
      </c>
      <c r="Q801" s="102">
        <f>tbl_ConsultingCompanys!D801</f>
        <v>0</v>
      </c>
      <c r="R801" s="102">
        <f>tbl_ConsultingCompanys!C801</f>
        <v>0</v>
      </c>
      <c r="S801" s="102">
        <f t="shared" si="38"/>
        <v>0</v>
      </c>
    </row>
    <row r="802" spans="11:19" x14ac:dyDescent="0.15">
      <c r="K802" s="102">
        <f>tbl_ArchitectureOffices!D802</f>
        <v>0</v>
      </c>
      <c r="L802" s="102">
        <f>tbl_ArchitectureOffices!C802</f>
        <v>0</v>
      </c>
      <c r="M802" s="102">
        <f t="shared" si="36"/>
        <v>0</v>
      </c>
      <c r="N802" s="102" t="str">
        <f>tbl_Companys!D802</f>
        <v>Ole Sivertsen AS</v>
      </c>
      <c r="O802" s="102">
        <f>tbl_Companys!C802</f>
        <v>244639</v>
      </c>
      <c r="P802" s="102" t="str">
        <f t="shared" si="37"/>
        <v>Ole Sivertsen AS</v>
      </c>
      <c r="Q802" s="102">
        <f>tbl_ConsultingCompanys!D802</f>
        <v>0</v>
      </c>
      <c r="R802" s="102">
        <f>tbl_ConsultingCompanys!C802</f>
        <v>0</v>
      </c>
      <c r="S802" s="102">
        <f t="shared" si="38"/>
        <v>0</v>
      </c>
    </row>
    <row r="803" spans="11:19" x14ac:dyDescent="0.15">
      <c r="K803" s="102">
        <f>tbl_ArchitectureOffices!D803</f>
        <v>0</v>
      </c>
      <c r="L803" s="102">
        <f>tbl_ArchitectureOffices!C803</f>
        <v>0</v>
      </c>
      <c r="M803" s="102">
        <f t="shared" si="36"/>
        <v>0</v>
      </c>
      <c r="N803" s="102" t="str">
        <f>tbl_Companys!D803</f>
        <v>Oleivsgard Byggconsult AS</v>
      </c>
      <c r="O803" s="102">
        <f>tbl_Companys!C803</f>
        <v>247302</v>
      </c>
      <c r="P803" s="102" t="str">
        <f t="shared" si="37"/>
        <v>Oleivsgard Byggconsult AS</v>
      </c>
      <c r="Q803" s="102">
        <f>tbl_ConsultingCompanys!D803</f>
        <v>0</v>
      </c>
      <c r="R803" s="102">
        <f>tbl_ConsultingCompanys!C803</f>
        <v>0</v>
      </c>
      <c r="S803" s="102">
        <f t="shared" si="38"/>
        <v>0</v>
      </c>
    </row>
    <row r="804" spans="11:19" x14ac:dyDescent="0.15">
      <c r="K804" s="102">
        <f>tbl_ArchitectureOffices!D804</f>
        <v>0</v>
      </c>
      <c r="L804" s="102">
        <f>tbl_ArchitectureOffices!C804</f>
        <v>0</v>
      </c>
      <c r="M804" s="102">
        <f t="shared" si="36"/>
        <v>0</v>
      </c>
      <c r="N804" s="102" t="str">
        <f>tbl_Companys!D804</f>
        <v>Olset AS</v>
      </c>
      <c r="O804" s="102">
        <f>tbl_Companys!C804</f>
        <v>103002</v>
      </c>
      <c r="P804" s="102" t="str">
        <f t="shared" si="37"/>
        <v>Olset AS</v>
      </c>
      <c r="Q804" s="102">
        <f>tbl_ConsultingCompanys!D804</f>
        <v>0</v>
      </c>
      <c r="R804" s="102">
        <f>tbl_ConsultingCompanys!C804</f>
        <v>0</v>
      </c>
      <c r="S804" s="102">
        <f t="shared" si="38"/>
        <v>0</v>
      </c>
    </row>
    <row r="805" spans="11:19" x14ac:dyDescent="0.15">
      <c r="K805" s="102">
        <f>tbl_ArchitectureOffices!D805</f>
        <v>0</v>
      </c>
      <c r="L805" s="102">
        <f>tbl_ArchitectureOffices!C805</f>
        <v>0</v>
      </c>
      <c r="M805" s="102">
        <f t="shared" si="36"/>
        <v>0</v>
      </c>
      <c r="N805" s="102" t="str">
        <f>tbl_Companys!D805</f>
        <v>Omsorgsbygg Oslo KF</v>
      </c>
      <c r="O805" s="102">
        <f>tbl_Companys!C805</f>
        <v>215026</v>
      </c>
      <c r="P805" s="102" t="str">
        <f t="shared" si="37"/>
        <v>Omsorgsbygg Oslo KF</v>
      </c>
      <c r="Q805" s="102">
        <f>tbl_ConsultingCompanys!D805</f>
        <v>0</v>
      </c>
      <c r="R805" s="102">
        <f>tbl_ConsultingCompanys!C805</f>
        <v>0</v>
      </c>
      <c r="S805" s="102">
        <f t="shared" si="38"/>
        <v>0</v>
      </c>
    </row>
    <row r="806" spans="11:19" x14ac:dyDescent="0.15">
      <c r="K806" s="102">
        <f>tbl_ArchitectureOffices!D806</f>
        <v>0</v>
      </c>
      <c r="L806" s="102">
        <f>tbl_ArchitectureOffices!C806</f>
        <v>0</v>
      </c>
      <c r="M806" s="102">
        <f t="shared" si="36"/>
        <v>0</v>
      </c>
      <c r="N806" s="102" t="str">
        <f>tbl_Companys!D806</f>
        <v>ONIX (nederland)</v>
      </c>
      <c r="O806" s="102">
        <f>tbl_Companys!C806</f>
        <v>245863</v>
      </c>
      <c r="P806" s="102" t="str">
        <f t="shared" si="37"/>
        <v>ONIX (nederland)</v>
      </c>
      <c r="Q806" s="102">
        <f>tbl_ConsultingCompanys!D806</f>
        <v>0</v>
      </c>
      <c r="R806" s="102">
        <f>tbl_ConsultingCompanys!C806</f>
        <v>0</v>
      </c>
      <c r="S806" s="102">
        <f t="shared" si="38"/>
        <v>0</v>
      </c>
    </row>
    <row r="807" spans="11:19" x14ac:dyDescent="0.15">
      <c r="K807" s="102">
        <f>tbl_ArchitectureOffices!D807</f>
        <v>0</v>
      </c>
      <c r="L807" s="102">
        <f>tbl_ArchitectureOffices!C807</f>
        <v>0</v>
      </c>
      <c r="M807" s="102">
        <f t="shared" si="36"/>
        <v>0</v>
      </c>
      <c r="N807" s="102" t="str">
        <f>tbl_Companys!D807</f>
        <v>OPAK AS</v>
      </c>
      <c r="O807" s="102">
        <f>tbl_Companys!C807</f>
        <v>178578</v>
      </c>
      <c r="P807" s="102" t="str">
        <f t="shared" si="37"/>
        <v>OPAK AS</v>
      </c>
      <c r="Q807" s="102">
        <f>tbl_ConsultingCompanys!D807</f>
        <v>0</v>
      </c>
      <c r="R807" s="102">
        <f>tbl_ConsultingCompanys!C807</f>
        <v>0</v>
      </c>
      <c r="S807" s="102">
        <f t="shared" si="38"/>
        <v>0</v>
      </c>
    </row>
    <row r="808" spans="11:19" x14ac:dyDescent="0.15">
      <c r="K808" s="102">
        <f>tbl_ArchitectureOffices!D808</f>
        <v>0</v>
      </c>
      <c r="L808" s="102">
        <f>tbl_ArchitectureOffices!C808</f>
        <v>0</v>
      </c>
      <c r="M808" s="102">
        <f t="shared" si="36"/>
        <v>0</v>
      </c>
      <c r="N808" s="102" t="str">
        <f>tbl_Companys!D808</f>
        <v>Oppland bygg ans</v>
      </c>
      <c r="O808" s="102">
        <f>tbl_Companys!C808</f>
        <v>247309</v>
      </c>
      <c r="P808" s="102" t="str">
        <f t="shared" si="37"/>
        <v>Oppland bygg ans</v>
      </c>
      <c r="Q808" s="102">
        <f>tbl_ConsultingCompanys!D808</f>
        <v>0</v>
      </c>
      <c r="R808" s="102">
        <f>tbl_ConsultingCompanys!C808</f>
        <v>0</v>
      </c>
      <c r="S808" s="102">
        <f t="shared" si="38"/>
        <v>0</v>
      </c>
    </row>
    <row r="809" spans="11:19" x14ac:dyDescent="0.15">
      <c r="K809" s="102">
        <f>tbl_ArchitectureOffices!D809</f>
        <v>0</v>
      </c>
      <c r="L809" s="102">
        <f>tbl_ArchitectureOffices!C809</f>
        <v>0</v>
      </c>
      <c r="M809" s="102">
        <f t="shared" si="36"/>
        <v>0</v>
      </c>
      <c r="N809" s="102" t="str">
        <f>tbl_Companys!D809</f>
        <v>Oppland fylkeskommune</v>
      </c>
      <c r="O809" s="102">
        <f>tbl_Companys!C809</f>
        <v>247307</v>
      </c>
      <c r="P809" s="102" t="str">
        <f t="shared" si="37"/>
        <v>Oppland fylkeskommune</v>
      </c>
      <c r="Q809" s="102">
        <f>tbl_ConsultingCompanys!D809</f>
        <v>0</v>
      </c>
      <c r="R809" s="102">
        <f>tbl_ConsultingCompanys!C809</f>
        <v>0</v>
      </c>
      <c r="S809" s="102">
        <f t="shared" si="38"/>
        <v>0</v>
      </c>
    </row>
    <row r="810" spans="11:19" x14ac:dyDescent="0.15">
      <c r="K810" s="102">
        <f>tbl_ArchitectureOffices!D810</f>
        <v>0</v>
      </c>
      <c r="L810" s="102">
        <f>tbl_ArchitectureOffices!C810</f>
        <v>0</v>
      </c>
      <c r="M810" s="102">
        <f t="shared" si="36"/>
        <v>0</v>
      </c>
      <c r="N810" s="102" t="str">
        <f>tbl_Companys!D810</f>
        <v>Opticonsult as</v>
      </c>
      <c r="O810" s="102">
        <f>tbl_Companys!C810</f>
        <v>155959</v>
      </c>
      <c r="P810" s="102" t="str">
        <f t="shared" si="37"/>
        <v>Opticonsult as</v>
      </c>
      <c r="Q810" s="102">
        <f>tbl_ConsultingCompanys!D810</f>
        <v>0</v>
      </c>
      <c r="R810" s="102">
        <f>tbl_ConsultingCompanys!C810</f>
        <v>0</v>
      </c>
      <c r="S810" s="102">
        <f t="shared" si="38"/>
        <v>0</v>
      </c>
    </row>
    <row r="811" spans="11:19" x14ac:dyDescent="0.15">
      <c r="K811" s="102">
        <f>tbl_ArchitectureOffices!D811</f>
        <v>0</v>
      </c>
      <c r="L811" s="102">
        <f>tbl_ArchitectureOffices!C811</f>
        <v>0</v>
      </c>
      <c r="M811" s="102">
        <f t="shared" si="36"/>
        <v>0</v>
      </c>
      <c r="N811" s="102" t="str">
        <f>tbl_Companys!D811</f>
        <v>Opticonsult Førde (EL)</v>
      </c>
      <c r="O811" s="102">
        <f>tbl_Companys!C811</f>
        <v>136170</v>
      </c>
      <c r="P811" s="102" t="str">
        <f t="shared" si="37"/>
        <v>Opticonsult Førde (EL)</v>
      </c>
      <c r="Q811" s="102">
        <f>tbl_ConsultingCompanys!D811</f>
        <v>0</v>
      </c>
      <c r="R811" s="102">
        <f>tbl_ConsultingCompanys!C811</f>
        <v>0</v>
      </c>
      <c r="S811" s="102">
        <f t="shared" si="38"/>
        <v>0</v>
      </c>
    </row>
    <row r="812" spans="11:19" x14ac:dyDescent="0.15">
      <c r="K812" s="102">
        <f>tbl_ArchitectureOffices!D812</f>
        <v>0</v>
      </c>
      <c r="L812" s="102">
        <f>tbl_ArchitectureOffices!C812</f>
        <v>0</v>
      </c>
      <c r="M812" s="102">
        <f t="shared" si="36"/>
        <v>0</v>
      </c>
      <c r="N812" s="102" t="str">
        <f>tbl_Companys!D812</f>
        <v>Optimo Prosjekt AS</v>
      </c>
      <c r="O812" s="102">
        <f>tbl_Companys!C812</f>
        <v>223602</v>
      </c>
      <c r="P812" s="102" t="str">
        <f t="shared" si="37"/>
        <v>Optimo Prosjekt AS</v>
      </c>
      <c r="Q812" s="102">
        <f>tbl_ConsultingCompanys!D812</f>
        <v>0</v>
      </c>
      <c r="R812" s="102">
        <f>tbl_ConsultingCompanys!C812</f>
        <v>0</v>
      </c>
      <c r="S812" s="102">
        <f t="shared" si="38"/>
        <v>0</v>
      </c>
    </row>
    <row r="813" spans="11:19" x14ac:dyDescent="0.15">
      <c r="K813" s="102">
        <f>tbl_ArchitectureOffices!D813</f>
        <v>0</v>
      </c>
      <c r="L813" s="102">
        <f>tbl_ArchitectureOffices!C813</f>
        <v>0</v>
      </c>
      <c r="M813" s="102">
        <f t="shared" si="36"/>
        <v>0</v>
      </c>
      <c r="N813" s="102" t="str">
        <f>tbl_Companys!D813</f>
        <v>Opus Arkitekter as</v>
      </c>
      <c r="O813" s="102">
        <f>tbl_Companys!C813</f>
        <v>171499</v>
      </c>
      <c r="P813" s="102" t="str">
        <f t="shared" si="37"/>
        <v>Opus Arkitekter as</v>
      </c>
      <c r="Q813" s="102">
        <f>tbl_ConsultingCompanys!D813</f>
        <v>0</v>
      </c>
      <c r="R813" s="102">
        <f>tbl_ConsultingCompanys!C813</f>
        <v>0</v>
      </c>
      <c r="S813" s="102">
        <f t="shared" si="38"/>
        <v>0</v>
      </c>
    </row>
    <row r="814" spans="11:19" x14ac:dyDescent="0.15">
      <c r="K814" s="102">
        <f>tbl_ArchitectureOffices!D814</f>
        <v>0</v>
      </c>
      <c r="L814" s="102">
        <f>tbl_ArchitectureOffices!C814</f>
        <v>0</v>
      </c>
      <c r="M814" s="102">
        <f t="shared" si="36"/>
        <v>0</v>
      </c>
      <c r="N814" s="102" t="str">
        <f>tbl_Companys!D814</f>
        <v>ORAS Agder AS</v>
      </c>
      <c r="O814" s="102">
        <f>tbl_Companys!C814</f>
        <v>103149</v>
      </c>
      <c r="P814" s="102" t="str">
        <f t="shared" si="37"/>
        <v>ORAS Agder AS</v>
      </c>
      <c r="Q814" s="102">
        <f>tbl_ConsultingCompanys!D814</f>
        <v>0</v>
      </c>
      <c r="R814" s="102">
        <f>tbl_ConsultingCompanys!C814</f>
        <v>0</v>
      </c>
      <c r="S814" s="102">
        <f t="shared" si="38"/>
        <v>0</v>
      </c>
    </row>
    <row r="815" spans="11:19" x14ac:dyDescent="0.15">
      <c r="K815" s="102">
        <f>tbl_ArchitectureOffices!D815</f>
        <v>0</v>
      </c>
      <c r="L815" s="102">
        <f>tbl_ArchitectureOffices!C815</f>
        <v>0</v>
      </c>
      <c r="M815" s="102">
        <f t="shared" si="36"/>
        <v>0</v>
      </c>
      <c r="N815" s="102" t="str">
        <f>tbl_Companys!D815</f>
        <v>Oras AS</v>
      </c>
      <c r="O815" s="102">
        <f>tbl_Companys!C815</f>
        <v>248371</v>
      </c>
      <c r="P815" s="102" t="str">
        <f t="shared" si="37"/>
        <v>Oras AS</v>
      </c>
      <c r="Q815" s="102">
        <f>tbl_ConsultingCompanys!D815</f>
        <v>0</v>
      </c>
      <c r="R815" s="102">
        <f>tbl_ConsultingCompanys!C815</f>
        <v>0</v>
      </c>
      <c r="S815" s="102">
        <f t="shared" si="38"/>
        <v>0</v>
      </c>
    </row>
    <row r="816" spans="11:19" x14ac:dyDescent="0.15">
      <c r="K816" s="102">
        <f>tbl_ArchitectureOffices!D816</f>
        <v>0</v>
      </c>
      <c r="L816" s="102">
        <f>tbl_ArchitectureOffices!C816</f>
        <v>0</v>
      </c>
      <c r="M816" s="102">
        <f t="shared" si="36"/>
        <v>0</v>
      </c>
      <c r="N816" s="102" t="str">
        <f>tbl_Companys!D816</f>
        <v>Oras as (RIV)</v>
      </c>
      <c r="O816" s="102">
        <f>tbl_Companys!C816</f>
        <v>214148</v>
      </c>
      <c r="P816" s="102" t="str">
        <f t="shared" si="37"/>
        <v>Oras as (RIV)</v>
      </c>
      <c r="Q816" s="102">
        <f>tbl_ConsultingCompanys!D816</f>
        <v>0</v>
      </c>
      <c r="R816" s="102">
        <f>tbl_ConsultingCompanys!C816</f>
        <v>0</v>
      </c>
      <c r="S816" s="102">
        <f t="shared" si="38"/>
        <v>0</v>
      </c>
    </row>
    <row r="817" spans="11:19" x14ac:dyDescent="0.15">
      <c r="K817" s="102">
        <f>tbl_ArchitectureOffices!D817</f>
        <v>0</v>
      </c>
      <c r="L817" s="102">
        <f>tbl_ArchitectureOffices!C817</f>
        <v>0</v>
      </c>
      <c r="M817" s="102">
        <f t="shared" si="36"/>
        <v>0</v>
      </c>
      <c r="N817" s="102" t="str">
        <f>tbl_Companys!D817</f>
        <v>Oras AS (VVS)</v>
      </c>
      <c r="O817" s="102">
        <f>tbl_Companys!C817</f>
        <v>165637</v>
      </c>
      <c r="P817" s="102" t="str">
        <f t="shared" si="37"/>
        <v>Oras AS (VVS)</v>
      </c>
      <c r="Q817" s="102">
        <f>tbl_ConsultingCompanys!D817</f>
        <v>0</v>
      </c>
      <c r="R817" s="102">
        <f>tbl_ConsultingCompanys!C817</f>
        <v>0</v>
      </c>
      <c r="S817" s="102">
        <f t="shared" si="38"/>
        <v>0</v>
      </c>
    </row>
    <row r="818" spans="11:19" x14ac:dyDescent="0.15">
      <c r="K818" s="102">
        <f>tbl_ArchitectureOffices!D818</f>
        <v>0</v>
      </c>
      <c r="L818" s="102">
        <f>tbl_ArchitectureOffices!C818</f>
        <v>0</v>
      </c>
      <c r="M818" s="102">
        <f t="shared" si="36"/>
        <v>0</v>
      </c>
      <c r="N818" s="102" t="str">
        <f>tbl_Companys!D818</f>
        <v xml:space="preserve">Oras AS (VVS) </v>
      </c>
      <c r="O818" s="102">
        <f>tbl_Companys!C818</f>
        <v>163045</v>
      </c>
      <c r="P818" s="102" t="str">
        <f t="shared" si="37"/>
        <v>Oras AS (VVS)</v>
      </c>
      <c r="Q818" s="102">
        <f>tbl_ConsultingCompanys!D818</f>
        <v>0</v>
      </c>
      <c r="R818" s="102">
        <f>tbl_ConsultingCompanys!C818</f>
        <v>0</v>
      </c>
      <c r="S818" s="102">
        <f t="shared" si="38"/>
        <v>0</v>
      </c>
    </row>
    <row r="819" spans="11:19" x14ac:dyDescent="0.15">
      <c r="K819" s="102">
        <f>tbl_ArchitectureOffices!D819</f>
        <v>0</v>
      </c>
      <c r="L819" s="102">
        <f>tbl_ArchitectureOffices!C819</f>
        <v>0</v>
      </c>
      <c r="M819" s="102">
        <f t="shared" si="36"/>
        <v>0</v>
      </c>
      <c r="N819" s="102" t="str">
        <f>tbl_Companys!D819</f>
        <v xml:space="preserve">Oras buskerud </v>
      </c>
      <c r="O819" s="102">
        <f>tbl_Companys!C819</f>
        <v>119896</v>
      </c>
      <c r="P819" s="102" t="str">
        <f t="shared" si="37"/>
        <v>Oras buskerud</v>
      </c>
      <c r="Q819" s="102">
        <f>tbl_ConsultingCompanys!D819</f>
        <v>0</v>
      </c>
      <c r="R819" s="102">
        <f>tbl_ConsultingCompanys!C819</f>
        <v>0</v>
      </c>
      <c r="S819" s="102">
        <f t="shared" si="38"/>
        <v>0</v>
      </c>
    </row>
    <row r="820" spans="11:19" x14ac:dyDescent="0.15">
      <c r="K820" s="102">
        <f>tbl_ArchitectureOffices!D820</f>
        <v>0</v>
      </c>
      <c r="L820" s="102">
        <f>tbl_ArchitectureOffices!C820</f>
        <v>0</v>
      </c>
      <c r="M820" s="102">
        <f t="shared" si="36"/>
        <v>0</v>
      </c>
      <c r="N820" s="102" t="str">
        <f>tbl_Companys!D820</f>
        <v>Oras Trondheim as</v>
      </c>
      <c r="O820" s="102">
        <f>tbl_Companys!C820</f>
        <v>164721</v>
      </c>
      <c r="P820" s="102" t="str">
        <f t="shared" si="37"/>
        <v>Oras Trondheim as</v>
      </c>
      <c r="Q820" s="102">
        <f>tbl_ConsultingCompanys!D820</f>
        <v>0</v>
      </c>
      <c r="R820" s="102">
        <f>tbl_ConsultingCompanys!C820</f>
        <v>0</v>
      </c>
      <c r="S820" s="102">
        <f t="shared" si="38"/>
        <v>0</v>
      </c>
    </row>
    <row r="821" spans="11:19" x14ac:dyDescent="0.15">
      <c r="K821" s="102">
        <f>tbl_ArchitectureOffices!D821</f>
        <v>0</v>
      </c>
      <c r="L821" s="102">
        <f>tbl_ArchitectureOffices!C821</f>
        <v>0</v>
      </c>
      <c r="M821" s="102">
        <f t="shared" si="36"/>
        <v>0</v>
      </c>
      <c r="N821" s="102" t="str">
        <f>tbl_Companys!D821</f>
        <v>Origo arkitektgruppe as</v>
      </c>
      <c r="O821" s="102">
        <f>tbl_Companys!C821</f>
        <v>171498</v>
      </c>
      <c r="P821" s="102" t="str">
        <f t="shared" si="37"/>
        <v>Origo arkitektgruppe as</v>
      </c>
      <c r="Q821" s="102">
        <f>tbl_ConsultingCompanys!D821</f>
        <v>0</v>
      </c>
      <c r="R821" s="102">
        <f>tbl_ConsultingCompanys!C821</f>
        <v>0</v>
      </c>
      <c r="S821" s="102">
        <f t="shared" si="38"/>
        <v>0</v>
      </c>
    </row>
    <row r="822" spans="11:19" x14ac:dyDescent="0.15">
      <c r="K822" s="102">
        <f>tbl_ArchitectureOffices!D822</f>
        <v>0</v>
      </c>
      <c r="L822" s="102">
        <f>tbl_ArchitectureOffices!C822</f>
        <v>0</v>
      </c>
      <c r="M822" s="102">
        <f t="shared" si="36"/>
        <v>0</v>
      </c>
      <c r="N822" s="102" t="str">
        <f>tbl_Companys!D822</f>
        <v>Origo AS (VVA)</v>
      </c>
      <c r="O822" s="102">
        <f>tbl_Companys!C822</f>
        <v>155700</v>
      </c>
      <c r="P822" s="102" t="str">
        <f t="shared" si="37"/>
        <v>Origo AS (VVA)</v>
      </c>
      <c r="Q822" s="102">
        <f>tbl_ConsultingCompanys!D822</f>
        <v>0</v>
      </c>
      <c r="R822" s="102">
        <f>tbl_ConsultingCompanys!C822</f>
        <v>0</v>
      </c>
      <c r="S822" s="102">
        <f t="shared" si="38"/>
        <v>0</v>
      </c>
    </row>
    <row r="823" spans="11:19" x14ac:dyDescent="0.15">
      <c r="K823" s="102">
        <f>tbl_ArchitectureOffices!D823</f>
        <v>0</v>
      </c>
      <c r="L823" s="102">
        <f>tbl_ArchitectureOffices!C823</f>
        <v>0</v>
      </c>
      <c r="M823" s="102">
        <f t="shared" si="36"/>
        <v>0</v>
      </c>
      <c r="N823" s="102" t="str">
        <f>tbl_Companys!D823</f>
        <v>Orkdal kommune</v>
      </c>
      <c r="O823" s="102">
        <f>tbl_Companys!C823</f>
        <v>246803</v>
      </c>
      <c r="P823" s="102" t="str">
        <f t="shared" si="37"/>
        <v>Orkdal kommune</v>
      </c>
      <c r="Q823" s="102">
        <f>tbl_ConsultingCompanys!D823</f>
        <v>0</v>
      </c>
      <c r="R823" s="102">
        <f>tbl_ConsultingCompanys!C823</f>
        <v>0</v>
      </c>
      <c r="S823" s="102">
        <f t="shared" si="38"/>
        <v>0</v>
      </c>
    </row>
    <row r="824" spans="11:19" x14ac:dyDescent="0.15">
      <c r="K824" s="102">
        <f>tbl_ArchitectureOffices!D824</f>
        <v>0</v>
      </c>
      <c r="L824" s="102">
        <f>tbl_ArchitectureOffices!C824</f>
        <v>0</v>
      </c>
      <c r="M824" s="102">
        <f t="shared" si="36"/>
        <v>0</v>
      </c>
      <c r="N824" s="102" t="str">
        <f>tbl_Companys!D824</f>
        <v>Oslo Byggentreprenør AS</v>
      </c>
      <c r="O824" s="102">
        <f>tbl_Companys!C824</f>
        <v>246926</v>
      </c>
      <c r="P824" s="102" t="str">
        <f t="shared" si="37"/>
        <v>Oslo Byggentreprenør AS</v>
      </c>
      <c r="Q824" s="102">
        <f>tbl_ConsultingCompanys!D824</f>
        <v>0</v>
      </c>
      <c r="R824" s="102">
        <f>tbl_ConsultingCompanys!C824</f>
        <v>0</v>
      </c>
      <c r="S824" s="102">
        <f t="shared" si="38"/>
        <v>0</v>
      </c>
    </row>
    <row r="825" spans="11:19" x14ac:dyDescent="0.15">
      <c r="K825" s="102">
        <f>tbl_ArchitectureOffices!D825</f>
        <v>0</v>
      </c>
      <c r="L825" s="102">
        <f>tbl_ArchitectureOffices!C825</f>
        <v>0</v>
      </c>
      <c r="M825" s="102">
        <f t="shared" si="36"/>
        <v>0</v>
      </c>
      <c r="N825" s="102" t="str">
        <f>tbl_Companys!D825</f>
        <v>Oslo kommune</v>
      </c>
      <c r="O825" s="102">
        <f>tbl_Companys!C825</f>
        <v>160568</v>
      </c>
      <c r="P825" s="102" t="str">
        <f t="shared" si="37"/>
        <v>Oslo kommune</v>
      </c>
      <c r="Q825" s="102">
        <f>tbl_ConsultingCompanys!D825</f>
        <v>0</v>
      </c>
      <c r="R825" s="102">
        <f>tbl_ConsultingCompanys!C825</f>
        <v>0</v>
      </c>
      <c r="S825" s="102">
        <f t="shared" si="38"/>
        <v>0</v>
      </c>
    </row>
    <row r="826" spans="11:19" x14ac:dyDescent="0.15">
      <c r="K826" s="102">
        <f>tbl_ArchitectureOffices!D826</f>
        <v>0</v>
      </c>
      <c r="L826" s="102">
        <f>tbl_ArchitectureOffices!C826</f>
        <v>0</v>
      </c>
      <c r="M826" s="102">
        <f t="shared" si="36"/>
        <v>0</v>
      </c>
      <c r="N826" s="102" t="str">
        <f>tbl_Companys!D826</f>
        <v>Oslo Kommune ved Vann- og avløpsetaten og Friluftsetaten</v>
      </c>
      <c r="O826" s="102">
        <f>tbl_Companys!C826</f>
        <v>162435</v>
      </c>
      <c r="P826" s="102" t="str">
        <f t="shared" si="37"/>
        <v>Oslo Kommune ved Vann- og avløpsetaten og Friluftsetaten</v>
      </c>
      <c r="Q826" s="102">
        <f>tbl_ConsultingCompanys!D826</f>
        <v>0</v>
      </c>
      <c r="R826" s="102">
        <f>tbl_ConsultingCompanys!C826</f>
        <v>0</v>
      </c>
      <c r="S826" s="102">
        <f t="shared" si="38"/>
        <v>0</v>
      </c>
    </row>
    <row r="827" spans="11:19" x14ac:dyDescent="0.15">
      <c r="K827" s="102">
        <f>tbl_ArchitectureOffices!D827</f>
        <v>0</v>
      </c>
      <c r="L827" s="102">
        <f>tbl_ArchitectureOffices!C827</f>
        <v>0</v>
      </c>
      <c r="M827" s="102">
        <f t="shared" si="36"/>
        <v>0</v>
      </c>
      <c r="N827" s="102" t="str">
        <f>tbl_Companys!D827</f>
        <v>Oslo kommune, Bydel Alna</v>
      </c>
      <c r="O827" s="102">
        <f>tbl_Companys!C827</f>
        <v>214717</v>
      </c>
      <c r="P827" s="102" t="str">
        <f t="shared" si="37"/>
        <v>Oslo kommune, Bydel Alna</v>
      </c>
      <c r="Q827" s="102">
        <f>tbl_ConsultingCompanys!D827</f>
        <v>0</v>
      </c>
      <c r="R827" s="102">
        <f>tbl_ConsultingCompanys!C827</f>
        <v>0</v>
      </c>
      <c r="S827" s="102">
        <f t="shared" si="38"/>
        <v>0</v>
      </c>
    </row>
    <row r="828" spans="11:19" x14ac:dyDescent="0.15">
      <c r="K828" s="102">
        <f>tbl_ArchitectureOffices!D828</f>
        <v>0</v>
      </c>
      <c r="L828" s="102">
        <f>tbl_ArchitectureOffices!C828</f>
        <v>0</v>
      </c>
      <c r="M828" s="102">
        <f t="shared" si="36"/>
        <v>0</v>
      </c>
      <c r="N828" s="102" t="str">
        <f>tbl_Companys!D828</f>
        <v>Oslo kommune, Bydel Stovner</v>
      </c>
      <c r="O828" s="102">
        <f>tbl_Companys!C828</f>
        <v>214749</v>
      </c>
      <c r="P828" s="102" t="str">
        <f t="shared" si="37"/>
        <v>Oslo kommune, Bydel Stovner</v>
      </c>
      <c r="Q828" s="102">
        <f>tbl_ConsultingCompanys!D828</f>
        <v>0</v>
      </c>
      <c r="R828" s="102">
        <f>tbl_ConsultingCompanys!C828</f>
        <v>0</v>
      </c>
      <c r="S828" s="102">
        <f t="shared" si="38"/>
        <v>0</v>
      </c>
    </row>
    <row r="829" spans="11:19" x14ac:dyDescent="0.15">
      <c r="K829" s="102">
        <f>tbl_ArchitectureOffices!D829</f>
        <v>0</v>
      </c>
      <c r="L829" s="102">
        <f>tbl_ArchitectureOffices!C829</f>
        <v>0</v>
      </c>
      <c r="M829" s="102">
        <f t="shared" si="36"/>
        <v>0</v>
      </c>
      <c r="N829" s="102" t="str">
        <f>tbl_Companys!D829</f>
        <v>Oslo kommune, Bydel Stovner</v>
      </c>
      <c r="O829" s="102">
        <f>tbl_Companys!C829</f>
        <v>214750</v>
      </c>
      <c r="P829" s="102" t="str">
        <f t="shared" si="37"/>
        <v>Oslo kommune, Bydel Stovner</v>
      </c>
      <c r="Q829" s="102">
        <f>tbl_ConsultingCompanys!D829</f>
        <v>0</v>
      </c>
      <c r="R829" s="102">
        <f>tbl_ConsultingCompanys!C829</f>
        <v>0</v>
      </c>
      <c r="S829" s="102">
        <f t="shared" si="38"/>
        <v>0</v>
      </c>
    </row>
    <row r="830" spans="11:19" x14ac:dyDescent="0.15">
      <c r="K830" s="102">
        <f>tbl_ArchitectureOffices!D830</f>
        <v>0</v>
      </c>
      <c r="L830" s="102">
        <f>tbl_ArchitectureOffices!C830</f>
        <v>0</v>
      </c>
      <c r="M830" s="102">
        <f t="shared" si="36"/>
        <v>0</v>
      </c>
      <c r="N830" s="102" t="str">
        <f>tbl_Companys!D830</f>
        <v>Oslo kommune, Friluftsetaten</v>
      </c>
      <c r="O830" s="102">
        <f>tbl_Companys!C830</f>
        <v>160595</v>
      </c>
      <c r="P830" s="102" t="str">
        <f t="shared" si="37"/>
        <v>Oslo kommune, Friluftsetaten</v>
      </c>
      <c r="Q830" s="102">
        <f>tbl_ConsultingCompanys!D830</f>
        <v>0</v>
      </c>
      <c r="R830" s="102">
        <f>tbl_ConsultingCompanys!C830</f>
        <v>0</v>
      </c>
      <c r="S830" s="102">
        <f t="shared" si="38"/>
        <v>0</v>
      </c>
    </row>
    <row r="831" spans="11:19" x14ac:dyDescent="0.15">
      <c r="K831" s="102">
        <f>tbl_ArchitectureOffices!D831</f>
        <v>0</v>
      </c>
      <c r="L831" s="102">
        <f>tbl_ArchitectureOffices!C831</f>
        <v>0</v>
      </c>
      <c r="M831" s="102">
        <f t="shared" si="36"/>
        <v>0</v>
      </c>
      <c r="N831" s="102" t="str">
        <f>tbl_Companys!D831</f>
        <v>Oslo kommune, Friluftsetaten og Bydel Alna</v>
      </c>
      <c r="O831" s="102">
        <f>tbl_Companys!C831</f>
        <v>214740</v>
      </c>
      <c r="P831" s="102" t="str">
        <f t="shared" si="37"/>
        <v>Oslo kommune, Friluftsetaten og Bydel Alna</v>
      </c>
      <c r="Q831" s="102">
        <f>tbl_ConsultingCompanys!D831</f>
        <v>0</v>
      </c>
      <c r="R831" s="102">
        <f>tbl_ConsultingCompanys!C831</f>
        <v>0</v>
      </c>
      <c r="S831" s="102">
        <f t="shared" si="38"/>
        <v>0</v>
      </c>
    </row>
    <row r="832" spans="11:19" x14ac:dyDescent="0.15">
      <c r="K832" s="102">
        <f>tbl_ArchitectureOffices!D832</f>
        <v>0</v>
      </c>
      <c r="L832" s="102">
        <f>tbl_ArchitectureOffices!C832</f>
        <v>0</v>
      </c>
      <c r="M832" s="102">
        <f t="shared" si="36"/>
        <v>0</v>
      </c>
      <c r="N832" s="102" t="str">
        <f>tbl_Companys!D832</f>
        <v>Oslo kommune, idrettsetaten</v>
      </c>
      <c r="O832" s="102">
        <f>tbl_Companys!C832</f>
        <v>218624</v>
      </c>
      <c r="P832" s="102" t="str">
        <f t="shared" si="37"/>
        <v>Oslo kommune, idrettsetaten</v>
      </c>
      <c r="Q832" s="102">
        <f>tbl_ConsultingCompanys!D832</f>
        <v>0</v>
      </c>
      <c r="R832" s="102">
        <f>tbl_ConsultingCompanys!C832</f>
        <v>0</v>
      </c>
      <c r="S832" s="102">
        <f t="shared" si="38"/>
        <v>0</v>
      </c>
    </row>
    <row r="833" spans="11:19" x14ac:dyDescent="0.15">
      <c r="K833" s="102">
        <f>tbl_ArchitectureOffices!D833</f>
        <v>0</v>
      </c>
      <c r="L833" s="102">
        <f>tbl_ArchitectureOffices!C833</f>
        <v>0</v>
      </c>
      <c r="M833" s="102">
        <f t="shared" si="36"/>
        <v>0</v>
      </c>
      <c r="N833" s="102" t="str">
        <f>tbl_Companys!D833</f>
        <v>Oslo Kommune, Kulturbyggene i Bjørvika</v>
      </c>
      <c r="O833" s="102">
        <f>tbl_Companys!C833</f>
        <v>217291</v>
      </c>
      <c r="P833" s="102" t="str">
        <f t="shared" si="37"/>
        <v>Oslo Kommune, Kulturbyggene i Bjørvika</v>
      </c>
      <c r="Q833" s="102">
        <f>tbl_ConsultingCompanys!D833</f>
        <v>0</v>
      </c>
      <c r="R833" s="102">
        <f>tbl_ConsultingCompanys!C833</f>
        <v>0</v>
      </c>
      <c r="S833" s="102">
        <f t="shared" si="38"/>
        <v>0</v>
      </c>
    </row>
    <row r="834" spans="11:19" x14ac:dyDescent="0.15">
      <c r="K834" s="102">
        <f>tbl_ArchitectureOffices!D834</f>
        <v>0</v>
      </c>
      <c r="L834" s="102">
        <f>tbl_ArchitectureOffices!C834</f>
        <v>0</v>
      </c>
      <c r="M834" s="102">
        <f t="shared" si="36"/>
        <v>0</v>
      </c>
      <c r="N834" s="102" t="str">
        <f>tbl_Companys!D834</f>
        <v>Oslo kommune, Utdanningsetaten</v>
      </c>
      <c r="O834" s="102">
        <f>tbl_Companys!C834</f>
        <v>217493</v>
      </c>
      <c r="P834" s="102" t="str">
        <f t="shared" si="37"/>
        <v>Oslo kommune, Utdanningsetaten</v>
      </c>
      <c r="Q834" s="102">
        <f>tbl_ConsultingCompanys!D834</f>
        <v>0</v>
      </c>
      <c r="R834" s="102">
        <f>tbl_ConsultingCompanys!C834</f>
        <v>0</v>
      </c>
      <c r="S834" s="102">
        <f t="shared" si="38"/>
        <v>0</v>
      </c>
    </row>
    <row r="835" spans="11:19" x14ac:dyDescent="0.15">
      <c r="K835" s="102">
        <f>tbl_ArchitectureOffices!D835</f>
        <v>0</v>
      </c>
      <c r="L835" s="102">
        <f>tbl_ArchitectureOffices!C835</f>
        <v>0</v>
      </c>
      <c r="M835" s="102">
        <f t="shared" ref="M835:M898" si="39">IFERROR(REPLACE(K835,FIND(" ",K835,LEN(K835)),1,""),K835)</f>
        <v>0</v>
      </c>
      <c r="N835" s="102" t="str">
        <f>tbl_Companys!D835</f>
        <v>Oslo Prosjektadministrasjon AS v/Terje Inglingstad</v>
      </c>
      <c r="O835" s="102">
        <f>tbl_Companys!C835</f>
        <v>214154</v>
      </c>
      <c r="P835" s="102" t="str">
        <f t="shared" ref="P835:P898" si="40">IFERROR(REPLACE(N835,FIND(" ",N835,LEN(N835)),1,""),N835)</f>
        <v>Oslo Prosjektadministrasjon AS v/Terje Inglingstad</v>
      </c>
      <c r="Q835" s="102">
        <f>tbl_ConsultingCompanys!D835</f>
        <v>0</v>
      </c>
      <c r="R835" s="102">
        <f>tbl_ConsultingCompanys!C835</f>
        <v>0</v>
      </c>
      <c r="S835" s="102">
        <f t="shared" ref="S835:S898" si="41">IFERROR(REPLACE(Q835,FIND(" ",Q835,LEN(Q835)),1,""),Q835)</f>
        <v>0</v>
      </c>
    </row>
    <row r="836" spans="11:19" x14ac:dyDescent="0.15">
      <c r="K836" s="102">
        <f>tbl_ArchitectureOffices!D836</f>
        <v>0</v>
      </c>
      <c r="L836" s="102">
        <f>tbl_ArchitectureOffices!C836</f>
        <v>0</v>
      </c>
      <c r="M836" s="102">
        <f t="shared" si="39"/>
        <v>0</v>
      </c>
      <c r="N836" s="102" t="str">
        <f>tbl_Companys!D836</f>
        <v>Oslo S Utvikling AS</v>
      </c>
      <c r="O836" s="102">
        <f>tbl_Companys!C836</f>
        <v>218166</v>
      </c>
      <c r="P836" s="102" t="str">
        <f t="shared" si="40"/>
        <v>Oslo S Utvikling AS</v>
      </c>
      <c r="Q836" s="102">
        <f>tbl_ConsultingCompanys!D836</f>
        <v>0</v>
      </c>
      <c r="R836" s="102">
        <f>tbl_ConsultingCompanys!C836</f>
        <v>0</v>
      </c>
      <c r="S836" s="102">
        <f t="shared" si="41"/>
        <v>0</v>
      </c>
    </row>
    <row r="837" spans="11:19" x14ac:dyDescent="0.15">
      <c r="K837" s="102">
        <f>tbl_ArchitectureOffices!D837</f>
        <v>0</v>
      </c>
      <c r="L837" s="102">
        <f>tbl_ArchitectureOffices!C837</f>
        <v>0</v>
      </c>
      <c r="M837" s="102">
        <f t="shared" si="39"/>
        <v>0</v>
      </c>
      <c r="N837" s="102" t="str">
        <f>tbl_Companys!D837</f>
        <v>Oslo Vei AS</v>
      </c>
      <c r="O837" s="102">
        <f>tbl_Companys!C837</f>
        <v>172255</v>
      </c>
      <c r="P837" s="102" t="str">
        <f t="shared" si="40"/>
        <v>Oslo Vei AS</v>
      </c>
      <c r="Q837" s="102">
        <f>tbl_ConsultingCompanys!D837</f>
        <v>0</v>
      </c>
      <c r="R837" s="102">
        <f>tbl_ConsultingCompanys!C837</f>
        <v>0</v>
      </c>
      <c r="S837" s="102">
        <f t="shared" si="41"/>
        <v>0</v>
      </c>
    </row>
    <row r="838" spans="11:19" x14ac:dyDescent="0.15">
      <c r="K838" s="102">
        <f>tbl_ArchitectureOffices!D838</f>
        <v>0</v>
      </c>
      <c r="L838" s="102">
        <f>tbl_ArchitectureOffices!C838</f>
        <v>0</v>
      </c>
      <c r="M838" s="102">
        <f t="shared" si="39"/>
        <v>0</v>
      </c>
      <c r="N838" s="102" t="str">
        <f>tbl_Companys!D838</f>
        <v>Otium AS</v>
      </c>
      <c r="O838" s="102">
        <f>tbl_Companys!C838</f>
        <v>158042</v>
      </c>
      <c r="P838" s="102" t="str">
        <f t="shared" si="40"/>
        <v>Otium AS</v>
      </c>
      <c r="Q838" s="102">
        <f>tbl_ConsultingCompanys!D838</f>
        <v>0</v>
      </c>
      <c r="R838" s="102">
        <f>tbl_ConsultingCompanys!C838</f>
        <v>0</v>
      </c>
      <c r="S838" s="102">
        <f t="shared" si="41"/>
        <v>0</v>
      </c>
    </row>
    <row r="839" spans="11:19" x14ac:dyDescent="0.15">
      <c r="K839" s="102">
        <f>tbl_ArchitectureOffices!D839</f>
        <v>0</v>
      </c>
      <c r="L839" s="102">
        <f>tbl_ArchitectureOffices!C839</f>
        <v>0</v>
      </c>
      <c r="M839" s="102">
        <f t="shared" si="39"/>
        <v>0</v>
      </c>
      <c r="N839" s="102" t="str">
        <f>tbl_Companys!D839</f>
        <v>Ottar arkitekter as</v>
      </c>
      <c r="O839" s="102">
        <f>tbl_Companys!C839</f>
        <v>171497</v>
      </c>
      <c r="P839" s="102" t="str">
        <f t="shared" si="40"/>
        <v>Ottar arkitekter as</v>
      </c>
      <c r="Q839" s="102">
        <f>tbl_ConsultingCompanys!D839</f>
        <v>0</v>
      </c>
      <c r="R839" s="102">
        <f>tbl_ConsultingCompanys!C839</f>
        <v>0</v>
      </c>
      <c r="S839" s="102">
        <f t="shared" si="41"/>
        <v>0</v>
      </c>
    </row>
    <row r="840" spans="11:19" x14ac:dyDescent="0.15">
      <c r="K840" s="102">
        <f>tbl_ArchitectureOffices!D840</f>
        <v>0</v>
      </c>
      <c r="L840" s="102">
        <f>tbl_ArchitectureOffices!C840</f>
        <v>0</v>
      </c>
      <c r="M840" s="102">
        <f t="shared" si="39"/>
        <v>0</v>
      </c>
      <c r="N840" s="102" t="str">
        <f>tbl_Companys!D840</f>
        <v>Overhalla kommune</v>
      </c>
      <c r="O840" s="102">
        <f>tbl_Companys!C840</f>
        <v>236723</v>
      </c>
      <c r="P840" s="102" t="str">
        <f t="shared" si="40"/>
        <v>Overhalla kommune</v>
      </c>
      <c r="Q840" s="102">
        <f>tbl_ConsultingCompanys!D840</f>
        <v>0</v>
      </c>
      <c r="R840" s="102">
        <f>tbl_ConsultingCompanys!C840</f>
        <v>0</v>
      </c>
      <c r="S840" s="102">
        <f t="shared" si="41"/>
        <v>0</v>
      </c>
    </row>
    <row r="841" spans="11:19" x14ac:dyDescent="0.15">
      <c r="K841" s="102">
        <f>tbl_ArchitectureOffices!D841</f>
        <v>0</v>
      </c>
      <c r="L841" s="102">
        <f>tbl_ArchitectureOffices!C841</f>
        <v>0</v>
      </c>
      <c r="M841" s="102">
        <f t="shared" si="39"/>
        <v>0</v>
      </c>
      <c r="N841" s="102" t="str">
        <f>tbl_Companys!D841</f>
        <v>P. A. Holst sivilarkitekt mnal</v>
      </c>
      <c r="O841" s="102">
        <f>tbl_Companys!C841</f>
        <v>210155</v>
      </c>
      <c r="P841" s="102" t="str">
        <f t="shared" si="40"/>
        <v>P. A. Holst sivilarkitekt mnal</v>
      </c>
      <c r="Q841" s="102">
        <f>tbl_ConsultingCompanys!D841</f>
        <v>0</v>
      </c>
      <c r="R841" s="102">
        <f>tbl_ConsultingCompanys!C841</f>
        <v>0</v>
      </c>
      <c r="S841" s="102">
        <f t="shared" si="41"/>
        <v>0</v>
      </c>
    </row>
    <row r="842" spans="11:19" x14ac:dyDescent="0.15">
      <c r="K842" s="102">
        <f>tbl_ArchitectureOffices!D842</f>
        <v>0</v>
      </c>
      <c r="L842" s="102">
        <f>tbl_ArchitectureOffices!C842</f>
        <v>0</v>
      </c>
      <c r="M842" s="102">
        <f t="shared" si="39"/>
        <v>0</v>
      </c>
      <c r="N842" s="102" t="str">
        <f>tbl_Companys!D842</f>
        <v>Panark AS</v>
      </c>
      <c r="O842" s="102">
        <f>tbl_Companys!C842</f>
        <v>171490</v>
      </c>
      <c r="P842" s="102" t="str">
        <f t="shared" si="40"/>
        <v>Panark AS</v>
      </c>
      <c r="Q842" s="102">
        <f>tbl_ConsultingCompanys!D842</f>
        <v>0</v>
      </c>
      <c r="R842" s="102">
        <f>tbl_ConsultingCompanys!C842</f>
        <v>0</v>
      </c>
      <c r="S842" s="102">
        <f t="shared" si="41"/>
        <v>0</v>
      </c>
    </row>
    <row r="843" spans="11:19" x14ac:dyDescent="0.15">
      <c r="K843" s="102">
        <f>tbl_ArchitectureOffices!D843</f>
        <v>0</v>
      </c>
      <c r="L843" s="102">
        <f>tbl_ArchitectureOffices!C843</f>
        <v>0</v>
      </c>
      <c r="M843" s="102">
        <f t="shared" si="39"/>
        <v>0</v>
      </c>
      <c r="N843" s="102" t="str">
        <f>tbl_Companys!D843</f>
        <v>Papirbredden Eiendom AS</v>
      </c>
      <c r="O843" s="102">
        <f>tbl_Companys!C843</f>
        <v>207270</v>
      </c>
      <c r="P843" s="102" t="str">
        <f t="shared" si="40"/>
        <v>Papirbredden Eiendom AS</v>
      </c>
      <c r="Q843" s="102">
        <f>tbl_ConsultingCompanys!D843</f>
        <v>0</v>
      </c>
      <c r="R843" s="102">
        <f>tbl_ConsultingCompanys!C843</f>
        <v>0</v>
      </c>
      <c r="S843" s="102">
        <f t="shared" si="41"/>
        <v>0</v>
      </c>
    </row>
    <row r="844" spans="11:19" x14ac:dyDescent="0.15">
      <c r="K844" s="102">
        <f>tbl_ArchitectureOffices!D844</f>
        <v>0</v>
      </c>
      <c r="L844" s="102">
        <f>tbl_ArchitectureOffices!C844</f>
        <v>0</v>
      </c>
      <c r="M844" s="102">
        <f t="shared" si="39"/>
        <v>0</v>
      </c>
      <c r="N844" s="102" t="str">
        <f>tbl_Companys!D844</f>
        <v>Pascal Rådgivning AS</v>
      </c>
      <c r="O844" s="102">
        <f>tbl_Companys!C844</f>
        <v>192376</v>
      </c>
      <c r="P844" s="102" t="str">
        <f t="shared" si="40"/>
        <v>Pascal Rådgivning AS</v>
      </c>
      <c r="Q844" s="102">
        <f>tbl_ConsultingCompanys!D844</f>
        <v>0</v>
      </c>
      <c r="R844" s="102">
        <f>tbl_ConsultingCompanys!C844</f>
        <v>0</v>
      </c>
      <c r="S844" s="102">
        <f t="shared" si="41"/>
        <v>0</v>
      </c>
    </row>
    <row r="845" spans="11:19" x14ac:dyDescent="0.15">
      <c r="K845" s="102">
        <f>tbl_ArchitectureOffices!D845</f>
        <v>0</v>
      </c>
      <c r="L845" s="102">
        <f>tbl_ArchitectureOffices!C845</f>
        <v>0</v>
      </c>
      <c r="M845" s="102">
        <f t="shared" si="39"/>
        <v>0</v>
      </c>
      <c r="N845" s="102" t="str">
        <f>tbl_Companys!D845</f>
        <v>Passivhus Norge a/s</v>
      </c>
      <c r="O845" s="102">
        <f>tbl_Companys!C845</f>
        <v>111941</v>
      </c>
      <c r="P845" s="102" t="str">
        <f t="shared" si="40"/>
        <v>Passivhus Norge a/s</v>
      </c>
      <c r="Q845" s="102">
        <f>tbl_ConsultingCompanys!D845</f>
        <v>0</v>
      </c>
      <c r="R845" s="102">
        <f>tbl_ConsultingCompanys!C845</f>
        <v>0</v>
      </c>
      <c r="S845" s="102">
        <f t="shared" si="41"/>
        <v>0</v>
      </c>
    </row>
    <row r="846" spans="11:19" x14ac:dyDescent="0.15">
      <c r="K846" s="102">
        <f>tbl_ArchitectureOffices!D846</f>
        <v>0</v>
      </c>
      <c r="L846" s="102">
        <f>tbl_ArchitectureOffices!C846</f>
        <v>0</v>
      </c>
      <c r="M846" s="102">
        <f t="shared" si="39"/>
        <v>0</v>
      </c>
      <c r="N846" s="102" t="str">
        <f>tbl_Companys!D846</f>
        <v xml:space="preserve">Pedersen arkitekter as, Kyrre </v>
      </c>
      <c r="O846" s="102">
        <f>tbl_Companys!C846</f>
        <v>171489</v>
      </c>
      <c r="P846" s="102" t="str">
        <f t="shared" si="40"/>
        <v>Pedersen arkitekter as, Kyrre</v>
      </c>
      <c r="Q846" s="102">
        <f>tbl_ConsultingCompanys!D846</f>
        <v>0</v>
      </c>
      <c r="R846" s="102">
        <f>tbl_ConsultingCompanys!C846</f>
        <v>0</v>
      </c>
      <c r="S846" s="102">
        <f t="shared" si="41"/>
        <v>0</v>
      </c>
    </row>
    <row r="847" spans="11:19" x14ac:dyDescent="0.15">
      <c r="K847" s="102">
        <f>tbl_ArchitectureOffices!D847</f>
        <v>0</v>
      </c>
      <c r="L847" s="102">
        <f>tbl_ArchitectureOffices!C847</f>
        <v>0</v>
      </c>
      <c r="M847" s="102">
        <f t="shared" si="39"/>
        <v>0</v>
      </c>
      <c r="N847" s="102" t="str">
        <f>tbl_Companys!D847</f>
        <v>Pedersen/ Ege Arkitekter AS</v>
      </c>
      <c r="O847" s="102">
        <f>tbl_Companys!C847</f>
        <v>173039</v>
      </c>
      <c r="P847" s="102" t="str">
        <f t="shared" si="40"/>
        <v>Pedersen/ Ege Arkitekter AS</v>
      </c>
      <c r="Q847" s="102">
        <f>tbl_ConsultingCompanys!D847</f>
        <v>0</v>
      </c>
      <c r="R847" s="102">
        <f>tbl_ConsultingCompanys!C847</f>
        <v>0</v>
      </c>
      <c r="S847" s="102">
        <f t="shared" si="41"/>
        <v>0</v>
      </c>
    </row>
    <row r="848" spans="11:19" x14ac:dyDescent="0.15">
      <c r="K848" s="102">
        <f>tbl_ArchitectureOffices!D848</f>
        <v>0</v>
      </c>
      <c r="L848" s="102">
        <f>tbl_ArchitectureOffices!C848</f>
        <v>0</v>
      </c>
      <c r="M848" s="102">
        <f t="shared" si="39"/>
        <v>0</v>
      </c>
      <c r="N848" s="102" t="str">
        <f>tbl_Companys!D848</f>
        <v>Peggy Brilke</v>
      </c>
      <c r="O848" s="102">
        <f>tbl_Companys!C848</f>
        <v>244637</v>
      </c>
      <c r="P848" s="102" t="str">
        <f t="shared" si="40"/>
        <v>Peggy Brilke</v>
      </c>
      <c r="Q848" s="102">
        <f>tbl_ConsultingCompanys!D848</f>
        <v>0</v>
      </c>
      <c r="R848" s="102">
        <f>tbl_ConsultingCompanys!C848</f>
        <v>0</v>
      </c>
      <c r="S848" s="102">
        <f t="shared" si="41"/>
        <v>0</v>
      </c>
    </row>
    <row r="849" spans="11:19" x14ac:dyDescent="0.15">
      <c r="K849" s="102">
        <f>tbl_ArchitectureOffices!D849</f>
        <v>0</v>
      </c>
      <c r="L849" s="102">
        <f>tbl_ArchitectureOffices!C849</f>
        <v>0</v>
      </c>
      <c r="M849" s="102">
        <f t="shared" si="39"/>
        <v>0</v>
      </c>
      <c r="N849" s="102" t="str">
        <f>tbl_Companys!D849</f>
        <v>Per Arne Hestetun og Anne Grete Gruben</v>
      </c>
      <c r="O849" s="102">
        <f>tbl_Companys!C849</f>
        <v>160590</v>
      </c>
      <c r="P849" s="102" t="str">
        <f t="shared" si="40"/>
        <v>Per Arne Hestetun og Anne Grete Gruben</v>
      </c>
      <c r="Q849" s="102">
        <f>tbl_ConsultingCompanys!D849</f>
        <v>0</v>
      </c>
      <c r="R849" s="102">
        <f>tbl_ConsultingCompanys!C849</f>
        <v>0</v>
      </c>
      <c r="S849" s="102">
        <f t="shared" si="41"/>
        <v>0</v>
      </c>
    </row>
    <row r="850" spans="11:19" x14ac:dyDescent="0.15">
      <c r="K850" s="102">
        <f>tbl_ArchitectureOffices!D850</f>
        <v>0</v>
      </c>
      <c r="L850" s="102">
        <f>tbl_ArchitectureOffices!C850</f>
        <v>0</v>
      </c>
      <c r="M850" s="102">
        <f t="shared" si="39"/>
        <v>0</v>
      </c>
      <c r="N850" s="102" t="str">
        <f>tbl_Companys!D850</f>
        <v xml:space="preserve">Per Rasmussen AS, Bærum </v>
      </c>
      <c r="O850" s="102">
        <f>tbl_Companys!C850</f>
        <v>120020</v>
      </c>
      <c r="P850" s="102" t="str">
        <f t="shared" si="40"/>
        <v>Per Rasmussen AS, Bærum</v>
      </c>
      <c r="Q850" s="102">
        <f>tbl_ConsultingCompanys!D850</f>
        <v>0</v>
      </c>
      <c r="R850" s="102">
        <f>tbl_ConsultingCompanys!C850</f>
        <v>0</v>
      </c>
      <c r="S850" s="102">
        <f t="shared" si="41"/>
        <v>0</v>
      </c>
    </row>
    <row r="851" spans="11:19" x14ac:dyDescent="0.15">
      <c r="K851" s="102">
        <f>tbl_ArchitectureOffices!D851</f>
        <v>0</v>
      </c>
      <c r="L851" s="102">
        <f>tbl_ArchitectureOffices!C851</f>
        <v>0</v>
      </c>
      <c r="M851" s="102">
        <f t="shared" si="39"/>
        <v>0</v>
      </c>
      <c r="N851" s="102" t="str">
        <f>tbl_Companys!D851</f>
        <v>Perspektiv Arkitekter AS</v>
      </c>
      <c r="O851" s="102">
        <f>tbl_Companys!C851</f>
        <v>171488</v>
      </c>
      <c r="P851" s="102" t="str">
        <f t="shared" si="40"/>
        <v>Perspektiv Arkitekter AS</v>
      </c>
      <c r="Q851" s="102">
        <f>tbl_ConsultingCompanys!D851</f>
        <v>0</v>
      </c>
      <c r="R851" s="102">
        <f>tbl_ConsultingCompanys!C851</f>
        <v>0</v>
      </c>
      <c r="S851" s="102">
        <f t="shared" si="41"/>
        <v>0</v>
      </c>
    </row>
    <row r="852" spans="11:19" x14ac:dyDescent="0.15">
      <c r="K852" s="102">
        <f>tbl_ArchitectureOffices!D852</f>
        <v>0</v>
      </c>
      <c r="L852" s="102">
        <f>tbl_ArchitectureOffices!C852</f>
        <v>0</v>
      </c>
      <c r="M852" s="102">
        <f t="shared" si="39"/>
        <v>0</v>
      </c>
      <c r="N852" s="102" t="str">
        <f>tbl_Companys!D852</f>
        <v>Pettersen &amp; Partners - Hospital Planning and Design</v>
      </c>
      <c r="O852" s="102">
        <f>tbl_Companys!C852</f>
        <v>171486</v>
      </c>
      <c r="P852" s="102" t="str">
        <f t="shared" si="40"/>
        <v>Pettersen &amp; Partners - Hospital Planning and Design</v>
      </c>
      <c r="Q852" s="102">
        <f>tbl_ConsultingCompanys!D852</f>
        <v>0</v>
      </c>
      <c r="R852" s="102">
        <f>tbl_ConsultingCompanys!C852</f>
        <v>0</v>
      </c>
      <c r="S852" s="102">
        <f t="shared" si="41"/>
        <v>0</v>
      </c>
    </row>
    <row r="853" spans="11:19" x14ac:dyDescent="0.15">
      <c r="K853" s="102">
        <f>tbl_ArchitectureOffices!D853</f>
        <v>0</v>
      </c>
      <c r="L853" s="102">
        <f>tbl_ArchitectureOffices!C853</f>
        <v>0</v>
      </c>
      <c r="M853" s="102">
        <f t="shared" si="39"/>
        <v>0</v>
      </c>
      <c r="N853" s="102" t="str">
        <f>tbl_Companys!D853</f>
        <v>Pilestredet Park Boligutbygging ANS</v>
      </c>
      <c r="O853" s="102">
        <f>tbl_Companys!C853</f>
        <v>164812</v>
      </c>
      <c r="P853" s="102" t="str">
        <f t="shared" si="40"/>
        <v>Pilestredet Park Boligutbygging ANS</v>
      </c>
      <c r="Q853" s="102">
        <f>tbl_ConsultingCompanys!D853</f>
        <v>0</v>
      </c>
      <c r="R853" s="102">
        <f>tbl_ConsultingCompanys!C853</f>
        <v>0</v>
      </c>
      <c r="S853" s="102">
        <f t="shared" si="41"/>
        <v>0</v>
      </c>
    </row>
    <row r="854" spans="11:19" x14ac:dyDescent="0.15">
      <c r="K854" s="102">
        <f>tbl_ArchitectureOffices!D854</f>
        <v>0</v>
      </c>
      <c r="L854" s="102">
        <f>tbl_ArchitectureOffices!C854</f>
        <v>0</v>
      </c>
      <c r="M854" s="102">
        <f t="shared" si="39"/>
        <v>0</v>
      </c>
      <c r="N854" s="102" t="str">
        <f>tbl_Companys!D854</f>
        <v>Pir II AS</v>
      </c>
      <c r="O854" s="102">
        <f>tbl_Companys!C854</f>
        <v>171485</v>
      </c>
      <c r="P854" s="102" t="str">
        <f t="shared" si="40"/>
        <v>Pir II AS</v>
      </c>
      <c r="Q854" s="102">
        <f>tbl_ConsultingCompanys!D854</f>
        <v>0</v>
      </c>
      <c r="R854" s="102">
        <f>tbl_ConsultingCompanys!C854</f>
        <v>0</v>
      </c>
      <c r="S854" s="102">
        <f t="shared" si="41"/>
        <v>0</v>
      </c>
    </row>
    <row r="855" spans="11:19" x14ac:dyDescent="0.15">
      <c r="K855" s="102">
        <f>tbl_ArchitectureOffices!D855</f>
        <v>0</v>
      </c>
      <c r="L855" s="102">
        <f>tbl_ArchitectureOffices!C855</f>
        <v>0</v>
      </c>
      <c r="M855" s="102">
        <f t="shared" si="39"/>
        <v>0</v>
      </c>
      <c r="N855" s="102" t="str">
        <f>tbl_Companys!D855</f>
        <v>Pir II AS</v>
      </c>
      <c r="O855" s="102">
        <f>tbl_Companys!C855</f>
        <v>247808</v>
      </c>
      <c r="P855" s="102" t="str">
        <f t="shared" si="40"/>
        <v>Pir II AS</v>
      </c>
      <c r="Q855" s="102">
        <f>tbl_ConsultingCompanys!D855</f>
        <v>0</v>
      </c>
      <c r="R855" s="102">
        <f>tbl_ConsultingCompanys!C855</f>
        <v>0</v>
      </c>
      <c r="S855" s="102">
        <f t="shared" si="41"/>
        <v>0</v>
      </c>
    </row>
    <row r="856" spans="11:19" x14ac:dyDescent="0.15">
      <c r="K856" s="102">
        <f>tbl_ArchitectureOffices!D856</f>
        <v>0</v>
      </c>
      <c r="L856" s="102">
        <f>tbl_ArchitectureOffices!C856</f>
        <v>0</v>
      </c>
      <c r="M856" s="102">
        <f t="shared" si="39"/>
        <v>0</v>
      </c>
      <c r="N856" s="102" t="str">
        <f>tbl_Companys!D856</f>
        <v>Pir II Oslo AS</v>
      </c>
      <c r="O856" s="102">
        <f>tbl_Companys!C856</f>
        <v>233236</v>
      </c>
      <c r="P856" s="102" t="str">
        <f t="shared" si="40"/>
        <v>Pir II Oslo AS</v>
      </c>
      <c r="Q856" s="102">
        <f>tbl_ConsultingCompanys!D856</f>
        <v>0</v>
      </c>
      <c r="R856" s="102">
        <f>tbl_ConsultingCompanys!C856</f>
        <v>0</v>
      </c>
      <c r="S856" s="102">
        <f t="shared" si="41"/>
        <v>0</v>
      </c>
    </row>
    <row r="857" spans="11:19" x14ac:dyDescent="0.15">
      <c r="K857" s="102">
        <f>tbl_ArchitectureOffices!D857</f>
        <v>0</v>
      </c>
      <c r="L857" s="102">
        <f>tbl_ArchitectureOffices!C857</f>
        <v>0</v>
      </c>
      <c r="M857" s="102">
        <f t="shared" si="39"/>
        <v>0</v>
      </c>
      <c r="N857" s="102" t="str">
        <f>tbl_Companys!D857</f>
        <v>PirII i samarbeid med Studenter ved Högskolan för Design och Konsthandtverk i Göteborg (SUB lugarer)</v>
      </c>
      <c r="O857" s="102">
        <f>tbl_Companys!C857</f>
        <v>230105</v>
      </c>
      <c r="P857" s="102" t="str">
        <f t="shared" si="40"/>
        <v>PirII i samarbeid med Studenter ved Högskolan för Design och Konsthandtverk i Göteborg (SUB lugarer)</v>
      </c>
      <c r="Q857" s="102">
        <f>tbl_ConsultingCompanys!D857</f>
        <v>0</v>
      </c>
      <c r="R857" s="102">
        <f>tbl_ConsultingCompanys!C857</f>
        <v>0</v>
      </c>
      <c r="S857" s="102">
        <f t="shared" si="41"/>
        <v>0</v>
      </c>
    </row>
    <row r="858" spans="11:19" x14ac:dyDescent="0.15">
      <c r="K858" s="102">
        <f>tbl_ArchitectureOffices!D858</f>
        <v>0</v>
      </c>
      <c r="L858" s="102">
        <f>tbl_ArchitectureOffices!C858</f>
        <v>0</v>
      </c>
      <c r="M858" s="102">
        <f t="shared" si="39"/>
        <v>0</v>
      </c>
      <c r="N858" s="102" t="str">
        <f>tbl_Companys!D858</f>
        <v>pka Arkitekter</v>
      </c>
      <c r="O858" s="102">
        <f>tbl_Companys!C858</f>
        <v>232085</v>
      </c>
      <c r="P858" s="102" t="str">
        <f t="shared" si="40"/>
        <v>pka Arkitekter</v>
      </c>
      <c r="Q858" s="102">
        <f>tbl_ConsultingCompanys!D858</f>
        <v>0</v>
      </c>
      <c r="R858" s="102">
        <f>tbl_ConsultingCompanys!C858</f>
        <v>0</v>
      </c>
      <c r="S858" s="102">
        <f t="shared" si="41"/>
        <v>0</v>
      </c>
    </row>
    <row r="859" spans="11:19" x14ac:dyDescent="0.15">
      <c r="K859" s="102">
        <f>tbl_ArchitectureOffices!D859</f>
        <v>0</v>
      </c>
      <c r="L859" s="102">
        <f>tbl_ArchitectureOffices!C859</f>
        <v>0</v>
      </c>
      <c r="M859" s="102">
        <f t="shared" si="39"/>
        <v>0</v>
      </c>
      <c r="N859" s="102" t="str">
        <f>tbl_Companys!D859</f>
        <v>Plan arkitekter AS</v>
      </c>
      <c r="O859" s="102">
        <f>tbl_Companys!C859</f>
        <v>171483</v>
      </c>
      <c r="P859" s="102" t="str">
        <f t="shared" si="40"/>
        <v>Plan arkitekter AS</v>
      </c>
      <c r="Q859" s="102">
        <f>tbl_ConsultingCompanys!D859</f>
        <v>0</v>
      </c>
      <c r="R859" s="102">
        <f>tbl_ConsultingCompanys!C859</f>
        <v>0</v>
      </c>
      <c r="S859" s="102">
        <f t="shared" si="41"/>
        <v>0</v>
      </c>
    </row>
    <row r="860" spans="11:19" x14ac:dyDescent="0.15">
      <c r="K860" s="102">
        <f>tbl_ArchitectureOffices!D860</f>
        <v>0</v>
      </c>
      <c r="L860" s="102">
        <f>tbl_ArchitectureOffices!C860</f>
        <v>0</v>
      </c>
      <c r="M860" s="102">
        <f t="shared" si="39"/>
        <v>0</v>
      </c>
      <c r="N860" s="102" t="str">
        <f>tbl_Companys!D860</f>
        <v>PlanA AS</v>
      </c>
      <c r="O860" s="102">
        <f>tbl_Companys!C860</f>
        <v>171484</v>
      </c>
      <c r="P860" s="102" t="str">
        <f t="shared" si="40"/>
        <v>PlanA AS</v>
      </c>
      <c r="Q860" s="102">
        <f>tbl_ConsultingCompanys!D860</f>
        <v>0</v>
      </c>
      <c r="R860" s="102">
        <f>tbl_ConsultingCompanys!C860</f>
        <v>0</v>
      </c>
      <c r="S860" s="102">
        <f t="shared" si="41"/>
        <v>0</v>
      </c>
    </row>
    <row r="861" spans="11:19" x14ac:dyDescent="0.15">
      <c r="K861" s="102">
        <f>tbl_ArchitectureOffices!D861</f>
        <v>0</v>
      </c>
      <c r="L861" s="102">
        <f>tbl_ArchitectureOffices!C861</f>
        <v>0</v>
      </c>
      <c r="M861" s="102">
        <f t="shared" si="39"/>
        <v>0</v>
      </c>
      <c r="N861" s="102" t="str">
        <f>tbl_Companys!D861</f>
        <v>Plan-AE</v>
      </c>
      <c r="O861" s="102">
        <f>tbl_Companys!C861</f>
        <v>171482</v>
      </c>
      <c r="P861" s="102" t="str">
        <f t="shared" si="40"/>
        <v>Plan-AE</v>
      </c>
      <c r="Q861" s="102">
        <f>tbl_ConsultingCompanys!D861</f>
        <v>0</v>
      </c>
      <c r="R861" s="102">
        <f>tbl_ConsultingCompanys!C861</f>
        <v>0</v>
      </c>
      <c r="S861" s="102">
        <f t="shared" si="41"/>
        <v>0</v>
      </c>
    </row>
    <row r="862" spans="11:19" x14ac:dyDescent="0.15">
      <c r="K862" s="102">
        <f>tbl_ArchitectureOffices!D862</f>
        <v>0</v>
      </c>
      <c r="L862" s="102">
        <f>tbl_ArchitectureOffices!C862</f>
        <v>0</v>
      </c>
      <c r="M862" s="102">
        <f t="shared" si="39"/>
        <v>0</v>
      </c>
      <c r="N862" s="102" t="str">
        <f>tbl_Companys!D862</f>
        <v>Planforum Arkitekter AS</v>
      </c>
      <c r="O862" s="102">
        <f>tbl_Companys!C862</f>
        <v>171481</v>
      </c>
      <c r="P862" s="102" t="str">
        <f t="shared" si="40"/>
        <v>Planforum Arkitekter AS</v>
      </c>
      <c r="Q862" s="102">
        <f>tbl_ConsultingCompanys!D862</f>
        <v>0</v>
      </c>
      <c r="R862" s="102">
        <f>tbl_ConsultingCompanys!C862</f>
        <v>0</v>
      </c>
      <c r="S862" s="102">
        <f t="shared" si="41"/>
        <v>0</v>
      </c>
    </row>
    <row r="863" spans="11:19" x14ac:dyDescent="0.15">
      <c r="K863" s="102">
        <f>tbl_ArchitectureOffices!D863</f>
        <v>0</v>
      </c>
      <c r="L863" s="102">
        <f>tbl_ArchitectureOffices!C863</f>
        <v>0</v>
      </c>
      <c r="M863" s="102">
        <f t="shared" si="39"/>
        <v>0</v>
      </c>
      <c r="N863" s="102" t="str">
        <f>tbl_Companys!D863</f>
        <v>Plank arkitekter AS</v>
      </c>
      <c r="O863" s="102">
        <f>tbl_Companys!C863</f>
        <v>171480</v>
      </c>
      <c r="P863" s="102" t="str">
        <f t="shared" si="40"/>
        <v>Plank arkitekter AS</v>
      </c>
      <c r="Q863" s="102">
        <f>tbl_ConsultingCompanys!D863</f>
        <v>0</v>
      </c>
      <c r="R863" s="102">
        <f>tbl_ConsultingCompanys!C863</f>
        <v>0</v>
      </c>
      <c r="S863" s="102">
        <f t="shared" si="41"/>
        <v>0</v>
      </c>
    </row>
    <row r="864" spans="11:19" x14ac:dyDescent="0.15">
      <c r="K864" s="102">
        <f>tbl_ArchitectureOffices!D864</f>
        <v>0</v>
      </c>
      <c r="L864" s="102">
        <f>tbl_ArchitectureOffices!C864</f>
        <v>0</v>
      </c>
      <c r="M864" s="102">
        <f t="shared" si="39"/>
        <v>0</v>
      </c>
      <c r="N864" s="102" t="str">
        <f>tbl_Companys!D864</f>
        <v>Planteknikk AS</v>
      </c>
      <c r="O864" s="102">
        <f>tbl_Companys!C864</f>
        <v>241090</v>
      </c>
      <c r="P864" s="102" t="str">
        <f t="shared" si="40"/>
        <v>Planteknikk AS</v>
      </c>
      <c r="Q864" s="102">
        <f>tbl_ConsultingCompanys!D864</f>
        <v>0</v>
      </c>
      <c r="R864" s="102">
        <f>tbl_ConsultingCompanys!C864</f>
        <v>0</v>
      </c>
      <c r="S864" s="102">
        <f t="shared" si="41"/>
        <v>0</v>
      </c>
    </row>
    <row r="865" spans="11:19" x14ac:dyDescent="0.15">
      <c r="K865" s="102">
        <f>tbl_ArchitectureOffices!D865</f>
        <v>0</v>
      </c>
      <c r="L865" s="102">
        <f>tbl_ArchitectureOffices!C865</f>
        <v>0</v>
      </c>
      <c r="M865" s="102">
        <f t="shared" si="39"/>
        <v>0</v>
      </c>
      <c r="N865" s="102" t="str">
        <f>tbl_Companys!D865</f>
        <v>Plot arkitekter as</v>
      </c>
      <c r="O865" s="102">
        <f>tbl_Companys!C865</f>
        <v>230009</v>
      </c>
      <c r="P865" s="102" t="str">
        <f t="shared" si="40"/>
        <v>Plot arkitekter as</v>
      </c>
      <c r="Q865" s="102">
        <f>tbl_ConsultingCompanys!D865</f>
        <v>0</v>
      </c>
      <c r="R865" s="102">
        <f>tbl_ConsultingCompanys!C865</f>
        <v>0</v>
      </c>
      <c r="S865" s="102">
        <f t="shared" si="41"/>
        <v>0</v>
      </c>
    </row>
    <row r="866" spans="11:19" x14ac:dyDescent="0.15">
      <c r="K866" s="102">
        <f>tbl_ArchitectureOffices!D866</f>
        <v>0</v>
      </c>
      <c r="L866" s="102">
        <f>tbl_ArchitectureOffices!C866</f>
        <v>0</v>
      </c>
      <c r="M866" s="102">
        <f t="shared" si="39"/>
        <v>0</v>
      </c>
      <c r="N866" s="102" t="str">
        <f>tbl_Companys!D866</f>
        <v>Plus arkitektur AS</v>
      </c>
      <c r="O866" s="102">
        <f>tbl_Companys!C866</f>
        <v>182236</v>
      </c>
      <c r="P866" s="102" t="str">
        <f t="shared" si="40"/>
        <v>Plus arkitektur AS</v>
      </c>
      <c r="Q866" s="102">
        <f>tbl_ConsultingCompanys!D866</f>
        <v>0</v>
      </c>
      <c r="R866" s="102">
        <f>tbl_ConsultingCompanys!C866</f>
        <v>0</v>
      </c>
      <c r="S866" s="102">
        <f t="shared" si="41"/>
        <v>0</v>
      </c>
    </row>
    <row r="867" spans="11:19" x14ac:dyDescent="0.15">
      <c r="K867" s="102">
        <f>tbl_ArchitectureOffices!D867</f>
        <v>0</v>
      </c>
      <c r="L867" s="102">
        <f>tbl_ArchitectureOffices!C867</f>
        <v>0</v>
      </c>
      <c r="M867" s="102">
        <f t="shared" si="39"/>
        <v>0</v>
      </c>
      <c r="N867" s="102" t="str">
        <f>tbl_Companys!D867</f>
        <v>PML Arkitektur, sivilarkitekt Per Martin Landfald MNAL</v>
      </c>
      <c r="O867" s="102">
        <f>tbl_Companys!C867</f>
        <v>171479</v>
      </c>
      <c r="P867" s="102" t="str">
        <f t="shared" si="40"/>
        <v>PML Arkitektur, sivilarkitekt Per Martin Landfald MNAL</v>
      </c>
      <c r="Q867" s="102">
        <f>tbl_ConsultingCompanys!D867</f>
        <v>0</v>
      </c>
      <c r="R867" s="102">
        <f>tbl_ConsultingCompanys!C867</f>
        <v>0</v>
      </c>
      <c r="S867" s="102">
        <f t="shared" si="41"/>
        <v>0</v>
      </c>
    </row>
    <row r="868" spans="11:19" x14ac:dyDescent="0.15">
      <c r="K868" s="102">
        <f>tbl_ArchitectureOffices!D868</f>
        <v>0</v>
      </c>
      <c r="L868" s="102">
        <f>tbl_ArchitectureOffices!C868</f>
        <v>0</v>
      </c>
      <c r="M868" s="102">
        <f t="shared" si="39"/>
        <v>0</v>
      </c>
      <c r="N868" s="102" t="str">
        <f>tbl_Companys!D868</f>
        <v>Point AS arkitektur+konseptdesign</v>
      </c>
      <c r="O868" s="102">
        <f>tbl_Companys!C868</f>
        <v>171478</v>
      </c>
      <c r="P868" s="102" t="str">
        <f t="shared" si="40"/>
        <v>Point AS arkitektur+konseptdesign</v>
      </c>
      <c r="Q868" s="102">
        <f>tbl_ConsultingCompanys!D868</f>
        <v>0</v>
      </c>
      <c r="R868" s="102">
        <f>tbl_ConsultingCompanys!C868</f>
        <v>0</v>
      </c>
      <c r="S868" s="102">
        <f t="shared" si="41"/>
        <v>0</v>
      </c>
    </row>
    <row r="869" spans="11:19" x14ac:dyDescent="0.15">
      <c r="K869" s="102">
        <f>tbl_ArchitectureOffices!D869</f>
        <v>0</v>
      </c>
      <c r="L869" s="102">
        <f>tbl_ArchitectureOffices!C869</f>
        <v>0</v>
      </c>
      <c r="M869" s="102">
        <f t="shared" si="39"/>
        <v>0</v>
      </c>
      <c r="N869" s="102" t="str">
        <f>tbl_Companys!D869</f>
        <v xml:space="preserve">Polyplan AS </v>
      </c>
      <c r="O869" s="102">
        <f>tbl_Companys!C869</f>
        <v>121067</v>
      </c>
      <c r="P869" s="102" t="str">
        <f t="shared" si="40"/>
        <v>Polyplan AS</v>
      </c>
      <c r="Q869" s="102">
        <f>tbl_ConsultingCompanys!D869</f>
        <v>0</v>
      </c>
      <c r="R869" s="102">
        <f>tbl_ConsultingCompanys!C869</f>
        <v>0</v>
      </c>
      <c r="S869" s="102">
        <f t="shared" si="41"/>
        <v>0</v>
      </c>
    </row>
    <row r="870" spans="11:19" x14ac:dyDescent="0.15">
      <c r="K870" s="102">
        <f>tbl_ArchitectureOffices!D870</f>
        <v>0</v>
      </c>
      <c r="L870" s="102">
        <f>tbl_ArchitectureOffices!C870</f>
        <v>0</v>
      </c>
      <c r="M870" s="102">
        <f t="shared" si="39"/>
        <v>0</v>
      </c>
      <c r="N870" s="102" t="str">
        <f>tbl_Companys!D870</f>
        <v>Porsgrunn kommune</v>
      </c>
      <c r="O870" s="102">
        <f>tbl_Companys!C870</f>
        <v>248316</v>
      </c>
      <c r="P870" s="102" t="str">
        <f t="shared" si="40"/>
        <v>Porsgrunn kommune</v>
      </c>
      <c r="Q870" s="102">
        <f>tbl_ConsultingCompanys!D870</f>
        <v>0</v>
      </c>
      <c r="R870" s="102">
        <f>tbl_ConsultingCompanys!C870</f>
        <v>0</v>
      </c>
      <c r="S870" s="102">
        <f t="shared" si="41"/>
        <v>0</v>
      </c>
    </row>
    <row r="871" spans="11:19" x14ac:dyDescent="0.15">
      <c r="K871" s="102">
        <f>tbl_ArchitectureOffices!D871</f>
        <v>0</v>
      </c>
      <c r="L871" s="102">
        <f>tbl_ArchitectureOffices!C871</f>
        <v>0</v>
      </c>
      <c r="M871" s="102">
        <f t="shared" si="39"/>
        <v>0</v>
      </c>
      <c r="N871" s="102" t="str">
        <f>tbl_Companys!D871</f>
        <v>Poulsson/Pran AS</v>
      </c>
      <c r="O871" s="102">
        <f>tbl_Companys!C871</f>
        <v>166525</v>
      </c>
      <c r="P871" s="102" t="str">
        <f t="shared" si="40"/>
        <v>Poulsson/Pran AS</v>
      </c>
      <c r="Q871" s="102">
        <f>tbl_ConsultingCompanys!D871</f>
        <v>0</v>
      </c>
      <c r="R871" s="102">
        <f>tbl_ConsultingCompanys!C871</f>
        <v>0</v>
      </c>
      <c r="S871" s="102">
        <f t="shared" si="41"/>
        <v>0</v>
      </c>
    </row>
    <row r="872" spans="11:19" x14ac:dyDescent="0.15">
      <c r="K872" s="102">
        <f>tbl_ArchitectureOffices!D872</f>
        <v>0</v>
      </c>
      <c r="L872" s="102">
        <f>tbl_ArchitectureOffices!C872</f>
        <v>0</v>
      </c>
      <c r="M872" s="102">
        <f t="shared" si="39"/>
        <v>0</v>
      </c>
      <c r="N872" s="102" t="str">
        <f>tbl_Companys!D872</f>
        <v>PPR arkitektur &amp; design AS</v>
      </c>
      <c r="O872" s="102">
        <f>tbl_Companys!C872</f>
        <v>171491</v>
      </c>
      <c r="P872" s="102" t="str">
        <f t="shared" si="40"/>
        <v>PPR arkitektur &amp; design AS</v>
      </c>
      <c r="Q872" s="102">
        <f>tbl_ConsultingCompanys!D872</f>
        <v>0</v>
      </c>
      <c r="R872" s="102">
        <f>tbl_ConsultingCompanys!C872</f>
        <v>0</v>
      </c>
      <c r="S872" s="102">
        <f t="shared" si="41"/>
        <v>0</v>
      </c>
    </row>
    <row r="873" spans="11:19" x14ac:dyDescent="0.15">
      <c r="K873" s="102">
        <f>tbl_ArchitectureOffices!D873</f>
        <v>0</v>
      </c>
      <c r="L873" s="102">
        <f>tbl_ArchitectureOffices!C873</f>
        <v>0</v>
      </c>
      <c r="M873" s="102">
        <f t="shared" si="39"/>
        <v>0</v>
      </c>
      <c r="N873" s="102" t="str">
        <f>tbl_Companys!D873</f>
        <v>Praksis sivilarkitekter as</v>
      </c>
      <c r="O873" s="102">
        <f>tbl_Companys!C873</f>
        <v>171477</v>
      </c>
      <c r="P873" s="102" t="str">
        <f t="shared" si="40"/>
        <v>Praksis sivilarkitekter as</v>
      </c>
      <c r="Q873" s="102">
        <f>tbl_ConsultingCompanys!D873</f>
        <v>0</v>
      </c>
      <c r="R873" s="102">
        <f>tbl_ConsultingCompanys!C873</f>
        <v>0</v>
      </c>
      <c r="S873" s="102">
        <f t="shared" si="41"/>
        <v>0</v>
      </c>
    </row>
    <row r="874" spans="11:19" x14ac:dyDescent="0.15">
      <c r="K874" s="102">
        <f>tbl_ArchitectureOffices!D874</f>
        <v>0</v>
      </c>
      <c r="L874" s="102">
        <f>tbl_ArchitectureOffices!C874</f>
        <v>0</v>
      </c>
      <c r="M874" s="102">
        <f t="shared" si="39"/>
        <v>0</v>
      </c>
      <c r="N874" s="102" t="str">
        <f>tbl_Companys!D874</f>
        <v xml:space="preserve">Pran, Peter </v>
      </c>
      <c r="O874" s="102">
        <f>tbl_Companys!C874</f>
        <v>171476</v>
      </c>
      <c r="P874" s="102" t="str">
        <f t="shared" si="40"/>
        <v>Pran, Peter</v>
      </c>
      <c r="Q874" s="102">
        <f>tbl_ConsultingCompanys!D874</f>
        <v>0</v>
      </c>
      <c r="R874" s="102">
        <f>tbl_ConsultingCompanys!C874</f>
        <v>0</v>
      </c>
      <c r="S874" s="102">
        <f t="shared" si="41"/>
        <v>0</v>
      </c>
    </row>
    <row r="875" spans="11:19" x14ac:dyDescent="0.15">
      <c r="K875" s="102">
        <f>tbl_ArchitectureOffices!D875</f>
        <v>0</v>
      </c>
      <c r="L875" s="102">
        <f>tbl_ArchitectureOffices!C875</f>
        <v>0</v>
      </c>
      <c r="M875" s="102">
        <f t="shared" si="39"/>
        <v>0</v>
      </c>
      <c r="N875" s="102" t="str">
        <f>tbl_Companys!D875</f>
        <v>Prima-Hus AS</v>
      </c>
      <c r="O875" s="102">
        <f>tbl_Companys!C875</f>
        <v>111931</v>
      </c>
      <c r="P875" s="102" t="str">
        <f t="shared" si="40"/>
        <v>Prima-Hus AS</v>
      </c>
      <c r="Q875" s="102">
        <f>tbl_ConsultingCompanys!D875</f>
        <v>0</v>
      </c>
      <c r="R875" s="102">
        <f>tbl_ConsultingCompanys!C875</f>
        <v>0</v>
      </c>
      <c r="S875" s="102">
        <f t="shared" si="41"/>
        <v>0</v>
      </c>
    </row>
    <row r="876" spans="11:19" x14ac:dyDescent="0.15">
      <c r="K876" s="102">
        <f>tbl_ArchitectureOffices!D876</f>
        <v>0</v>
      </c>
      <c r="L876" s="102">
        <f>tbl_ArchitectureOffices!C876</f>
        <v>0</v>
      </c>
      <c r="M876" s="102">
        <f t="shared" si="39"/>
        <v>0</v>
      </c>
      <c r="N876" s="102" t="str">
        <f>tbl_Companys!D876</f>
        <v>Procon AS</v>
      </c>
      <c r="O876" s="102">
        <f>tbl_Companys!C876</f>
        <v>245786</v>
      </c>
      <c r="P876" s="102" t="str">
        <f t="shared" si="40"/>
        <v>Procon AS</v>
      </c>
      <c r="Q876" s="102">
        <f>tbl_ConsultingCompanys!D876</f>
        <v>0</v>
      </c>
      <c r="R876" s="102">
        <f>tbl_ConsultingCompanys!C876</f>
        <v>0</v>
      </c>
      <c r="S876" s="102">
        <f t="shared" si="41"/>
        <v>0</v>
      </c>
    </row>
    <row r="877" spans="11:19" x14ac:dyDescent="0.15">
      <c r="K877" s="102">
        <f>tbl_ArchitectureOffices!D877</f>
        <v>0</v>
      </c>
      <c r="L877" s="102">
        <f>tbl_ArchitectureOffices!C877</f>
        <v>0</v>
      </c>
      <c r="M877" s="102">
        <f t="shared" si="39"/>
        <v>0</v>
      </c>
      <c r="N877" s="102" t="str">
        <f>tbl_Companys!D877</f>
        <v>Prokon AS</v>
      </c>
      <c r="O877" s="102">
        <f>tbl_Companys!C877</f>
        <v>243859</v>
      </c>
      <c r="P877" s="102" t="str">
        <f t="shared" si="40"/>
        <v>Prokon AS</v>
      </c>
      <c r="Q877" s="102">
        <f>tbl_ConsultingCompanys!D877</f>
        <v>0</v>
      </c>
      <c r="R877" s="102">
        <f>tbl_ConsultingCompanys!C877</f>
        <v>0</v>
      </c>
      <c r="S877" s="102">
        <f t="shared" si="41"/>
        <v>0</v>
      </c>
    </row>
    <row r="878" spans="11:19" x14ac:dyDescent="0.15">
      <c r="K878" s="102">
        <f>tbl_ArchitectureOffices!D878</f>
        <v>0</v>
      </c>
      <c r="L878" s="102">
        <f>tbl_ArchitectureOffices!C878</f>
        <v>0</v>
      </c>
      <c r="M878" s="102">
        <f t="shared" si="39"/>
        <v>0</v>
      </c>
      <c r="N878" s="102" t="str">
        <f>tbl_Companys!D878</f>
        <v>Prosjektbygg AS</v>
      </c>
      <c r="O878" s="102">
        <f>tbl_Companys!C878</f>
        <v>205121</v>
      </c>
      <c r="P878" s="102" t="str">
        <f t="shared" si="40"/>
        <v>Prosjektbygg AS</v>
      </c>
      <c r="Q878" s="102">
        <f>tbl_ConsultingCompanys!D878</f>
        <v>0</v>
      </c>
      <c r="R878" s="102">
        <f>tbl_ConsultingCompanys!C878</f>
        <v>0</v>
      </c>
      <c r="S878" s="102">
        <f t="shared" si="41"/>
        <v>0</v>
      </c>
    </row>
    <row r="879" spans="11:19" x14ac:dyDescent="0.15">
      <c r="K879" s="102">
        <f>tbl_ArchitectureOffices!D879</f>
        <v>0</v>
      </c>
      <c r="L879" s="102">
        <f>tbl_ArchitectureOffices!C879</f>
        <v>0</v>
      </c>
      <c r="M879" s="102">
        <f t="shared" si="39"/>
        <v>0</v>
      </c>
      <c r="N879" s="102" t="str">
        <f>tbl_Companys!D879</f>
        <v>Prosjektutvikling Midt-Norge AS</v>
      </c>
      <c r="O879" s="102">
        <f>tbl_Companys!C879</f>
        <v>98696</v>
      </c>
      <c r="P879" s="102" t="str">
        <f t="shared" si="40"/>
        <v>Prosjektutvikling Midt-Norge AS</v>
      </c>
      <c r="Q879" s="102">
        <f>tbl_ConsultingCompanys!D879</f>
        <v>0</v>
      </c>
      <c r="R879" s="102">
        <f>tbl_ConsultingCompanys!C879</f>
        <v>0</v>
      </c>
      <c r="S879" s="102">
        <f t="shared" si="41"/>
        <v>0</v>
      </c>
    </row>
    <row r="880" spans="11:19" x14ac:dyDescent="0.15">
      <c r="K880" s="102">
        <f>tbl_ArchitectureOffices!D880</f>
        <v>0</v>
      </c>
      <c r="L880" s="102">
        <f>tbl_ArchitectureOffices!C880</f>
        <v>0</v>
      </c>
      <c r="M880" s="102">
        <f t="shared" si="39"/>
        <v>0</v>
      </c>
      <c r="N880" s="102" t="str">
        <f>tbl_Companys!D880</f>
        <v>Protan Bygg og Tak AS</v>
      </c>
      <c r="O880" s="102">
        <f>tbl_Companys!C880</f>
        <v>163049</v>
      </c>
      <c r="P880" s="102" t="str">
        <f t="shared" si="40"/>
        <v>Protan Bygg og Tak AS</v>
      </c>
      <c r="Q880" s="102">
        <f>tbl_ConsultingCompanys!D880</f>
        <v>0</v>
      </c>
      <c r="R880" s="102">
        <f>tbl_ConsultingCompanys!C880</f>
        <v>0</v>
      </c>
      <c r="S880" s="102">
        <f t="shared" si="41"/>
        <v>0</v>
      </c>
    </row>
    <row r="881" spans="11:19" x14ac:dyDescent="0.15">
      <c r="K881" s="102">
        <f>tbl_ArchitectureOffices!D881</f>
        <v>0</v>
      </c>
      <c r="L881" s="102">
        <f>tbl_ArchitectureOffices!C881</f>
        <v>0</v>
      </c>
      <c r="M881" s="102">
        <f t="shared" si="39"/>
        <v>0</v>
      </c>
      <c r="N881" s="102" t="str">
        <f>tbl_Companys!D881</f>
        <v>Protan Bygg og Tak AS</v>
      </c>
      <c r="O881" s="102">
        <f>tbl_Companys!C881</f>
        <v>165641</v>
      </c>
      <c r="P881" s="102" t="str">
        <f t="shared" si="40"/>
        <v>Protan Bygg og Tak AS</v>
      </c>
      <c r="Q881" s="102">
        <f>tbl_ConsultingCompanys!D881</f>
        <v>0</v>
      </c>
      <c r="R881" s="102">
        <f>tbl_ConsultingCompanys!C881</f>
        <v>0</v>
      </c>
      <c r="S881" s="102">
        <f t="shared" si="41"/>
        <v>0</v>
      </c>
    </row>
    <row r="882" spans="11:19" x14ac:dyDescent="0.15">
      <c r="K882" s="102">
        <f>tbl_ArchitectureOffices!D882</f>
        <v>0</v>
      </c>
      <c r="L882" s="102">
        <f>tbl_ArchitectureOffices!C882</f>
        <v>0</v>
      </c>
      <c r="M882" s="102">
        <f t="shared" si="39"/>
        <v>0</v>
      </c>
      <c r="N882" s="102" t="str">
        <f>tbl_Companys!D882</f>
        <v>Puls Arkitekter AS</v>
      </c>
      <c r="O882" s="102">
        <f>tbl_Companys!C882</f>
        <v>171473</v>
      </c>
      <c r="P882" s="102" t="str">
        <f t="shared" si="40"/>
        <v>Puls Arkitekter AS</v>
      </c>
      <c r="Q882" s="102">
        <f>tbl_ConsultingCompanys!D882</f>
        <v>0</v>
      </c>
      <c r="R882" s="102">
        <f>tbl_ConsultingCompanys!C882</f>
        <v>0</v>
      </c>
      <c r="S882" s="102">
        <f t="shared" si="41"/>
        <v>0</v>
      </c>
    </row>
    <row r="883" spans="11:19" x14ac:dyDescent="0.15">
      <c r="K883" s="102">
        <f>tbl_ArchitectureOffices!D883</f>
        <v>0</v>
      </c>
      <c r="L883" s="102">
        <f>tbl_ArchitectureOffices!C883</f>
        <v>0</v>
      </c>
      <c r="M883" s="102">
        <f t="shared" si="39"/>
        <v>0</v>
      </c>
      <c r="N883" s="102" t="str">
        <f>tbl_Companys!D883</f>
        <v>Pushak arkitekter</v>
      </c>
      <c r="O883" s="102">
        <f>tbl_Companys!C883</f>
        <v>171472</v>
      </c>
      <c r="P883" s="102" t="str">
        <f t="shared" si="40"/>
        <v>Pushak arkitekter</v>
      </c>
      <c r="Q883" s="102">
        <f>tbl_ConsultingCompanys!D883</f>
        <v>0</v>
      </c>
      <c r="R883" s="102">
        <f>tbl_ConsultingCompanys!C883</f>
        <v>0</v>
      </c>
      <c r="S883" s="102">
        <f t="shared" si="41"/>
        <v>0</v>
      </c>
    </row>
    <row r="884" spans="11:19" x14ac:dyDescent="0.15">
      <c r="K884" s="102">
        <f>tbl_ArchitectureOffices!D884</f>
        <v>0</v>
      </c>
      <c r="L884" s="102">
        <f>tbl_ArchitectureOffices!C884</f>
        <v>0</v>
      </c>
      <c r="M884" s="102">
        <f t="shared" si="39"/>
        <v>0</v>
      </c>
      <c r="N884" s="102" t="str">
        <f>tbl_Companys!D884</f>
        <v>PV arkitekter as</v>
      </c>
      <c r="O884" s="102">
        <f>tbl_Companys!C884</f>
        <v>172662</v>
      </c>
      <c r="P884" s="102" t="str">
        <f t="shared" si="40"/>
        <v>PV arkitekter as</v>
      </c>
      <c r="Q884" s="102">
        <f>tbl_ConsultingCompanys!D884</f>
        <v>0</v>
      </c>
      <c r="R884" s="102">
        <f>tbl_ConsultingCompanys!C884</f>
        <v>0</v>
      </c>
      <c r="S884" s="102">
        <f t="shared" si="41"/>
        <v>0</v>
      </c>
    </row>
    <row r="885" spans="11:19" x14ac:dyDescent="0.15">
      <c r="K885" s="102">
        <f>tbl_ArchitectureOffices!D885</f>
        <v>0</v>
      </c>
      <c r="L885" s="102">
        <f>tbl_ArchitectureOffices!C885</f>
        <v>0</v>
      </c>
      <c r="M885" s="102">
        <f t="shared" si="39"/>
        <v>0</v>
      </c>
      <c r="N885" s="102" t="str">
        <f>tbl_Companys!D885</f>
        <v>PW Arkitekter AS</v>
      </c>
      <c r="O885" s="102">
        <f>tbl_Companys!C885</f>
        <v>171471</v>
      </c>
      <c r="P885" s="102" t="str">
        <f t="shared" si="40"/>
        <v>PW Arkitekter AS</v>
      </c>
      <c r="Q885" s="102">
        <f>tbl_ConsultingCompanys!D885</f>
        <v>0</v>
      </c>
      <c r="R885" s="102">
        <f>tbl_ConsultingCompanys!C885</f>
        <v>0</v>
      </c>
      <c r="S885" s="102">
        <f t="shared" si="41"/>
        <v>0</v>
      </c>
    </row>
    <row r="886" spans="11:19" x14ac:dyDescent="0.15">
      <c r="K886" s="102">
        <f>tbl_ArchitectureOffices!D886</f>
        <v>0</v>
      </c>
      <c r="L886" s="102">
        <f>tbl_ArchitectureOffices!C886</f>
        <v>0</v>
      </c>
      <c r="M886" s="102">
        <f t="shared" si="39"/>
        <v>0</v>
      </c>
      <c r="N886" s="102" t="str">
        <f>tbl_Companys!D886</f>
        <v>PÅ Elektroforum AS</v>
      </c>
      <c r="O886" s="102">
        <f>tbl_Companys!C886</f>
        <v>200082</v>
      </c>
      <c r="P886" s="102" t="str">
        <f t="shared" si="40"/>
        <v>PÅ Elektroforum AS</v>
      </c>
      <c r="Q886" s="102">
        <f>tbl_ConsultingCompanys!D886</f>
        <v>0</v>
      </c>
      <c r="R886" s="102">
        <f>tbl_ConsultingCompanys!C886</f>
        <v>0</v>
      </c>
      <c r="S886" s="102">
        <f t="shared" si="41"/>
        <v>0</v>
      </c>
    </row>
    <row r="887" spans="11:19" x14ac:dyDescent="0.15">
      <c r="K887" s="102">
        <f>tbl_ArchitectureOffices!D887</f>
        <v>0</v>
      </c>
      <c r="L887" s="102">
        <f>tbl_ArchitectureOffices!C887</f>
        <v>0</v>
      </c>
      <c r="M887" s="102">
        <f t="shared" si="39"/>
        <v>0</v>
      </c>
      <c r="N887" s="102" t="str">
        <f>tbl_Companys!D887</f>
        <v>Ragnars AS</v>
      </c>
      <c r="O887" s="102">
        <f>tbl_Companys!C887</f>
        <v>202455</v>
      </c>
      <c r="P887" s="102" t="str">
        <f t="shared" si="40"/>
        <v>Ragnars AS</v>
      </c>
      <c r="Q887" s="102">
        <f>tbl_ConsultingCompanys!D887</f>
        <v>0</v>
      </c>
      <c r="R887" s="102">
        <f>tbl_ConsultingCompanys!C887</f>
        <v>0</v>
      </c>
      <c r="S887" s="102">
        <f t="shared" si="41"/>
        <v>0</v>
      </c>
    </row>
    <row r="888" spans="11:19" x14ac:dyDescent="0.15">
      <c r="K888" s="102">
        <f>tbl_ArchitectureOffices!D888</f>
        <v>0</v>
      </c>
      <c r="L888" s="102">
        <f>tbl_ArchitectureOffices!C888</f>
        <v>0</v>
      </c>
      <c r="M888" s="102">
        <f t="shared" si="39"/>
        <v>0</v>
      </c>
      <c r="N888" s="102" t="str">
        <f>tbl_Companys!D888</f>
        <v>RAM arkitektur as</v>
      </c>
      <c r="O888" s="102">
        <f>tbl_Companys!C888</f>
        <v>172784</v>
      </c>
      <c r="P888" s="102" t="str">
        <f t="shared" si="40"/>
        <v>RAM arkitektur as</v>
      </c>
      <c r="Q888" s="102">
        <f>tbl_ConsultingCompanys!D888</f>
        <v>0</v>
      </c>
      <c r="R888" s="102">
        <f>tbl_ConsultingCompanys!C888</f>
        <v>0</v>
      </c>
      <c r="S888" s="102">
        <f t="shared" si="41"/>
        <v>0</v>
      </c>
    </row>
    <row r="889" spans="11:19" x14ac:dyDescent="0.15">
      <c r="K889" s="102">
        <f>tbl_ArchitectureOffices!D889</f>
        <v>0</v>
      </c>
      <c r="L889" s="102">
        <f>tbl_ArchitectureOffices!C889</f>
        <v>0</v>
      </c>
      <c r="M889" s="102">
        <f t="shared" si="39"/>
        <v>0</v>
      </c>
      <c r="N889" s="102" t="str">
        <f>tbl_Companys!D889</f>
        <v xml:space="preserve">Ramberg AS sivilarkitekter MNAL, Torstein </v>
      </c>
      <c r="O889" s="102">
        <f>tbl_Companys!C889</f>
        <v>166682</v>
      </c>
      <c r="P889" s="102" t="str">
        <f t="shared" si="40"/>
        <v>Ramberg AS sivilarkitekter MNAL, Torstein</v>
      </c>
      <c r="Q889" s="102">
        <f>tbl_ConsultingCompanys!D889</f>
        <v>0</v>
      </c>
      <c r="R889" s="102">
        <f>tbl_ConsultingCompanys!C889</f>
        <v>0</v>
      </c>
      <c r="S889" s="102">
        <f t="shared" si="41"/>
        <v>0</v>
      </c>
    </row>
    <row r="890" spans="11:19" x14ac:dyDescent="0.15">
      <c r="K890" s="102">
        <f>tbl_ArchitectureOffices!D890</f>
        <v>0</v>
      </c>
      <c r="L890" s="102">
        <f>tbl_ArchitectureOffices!C890</f>
        <v>0</v>
      </c>
      <c r="M890" s="102">
        <f t="shared" si="39"/>
        <v>0</v>
      </c>
      <c r="N890" s="102" t="str">
        <f>tbl_Companys!D890</f>
        <v>Rambøll</v>
      </c>
      <c r="O890" s="102">
        <f>tbl_Companys!C890</f>
        <v>217764</v>
      </c>
      <c r="P890" s="102" t="str">
        <f t="shared" si="40"/>
        <v>Rambøll</v>
      </c>
      <c r="Q890" s="102">
        <f>tbl_ConsultingCompanys!D890</f>
        <v>0</v>
      </c>
      <c r="R890" s="102">
        <f>tbl_ConsultingCompanys!C890</f>
        <v>0</v>
      </c>
      <c r="S890" s="102">
        <f t="shared" si="41"/>
        <v>0</v>
      </c>
    </row>
    <row r="891" spans="11:19" x14ac:dyDescent="0.15">
      <c r="K891" s="102">
        <f>tbl_ArchitectureOffices!D891</f>
        <v>0</v>
      </c>
      <c r="L891" s="102">
        <f>tbl_ArchitectureOffices!C891</f>
        <v>0</v>
      </c>
      <c r="M891" s="102">
        <f t="shared" si="39"/>
        <v>0</v>
      </c>
      <c r="N891" s="102" t="str">
        <f>tbl_Companys!D891</f>
        <v>Rambøll Aros AS</v>
      </c>
      <c r="O891" s="102">
        <f>tbl_Companys!C891</f>
        <v>166680</v>
      </c>
      <c r="P891" s="102" t="str">
        <f t="shared" si="40"/>
        <v>Rambøll Aros AS</v>
      </c>
      <c r="Q891" s="102">
        <f>tbl_ConsultingCompanys!D891</f>
        <v>0</v>
      </c>
      <c r="R891" s="102">
        <f>tbl_ConsultingCompanys!C891</f>
        <v>0</v>
      </c>
      <c r="S891" s="102">
        <f t="shared" si="41"/>
        <v>0</v>
      </c>
    </row>
    <row r="892" spans="11:19" x14ac:dyDescent="0.15">
      <c r="K892" s="102">
        <f>tbl_ArchitectureOffices!D892</f>
        <v>0</v>
      </c>
      <c r="L892" s="102">
        <f>tbl_ArchitectureOffices!C892</f>
        <v>0</v>
      </c>
      <c r="M892" s="102">
        <f t="shared" si="39"/>
        <v>0</v>
      </c>
      <c r="N892" s="102" t="str">
        <f>tbl_Companys!D892</f>
        <v>Rambøll AS</v>
      </c>
      <c r="O892" s="102">
        <f>tbl_Companys!C892</f>
        <v>247615</v>
      </c>
      <c r="P892" s="102" t="str">
        <f t="shared" si="40"/>
        <v>Rambøll AS</v>
      </c>
      <c r="Q892" s="102">
        <f>tbl_ConsultingCompanys!D892</f>
        <v>0</v>
      </c>
      <c r="R892" s="102">
        <f>tbl_ConsultingCompanys!C892</f>
        <v>0</v>
      </c>
      <c r="S892" s="102">
        <f t="shared" si="41"/>
        <v>0</v>
      </c>
    </row>
    <row r="893" spans="11:19" x14ac:dyDescent="0.15">
      <c r="K893" s="102">
        <f>tbl_ArchitectureOffices!D893</f>
        <v>0</v>
      </c>
      <c r="L893" s="102">
        <f>tbl_ArchitectureOffices!C893</f>
        <v>0</v>
      </c>
      <c r="M893" s="102">
        <f t="shared" si="39"/>
        <v>0</v>
      </c>
      <c r="N893" s="102" t="str">
        <f>tbl_Companys!D893</f>
        <v>Rambøll Norge AS Arkitektur og Plan</v>
      </c>
      <c r="O893" s="102">
        <f>tbl_Companys!C893</f>
        <v>166681</v>
      </c>
      <c r="P893" s="102" t="str">
        <f t="shared" si="40"/>
        <v>Rambøll Norge AS Arkitektur og Plan</v>
      </c>
      <c r="Q893" s="102">
        <f>tbl_ConsultingCompanys!D893</f>
        <v>0</v>
      </c>
      <c r="R893" s="102">
        <f>tbl_ConsultingCompanys!C893</f>
        <v>0</v>
      </c>
      <c r="S893" s="102">
        <f t="shared" si="41"/>
        <v>0</v>
      </c>
    </row>
    <row r="894" spans="11:19" x14ac:dyDescent="0.15">
      <c r="K894" s="102">
        <f>tbl_ArchitectureOffices!D894</f>
        <v>0</v>
      </c>
      <c r="L894" s="102">
        <f>tbl_ArchitectureOffices!C894</f>
        <v>0</v>
      </c>
      <c r="M894" s="102">
        <f t="shared" si="39"/>
        <v>0</v>
      </c>
      <c r="N894" s="102" t="str">
        <f>tbl_Companys!D894</f>
        <v>Ramm Salbu Arkitekter</v>
      </c>
      <c r="O894" s="102">
        <f>tbl_Companys!C894</f>
        <v>166626</v>
      </c>
      <c r="P894" s="102" t="str">
        <f t="shared" si="40"/>
        <v>Ramm Salbu Arkitekter</v>
      </c>
      <c r="Q894" s="102">
        <f>tbl_ConsultingCompanys!D894</f>
        <v>0</v>
      </c>
      <c r="R894" s="102">
        <f>tbl_ConsultingCompanys!C894</f>
        <v>0</v>
      </c>
      <c r="S894" s="102">
        <f t="shared" si="41"/>
        <v>0</v>
      </c>
    </row>
    <row r="895" spans="11:19" x14ac:dyDescent="0.15">
      <c r="K895" s="102">
        <f>tbl_ArchitectureOffices!D895</f>
        <v>0</v>
      </c>
      <c r="L895" s="102">
        <f>tbl_ArchitectureOffices!C895</f>
        <v>0</v>
      </c>
      <c r="M895" s="102">
        <f t="shared" si="39"/>
        <v>0</v>
      </c>
      <c r="N895" s="102" t="str">
        <f>tbl_Companys!D895</f>
        <v>Ramsfjell Arkitekter AS</v>
      </c>
      <c r="O895" s="102">
        <f>tbl_Companys!C895</f>
        <v>166679</v>
      </c>
      <c r="P895" s="102" t="str">
        <f t="shared" si="40"/>
        <v>Ramsfjell Arkitekter AS</v>
      </c>
      <c r="Q895" s="102">
        <f>tbl_ConsultingCompanys!D895</f>
        <v>0</v>
      </c>
      <c r="R895" s="102">
        <f>tbl_ConsultingCompanys!C895</f>
        <v>0</v>
      </c>
      <c r="S895" s="102">
        <f t="shared" si="41"/>
        <v>0</v>
      </c>
    </row>
    <row r="896" spans="11:19" x14ac:dyDescent="0.15">
      <c r="K896" s="102">
        <f>tbl_ArchitectureOffices!D896</f>
        <v>0</v>
      </c>
      <c r="L896" s="102">
        <f>tbl_ArchitectureOffices!C896</f>
        <v>0</v>
      </c>
      <c r="M896" s="102">
        <f t="shared" si="39"/>
        <v>0</v>
      </c>
      <c r="N896" s="102" t="str">
        <f>tbl_Companys!D896</f>
        <v xml:space="preserve">Ramstad Arkitekter as, Reiulf </v>
      </c>
      <c r="O896" s="102">
        <f>tbl_Companys!C896</f>
        <v>166684</v>
      </c>
      <c r="P896" s="102" t="str">
        <f t="shared" si="40"/>
        <v>Ramstad Arkitekter as, Reiulf</v>
      </c>
      <c r="Q896" s="102">
        <f>tbl_ConsultingCompanys!D896</f>
        <v>0</v>
      </c>
      <c r="R896" s="102">
        <f>tbl_ConsultingCompanys!C896</f>
        <v>0</v>
      </c>
      <c r="S896" s="102">
        <f t="shared" si="41"/>
        <v>0</v>
      </c>
    </row>
    <row r="897" spans="11:19" x14ac:dyDescent="0.15">
      <c r="K897" s="102">
        <f>tbl_ArchitectureOffices!D897</f>
        <v>0</v>
      </c>
      <c r="L897" s="102">
        <f>tbl_ArchitectureOffices!C897</f>
        <v>0</v>
      </c>
      <c r="M897" s="102">
        <f t="shared" si="39"/>
        <v>0</v>
      </c>
      <c r="N897" s="102" t="str">
        <f>tbl_Companys!D897</f>
        <v>Ranheimsveien eiendom, Utstillingsplassen Eiendom AS, Larshus AS</v>
      </c>
      <c r="O897" s="102">
        <f>tbl_Companys!C897</f>
        <v>228622</v>
      </c>
      <c r="P897" s="102" t="str">
        <f t="shared" si="40"/>
        <v>Ranheimsveien eiendom, Utstillingsplassen Eiendom AS, Larshus AS</v>
      </c>
      <c r="Q897" s="102">
        <f>tbl_ConsultingCompanys!D897</f>
        <v>0</v>
      </c>
      <c r="R897" s="102">
        <f>tbl_ConsultingCompanys!C897</f>
        <v>0</v>
      </c>
      <c r="S897" s="102">
        <f t="shared" si="41"/>
        <v>0</v>
      </c>
    </row>
    <row r="898" spans="11:19" x14ac:dyDescent="0.15">
      <c r="K898" s="102">
        <f>tbl_ArchitectureOffices!D898</f>
        <v>0</v>
      </c>
      <c r="L898" s="102">
        <f>tbl_ArchitectureOffices!C898</f>
        <v>0</v>
      </c>
      <c r="M898" s="102">
        <f t="shared" si="39"/>
        <v>0</v>
      </c>
      <c r="N898" s="102" t="str">
        <f>tbl_Companys!D898</f>
        <v>Rasmussen &amp; Strand AS</v>
      </c>
      <c r="O898" s="102">
        <f>tbl_Companys!C898</f>
        <v>247749</v>
      </c>
      <c r="P898" s="102" t="str">
        <f t="shared" si="40"/>
        <v>Rasmussen &amp; Strand AS</v>
      </c>
      <c r="Q898" s="102">
        <f>tbl_ConsultingCompanys!D898</f>
        <v>0</v>
      </c>
      <c r="R898" s="102">
        <f>tbl_ConsultingCompanys!C898</f>
        <v>0</v>
      </c>
      <c r="S898" s="102">
        <f t="shared" si="41"/>
        <v>0</v>
      </c>
    </row>
    <row r="899" spans="11:19" x14ac:dyDescent="0.15">
      <c r="K899" s="102">
        <f>tbl_ArchitectureOffices!D899</f>
        <v>0</v>
      </c>
      <c r="L899" s="102">
        <f>tbl_ArchitectureOffices!C899</f>
        <v>0</v>
      </c>
      <c r="M899" s="102">
        <f t="shared" ref="M899:M962" si="42">IFERROR(REPLACE(K899,FIND(" ",K899,LEN(K899)),1,""),K899)</f>
        <v>0</v>
      </c>
      <c r="N899" s="102" t="str">
        <f>tbl_Companys!D899</f>
        <v>Rastad &amp; Relling Arkitektkontor AS</v>
      </c>
      <c r="O899" s="102">
        <f>tbl_Companys!C899</f>
        <v>166678</v>
      </c>
      <c r="P899" s="102" t="str">
        <f t="shared" ref="P899:P962" si="43">IFERROR(REPLACE(N899,FIND(" ",N899,LEN(N899)),1,""),N899)</f>
        <v>Rastad &amp; Relling Arkitektkontor AS</v>
      </c>
      <c r="Q899" s="102">
        <f>tbl_ConsultingCompanys!D899</f>
        <v>0</v>
      </c>
      <c r="R899" s="102">
        <f>tbl_ConsultingCompanys!C899</f>
        <v>0</v>
      </c>
      <c r="S899" s="102">
        <f t="shared" ref="S899:S962" si="44">IFERROR(REPLACE(Q899,FIND(" ",Q899,LEN(Q899)),1,""),Q899)</f>
        <v>0</v>
      </c>
    </row>
    <row r="900" spans="11:19" x14ac:dyDescent="0.15">
      <c r="K900" s="102">
        <f>tbl_ArchitectureOffices!D900</f>
        <v>0</v>
      </c>
      <c r="L900" s="102">
        <f>tbl_ArchitectureOffices!C900</f>
        <v>0</v>
      </c>
      <c r="M900" s="102">
        <f t="shared" si="42"/>
        <v>0</v>
      </c>
      <c r="N900" s="102" t="str">
        <f>tbl_Companys!D900</f>
        <v>Ratio arkitekter as</v>
      </c>
      <c r="O900" s="102">
        <f>tbl_Companys!C900</f>
        <v>206444</v>
      </c>
      <c r="P900" s="102" t="str">
        <f t="shared" si="43"/>
        <v>Ratio arkitekter as</v>
      </c>
      <c r="Q900" s="102">
        <f>tbl_ConsultingCompanys!D900</f>
        <v>0</v>
      </c>
      <c r="R900" s="102">
        <f>tbl_ConsultingCompanys!C900</f>
        <v>0</v>
      </c>
      <c r="S900" s="102">
        <f t="shared" si="44"/>
        <v>0</v>
      </c>
    </row>
    <row r="901" spans="11:19" x14ac:dyDescent="0.15">
      <c r="K901" s="102">
        <f>tbl_ArchitectureOffices!D901</f>
        <v>0</v>
      </c>
      <c r="L901" s="102">
        <f>tbl_ArchitectureOffices!C901</f>
        <v>0</v>
      </c>
      <c r="M901" s="102">
        <f t="shared" si="42"/>
        <v>0</v>
      </c>
      <c r="N901" s="102" t="str">
        <f>tbl_Companys!D901</f>
        <v>Raugstad Arkitektur AS</v>
      </c>
      <c r="O901" s="102">
        <f>tbl_Companys!C901</f>
        <v>244037</v>
      </c>
      <c r="P901" s="102" t="str">
        <f t="shared" si="43"/>
        <v>Raugstad Arkitektur AS</v>
      </c>
      <c r="Q901" s="102">
        <f>tbl_ConsultingCompanys!D901</f>
        <v>0</v>
      </c>
      <c r="R901" s="102">
        <f>tbl_ConsultingCompanys!C901</f>
        <v>0</v>
      </c>
      <c r="S901" s="102">
        <f t="shared" si="44"/>
        <v>0</v>
      </c>
    </row>
    <row r="902" spans="11:19" x14ac:dyDescent="0.15">
      <c r="K902" s="102">
        <f>tbl_ArchitectureOffices!D902</f>
        <v>0</v>
      </c>
      <c r="L902" s="102">
        <f>tbl_ArchitectureOffices!C902</f>
        <v>0</v>
      </c>
      <c r="M902" s="102">
        <f t="shared" si="42"/>
        <v>0</v>
      </c>
      <c r="N902" s="102" t="str">
        <f>tbl_Companys!D902</f>
        <v>Raugstad as</v>
      </c>
      <c r="O902" s="102">
        <f>tbl_Companys!C902</f>
        <v>155958</v>
      </c>
      <c r="P902" s="102" t="str">
        <f t="shared" si="43"/>
        <v>Raugstad as</v>
      </c>
      <c r="Q902" s="102">
        <f>tbl_ConsultingCompanys!D902</f>
        <v>0</v>
      </c>
      <c r="R902" s="102">
        <f>tbl_ConsultingCompanys!C902</f>
        <v>0</v>
      </c>
      <c r="S902" s="102">
        <f t="shared" si="44"/>
        <v>0</v>
      </c>
    </row>
    <row r="903" spans="11:19" x14ac:dyDescent="0.15">
      <c r="K903" s="102">
        <f>tbl_ArchitectureOffices!D903</f>
        <v>0</v>
      </c>
      <c r="L903" s="102">
        <f>tbl_ArchitectureOffices!C903</f>
        <v>0</v>
      </c>
      <c r="M903" s="102">
        <f t="shared" si="42"/>
        <v>0</v>
      </c>
      <c r="N903" s="102" t="str">
        <f>tbl_Companys!D903</f>
        <v>Re Arkitektur AS</v>
      </c>
      <c r="O903" s="102">
        <f>tbl_Companys!C903</f>
        <v>166677</v>
      </c>
      <c r="P903" s="102" t="str">
        <f t="shared" si="43"/>
        <v>Re Arkitektur AS</v>
      </c>
      <c r="Q903" s="102">
        <f>tbl_ConsultingCompanys!D903</f>
        <v>0</v>
      </c>
      <c r="R903" s="102">
        <f>tbl_ConsultingCompanys!C903</f>
        <v>0</v>
      </c>
      <c r="S903" s="102">
        <f t="shared" si="44"/>
        <v>0</v>
      </c>
    </row>
    <row r="904" spans="11:19" x14ac:dyDescent="0.15">
      <c r="K904" s="102">
        <f>tbl_ArchitectureOffices!D904</f>
        <v>0</v>
      </c>
      <c r="L904" s="102">
        <f>tbl_ArchitectureOffices!C904</f>
        <v>0</v>
      </c>
      <c r="M904" s="102">
        <f t="shared" si="42"/>
        <v>0</v>
      </c>
      <c r="N904" s="102" t="str">
        <f>tbl_Companys!D904</f>
        <v>REC Indovent</v>
      </c>
      <c r="O904" s="102">
        <f>tbl_Companys!C904</f>
        <v>178214</v>
      </c>
      <c r="P904" s="102" t="str">
        <f t="shared" si="43"/>
        <v>REC Indovent</v>
      </c>
      <c r="Q904" s="102">
        <f>tbl_ConsultingCompanys!D904</f>
        <v>0</v>
      </c>
      <c r="R904" s="102">
        <f>tbl_ConsultingCompanys!C904</f>
        <v>0</v>
      </c>
      <c r="S904" s="102">
        <f t="shared" si="44"/>
        <v>0</v>
      </c>
    </row>
    <row r="905" spans="11:19" x14ac:dyDescent="0.15">
      <c r="K905" s="102">
        <f>tbl_ArchitectureOffices!D905</f>
        <v>0</v>
      </c>
      <c r="L905" s="102">
        <f>tbl_ArchitectureOffices!C905</f>
        <v>0</v>
      </c>
      <c r="M905" s="102">
        <f t="shared" si="42"/>
        <v>0</v>
      </c>
      <c r="N905" s="102" t="str">
        <f>tbl_Companys!D905</f>
        <v>Rede arkitekter as</v>
      </c>
      <c r="O905" s="102">
        <f>tbl_Companys!C905</f>
        <v>172606</v>
      </c>
      <c r="P905" s="102" t="str">
        <f t="shared" si="43"/>
        <v>Rede arkitekter as</v>
      </c>
      <c r="Q905" s="102">
        <f>tbl_ConsultingCompanys!D905</f>
        <v>0</v>
      </c>
      <c r="R905" s="102">
        <f>tbl_ConsultingCompanys!C905</f>
        <v>0</v>
      </c>
      <c r="S905" s="102">
        <f t="shared" si="44"/>
        <v>0</v>
      </c>
    </row>
    <row r="906" spans="11:19" x14ac:dyDescent="0.15">
      <c r="K906" s="102">
        <f>tbl_ArchitectureOffices!D906</f>
        <v>0</v>
      </c>
      <c r="L906" s="102">
        <f>tbl_ArchitectureOffices!C906</f>
        <v>0</v>
      </c>
      <c r="M906" s="102">
        <f t="shared" si="42"/>
        <v>0</v>
      </c>
      <c r="N906" s="102" t="str">
        <f>tbl_Companys!D906</f>
        <v>Reidar Kristiansen</v>
      </c>
      <c r="O906" s="102">
        <f>tbl_Companys!C906</f>
        <v>119978</v>
      </c>
      <c r="P906" s="102" t="str">
        <f t="shared" si="43"/>
        <v>Reidar Kristiansen</v>
      </c>
      <c r="Q906" s="102">
        <f>tbl_ConsultingCompanys!D906</f>
        <v>0</v>
      </c>
      <c r="R906" s="102">
        <f>tbl_ConsultingCompanys!C906</f>
        <v>0</v>
      </c>
      <c r="S906" s="102">
        <f t="shared" si="44"/>
        <v>0</v>
      </c>
    </row>
    <row r="907" spans="11:19" x14ac:dyDescent="0.15">
      <c r="K907" s="102">
        <f>tbl_ArchitectureOffices!D907</f>
        <v>0</v>
      </c>
      <c r="L907" s="102">
        <f>tbl_ArchitectureOffices!C907</f>
        <v>0</v>
      </c>
      <c r="M907" s="102">
        <f t="shared" si="42"/>
        <v>0</v>
      </c>
      <c r="N907" s="102" t="str">
        <f>tbl_Companys!D907</f>
        <v>Reinertsen AS</v>
      </c>
      <c r="O907" s="102">
        <f>tbl_Companys!C907</f>
        <v>163052</v>
      </c>
      <c r="P907" s="102" t="str">
        <f t="shared" si="43"/>
        <v>Reinertsen AS</v>
      </c>
      <c r="Q907" s="102">
        <f>tbl_ConsultingCompanys!D907</f>
        <v>0</v>
      </c>
      <c r="R907" s="102">
        <f>tbl_ConsultingCompanys!C907</f>
        <v>0</v>
      </c>
      <c r="S907" s="102">
        <f t="shared" si="44"/>
        <v>0</v>
      </c>
    </row>
    <row r="908" spans="11:19" x14ac:dyDescent="0.15">
      <c r="K908" s="102">
        <f>tbl_ArchitectureOffices!D908</f>
        <v>0</v>
      </c>
      <c r="L908" s="102">
        <f>tbl_ArchitectureOffices!C908</f>
        <v>0</v>
      </c>
      <c r="M908" s="102">
        <f t="shared" si="42"/>
        <v>0</v>
      </c>
      <c r="N908" s="102" t="str">
        <f>tbl_Companys!D908</f>
        <v>Reinertsen AS (RIAku)</v>
      </c>
      <c r="O908" s="102">
        <f>tbl_Companys!C908</f>
        <v>215014</v>
      </c>
      <c r="P908" s="102" t="str">
        <f t="shared" si="43"/>
        <v>Reinertsen AS (RIAku)</v>
      </c>
      <c r="Q908" s="102">
        <f>tbl_ConsultingCompanys!D908</f>
        <v>0</v>
      </c>
      <c r="R908" s="102">
        <f>tbl_ConsultingCompanys!C908</f>
        <v>0</v>
      </c>
      <c r="S908" s="102">
        <f t="shared" si="44"/>
        <v>0</v>
      </c>
    </row>
    <row r="909" spans="11:19" x14ac:dyDescent="0.15">
      <c r="K909" s="102">
        <f>tbl_ArchitectureOffices!D909</f>
        <v>0</v>
      </c>
      <c r="L909" s="102">
        <f>tbl_ArchitectureOffices!C909</f>
        <v>0</v>
      </c>
      <c r="M909" s="102">
        <f t="shared" si="42"/>
        <v>0</v>
      </c>
      <c r="N909" s="102" t="str">
        <f>tbl_Companys!D909</f>
        <v>Reinertsen Engineering AS</v>
      </c>
      <c r="O909" s="102">
        <f>tbl_Companys!C909</f>
        <v>110277</v>
      </c>
      <c r="P909" s="102" t="str">
        <f t="shared" si="43"/>
        <v>Reinertsen Engineering AS</v>
      </c>
      <c r="Q909" s="102">
        <f>tbl_ConsultingCompanys!D909</f>
        <v>0</v>
      </c>
      <c r="R909" s="102">
        <f>tbl_ConsultingCompanys!C909</f>
        <v>0</v>
      </c>
      <c r="S909" s="102">
        <f t="shared" si="44"/>
        <v>0</v>
      </c>
    </row>
    <row r="910" spans="11:19" x14ac:dyDescent="0.15">
      <c r="K910" s="102">
        <f>tbl_ArchitectureOffices!D910</f>
        <v>0</v>
      </c>
      <c r="L910" s="102">
        <f>tbl_ArchitectureOffices!C910</f>
        <v>0</v>
      </c>
      <c r="M910" s="102">
        <f t="shared" si="42"/>
        <v>0</v>
      </c>
      <c r="N910" s="102" t="str">
        <f>tbl_Companys!D910</f>
        <v>Reum og Laugtaug AS</v>
      </c>
      <c r="O910" s="102">
        <f>tbl_Companys!C910</f>
        <v>111923</v>
      </c>
      <c r="P910" s="102" t="str">
        <f t="shared" si="43"/>
        <v>Reum og Laugtaug AS</v>
      </c>
      <c r="Q910" s="102">
        <f>tbl_ConsultingCompanys!D910</f>
        <v>0</v>
      </c>
      <c r="R910" s="102">
        <f>tbl_ConsultingCompanys!C910</f>
        <v>0</v>
      </c>
      <c r="S910" s="102">
        <f t="shared" si="44"/>
        <v>0</v>
      </c>
    </row>
    <row r="911" spans="11:19" x14ac:dyDescent="0.15">
      <c r="K911" s="102">
        <f>tbl_ArchitectureOffices!D911</f>
        <v>0</v>
      </c>
      <c r="L911" s="102">
        <f>tbl_ArchitectureOffices!C911</f>
        <v>0</v>
      </c>
      <c r="M911" s="102">
        <f t="shared" si="42"/>
        <v>0</v>
      </c>
      <c r="N911" s="102" t="str">
        <f>tbl_Companys!D911</f>
        <v>Rever og Drage</v>
      </c>
      <c r="O911" s="102">
        <f>tbl_Companys!C911</f>
        <v>247285</v>
      </c>
      <c r="P911" s="102" t="str">
        <f t="shared" si="43"/>
        <v>Rever og Drage</v>
      </c>
      <c r="Q911" s="102">
        <f>tbl_ConsultingCompanys!D911</f>
        <v>0</v>
      </c>
      <c r="R911" s="102">
        <f>tbl_ConsultingCompanys!C911</f>
        <v>0</v>
      </c>
      <c r="S911" s="102">
        <f t="shared" si="44"/>
        <v>0</v>
      </c>
    </row>
    <row r="912" spans="11:19" x14ac:dyDescent="0.15">
      <c r="K912" s="102">
        <f>tbl_ArchitectureOffices!D912</f>
        <v>0</v>
      </c>
      <c r="L912" s="102">
        <f>tbl_ArchitectureOffices!C912</f>
        <v>0</v>
      </c>
      <c r="M912" s="102">
        <f t="shared" si="42"/>
        <v>0</v>
      </c>
      <c r="N912" s="102" t="str">
        <f>tbl_Companys!D912</f>
        <v>Richard Ligård, Framtidens Aktivhus AS</v>
      </c>
      <c r="O912" s="102">
        <f>tbl_Companys!C912</f>
        <v>225770</v>
      </c>
      <c r="P912" s="102" t="str">
        <f t="shared" si="43"/>
        <v>Richard Ligård, Framtidens Aktivhus AS</v>
      </c>
      <c r="Q912" s="102">
        <f>tbl_ConsultingCompanys!D912</f>
        <v>0</v>
      </c>
      <c r="R912" s="102">
        <f>tbl_ConsultingCompanys!C912</f>
        <v>0</v>
      </c>
      <c r="S912" s="102">
        <f t="shared" si="44"/>
        <v>0</v>
      </c>
    </row>
    <row r="913" spans="11:19" x14ac:dyDescent="0.15">
      <c r="K913" s="102">
        <f>tbl_ArchitectureOffices!D913</f>
        <v>0</v>
      </c>
      <c r="L913" s="102">
        <f>tbl_ArchitectureOffices!C913</f>
        <v>0</v>
      </c>
      <c r="M913" s="102">
        <f t="shared" si="42"/>
        <v>0</v>
      </c>
      <c r="N913" s="102" t="str">
        <f>tbl_Companys!D913</f>
        <v>RIFT AS</v>
      </c>
      <c r="O913" s="102">
        <f>tbl_Companys!C913</f>
        <v>193622</v>
      </c>
      <c r="P913" s="102" t="str">
        <f t="shared" si="43"/>
        <v>RIFT AS</v>
      </c>
      <c r="Q913" s="102">
        <f>tbl_ConsultingCompanys!D913</f>
        <v>0</v>
      </c>
      <c r="R913" s="102">
        <f>tbl_ConsultingCompanys!C913</f>
        <v>0</v>
      </c>
      <c r="S913" s="102">
        <f t="shared" si="44"/>
        <v>0</v>
      </c>
    </row>
    <row r="914" spans="11:19" x14ac:dyDescent="0.15">
      <c r="K914" s="102">
        <f>tbl_ArchitectureOffices!D914</f>
        <v>0</v>
      </c>
      <c r="L914" s="102">
        <f>tbl_ArchitectureOffices!C914</f>
        <v>0</v>
      </c>
      <c r="M914" s="102">
        <f t="shared" si="42"/>
        <v>0</v>
      </c>
      <c r="N914" s="102" t="str">
        <f>tbl_Companys!D914</f>
        <v>RiK Arkitektur AS</v>
      </c>
      <c r="O914" s="102">
        <f>tbl_Companys!C914</f>
        <v>166683</v>
      </c>
      <c r="P914" s="102" t="str">
        <f t="shared" si="43"/>
        <v>RiK Arkitektur AS</v>
      </c>
      <c r="Q914" s="102">
        <f>tbl_ConsultingCompanys!D914</f>
        <v>0</v>
      </c>
      <c r="R914" s="102">
        <f>tbl_ConsultingCompanys!C914</f>
        <v>0</v>
      </c>
      <c r="S914" s="102">
        <f t="shared" si="44"/>
        <v>0</v>
      </c>
    </row>
    <row r="915" spans="11:19" x14ac:dyDescent="0.15">
      <c r="K915" s="102">
        <f>tbl_ArchitectureOffices!D915</f>
        <v>0</v>
      </c>
      <c r="L915" s="102">
        <f>tbl_ArchitectureOffices!C915</f>
        <v>0</v>
      </c>
      <c r="M915" s="102">
        <f t="shared" si="42"/>
        <v>0</v>
      </c>
      <c r="N915" s="102" t="str">
        <f>tbl_Companys!D915</f>
        <v>Riksheim Consulting AS (RIV)</v>
      </c>
      <c r="O915" s="102">
        <f>tbl_Companys!C915</f>
        <v>205123</v>
      </c>
      <c r="P915" s="102" t="str">
        <f t="shared" si="43"/>
        <v>Riksheim Consulting AS (RIV)</v>
      </c>
      <c r="Q915" s="102">
        <f>tbl_ConsultingCompanys!D915</f>
        <v>0</v>
      </c>
      <c r="R915" s="102">
        <f>tbl_ConsultingCompanys!C915</f>
        <v>0</v>
      </c>
      <c r="S915" s="102">
        <f t="shared" si="44"/>
        <v>0</v>
      </c>
    </row>
    <row r="916" spans="11:19" x14ac:dyDescent="0.15">
      <c r="K916" s="102">
        <f>tbl_ArchitectureOffices!D916</f>
        <v>0</v>
      </c>
      <c r="L916" s="102">
        <f>tbl_ArchitectureOffices!C916</f>
        <v>0</v>
      </c>
      <c r="M916" s="102">
        <f t="shared" si="42"/>
        <v>0</v>
      </c>
      <c r="N916" s="102" t="str">
        <f>tbl_Companys!D916</f>
        <v>Rintala Eggertsson Arkitekter</v>
      </c>
      <c r="O916" s="102">
        <f>tbl_Companys!C916</f>
        <v>204162</v>
      </c>
      <c r="P916" s="102" t="str">
        <f t="shared" si="43"/>
        <v>Rintala Eggertsson Arkitekter</v>
      </c>
      <c r="Q916" s="102">
        <f>tbl_ConsultingCompanys!D916</f>
        <v>0</v>
      </c>
      <c r="R916" s="102">
        <f>tbl_ConsultingCompanys!C916</f>
        <v>0</v>
      </c>
      <c r="S916" s="102">
        <f t="shared" si="44"/>
        <v>0</v>
      </c>
    </row>
    <row r="917" spans="11:19" x14ac:dyDescent="0.15">
      <c r="K917" s="102">
        <f>tbl_ArchitectureOffices!D917</f>
        <v>0</v>
      </c>
      <c r="L917" s="102">
        <f>tbl_ArchitectureOffices!C917</f>
        <v>0</v>
      </c>
      <c r="M917" s="102">
        <f t="shared" si="42"/>
        <v>0</v>
      </c>
      <c r="N917" s="102" t="str">
        <f>tbl_Companys!D917</f>
        <v>Riss Landskap AS</v>
      </c>
      <c r="O917" s="102">
        <f>tbl_Companys!C917</f>
        <v>245864</v>
      </c>
      <c r="P917" s="102" t="str">
        <f t="shared" si="43"/>
        <v>Riss Landskap AS</v>
      </c>
      <c r="Q917" s="102">
        <f>tbl_ConsultingCompanys!D917</f>
        <v>0</v>
      </c>
      <c r="R917" s="102">
        <f>tbl_ConsultingCompanys!C917</f>
        <v>0</v>
      </c>
      <c r="S917" s="102">
        <f t="shared" si="44"/>
        <v>0</v>
      </c>
    </row>
    <row r="918" spans="11:19" x14ac:dyDescent="0.15">
      <c r="K918" s="102">
        <f>tbl_ArchitectureOffices!D918</f>
        <v>0</v>
      </c>
      <c r="L918" s="102">
        <f>tbl_ArchitectureOffices!C918</f>
        <v>0</v>
      </c>
      <c r="M918" s="102">
        <f t="shared" si="42"/>
        <v>0</v>
      </c>
      <c r="N918" s="102" t="str">
        <f>tbl_Companys!D918</f>
        <v>RIV Bjørkaas AS</v>
      </c>
      <c r="O918" s="102">
        <f>tbl_Companys!C918</f>
        <v>110885</v>
      </c>
      <c r="P918" s="102" t="str">
        <f t="shared" si="43"/>
        <v>RIV Bjørkaas AS</v>
      </c>
      <c r="Q918" s="102">
        <f>tbl_ConsultingCompanys!D918</f>
        <v>0</v>
      </c>
      <c r="R918" s="102">
        <f>tbl_ConsultingCompanys!C918</f>
        <v>0</v>
      </c>
      <c r="S918" s="102">
        <f t="shared" si="44"/>
        <v>0</v>
      </c>
    </row>
    <row r="919" spans="11:19" x14ac:dyDescent="0.15">
      <c r="K919" s="102">
        <f>tbl_ArchitectureOffices!D919</f>
        <v>0</v>
      </c>
      <c r="L919" s="102">
        <f>tbl_ArchitectureOffices!C919</f>
        <v>0</v>
      </c>
      <c r="M919" s="102">
        <f t="shared" si="42"/>
        <v>0</v>
      </c>
      <c r="N919" s="102" t="str">
        <f>tbl_Companys!D919</f>
        <v>Rivco AS</v>
      </c>
      <c r="O919" s="102">
        <f>tbl_Companys!C919</f>
        <v>216997</v>
      </c>
      <c r="P919" s="102" t="str">
        <f t="shared" si="43"/>
        <v>Rivco AS</v>
      </c>
      <c r="Q919" s="102">
        <f>tbl_ConsultingCompanys!D919</f>
        <v>0</v>
      </c>
      <c r="R919" s="102">
        <f>tbl_ConsultingCompanys!C919</f>
        <v>0</v>
      </c>
      <c r="S919" s="102">
        <f t="shared" si="44"/>
        <v>0</v>
      </c>
    </row>
    <row r="920" spans="11:19" x14ac:dyDescent="0.15">
      <c r="K920" s="102">
        <f>tbl_ArchitectureOffices!D920</f>
        <v>0</v>
      </c>
      <c r="L920" s="102">
        <f>tbl_ArchitectureOffices!C920</f>
        <v>0</v>
      </c>
      <c r="M920" s="102">
        <f t="shared" si="42"/>
        <v>0</v>
      </c>
      <c r="N920" s="102" t="str">
        <f>tbl_Companys!D920</f>
        <v xml:space="preserve">Roald AS Arkitektur, Ola </v>
      </c>
      <c r="O920" s="102">
        <f>tbl_Companys!C920</f>
        <v>166676</v>
      </c>
      <c r="P920" s="102" t="str">
        <f t="shared" si="43"/>
        <v>Roald AS Arkitektur, Ola</v>
      </c>
      <c r="Q920" s="102">
        <f>tbl_ConsultingCompanys!D920</f>
        <v>0</v>
      </c>
      <c r="R920" s="102">
        <f>tbl_ConsultingCompanys!C920</f>
        <v>0</v>
      </c>
      <c r="S920" s="102">
        <f t="shared" si="44"/>
        <v>0</v>
      </c>
    </row>
    <row r="921" spans="11:19" x14ac:dyDescent="0.15">
      <c r="K921" s="102">
        <f>tbl_ArchitectureOffices!D921</f>
        <v>0</v>
      </c>
      <c r="L921" s="102">
        <f>tbl_ArchitectureOffices!C921</f>
        <v>0</v>
      </c>
      <c r="M921" s="102">
        <f t="shared" si="42"/>
        <v>0</v>
      </c>
      <c r="N921" s="102" t="str">
        <f>tbl_Companys!D921</f>
        <v>Roald Haldorsen v/ Oslo Prosjektadministrasjon AS</v>
      </c>
      <c r="O921" s="102">
        <f>tbl_Companys!C921</f>
        <v>215021</v>
      </c>
      <c r="P921" s="102" t="str">
        <f t="shared" si="43"/>
        <v>Roald Haldorsen v/ Oslo Prosjektadministrasjon AS</v>
      </c>
      <c r="Q921" s="102">
        <f>tbl_ConsultingCompanys!D921</f>
        <v>0</v>
      </c>
      <c r="R921" s="102">
        <f>tbl_ConsultingCompanys!C921</f>
        <v>0</v>
      </c>
      <c r="S921" s="102">
        <f t="shared" si="44"/>
        <v>0</v>
      </c>
    </row>
    <row r="922" spans="11:19" x14ac:dyDescent="0.15">
      <c r="K922" s="102">
        <f>tbl_ArchitectureOffices!D922</f>
        <v>0</v>
      </c>
      <c r="L922" s="102">
        <f>tbl_ArchitectureOffices!C922</f>
        <v>0</v>
      </c>
      <c r="M922" s="102">
        <f t="shared" si="42"/>
        <v>0</v>
      </c>
      <c r="N922" s="102" t="str">
        <f>tbl_Companys!D922</f>
        <v>Roar Jørgensen AS</v>
      </c>
      <c r="O922" s="102">
        <f>tbl_Companys!C922</f>
        <v>247750</v>
      </c>
      <c r="P922" s="102" t="str">
        <f t="shared" si="43"/>
        <v>Roar Jørgensen AS</v>
      </c>
      <c r="Q922" s="102">
        <f>tbl_ConsultingCompanys!D922</f>
        <v>0</v>
      </c>
      <c r="R922" s="102">
        <f>tbl_ConsultingCompanys!C922</f>
        <v>0</v>
      </c>
      <c r="S922" s="102">
        <f t="shared" si="44"/>
        <v>0</v>
      </c>
    </row>
    <row r="923" spans="11:19" x14ac:dyDescent="0.15">
      <c r="K923" s="102">
        <f>tbl_ArchitectureOffices!D923</f>
        <v>0</v>
      </c>
      <c r="L923" s="102">
        <f>tbl_ArchitectureOffices!C923</f>
        <v>0</v>
      </c>
      <c r="M923" s="102">
        <f t="shared" si="42"/>
        <v>0</v>
      </c>
      <c r="N923" s="102" t="str">
        <f>tbl_Companys!D923</f>
        <v>Roar Ousland og Marit Grinaker Wright</v>
      </c>
      <c r="O923" s="102">
        <f>tbl_Companys!C923</f>
        <v>242772</v>
      </c>
      <c r="P923" s="102" t="str">
        <f t="shared" si="43"/>
        <v>Roar Ousland og Marit Grinaker Wright</v>
      </c>
      <c r="Q923" s="102">
        <f>tbl_ConsultingCompanys!D923</f>
        <v>0</v>
      </c>
      <c r="R923" s="102">
        <f>tbl_ConsultingCompanys!C923</f>
        <v>0</v>
      </c>
      <c r="S923" s="102">
        <f t="shared" si="44"/>
        <v>0</v>
      </c>
    </row>
    <row r="924" spans="11:19" x14ac:dyDescent="0.15">
      <c r="K924" s="102">
        <f>tbl_ArchitectureOffices!D924</f>
        <v>0</v>
      </c>
      <c r="L924" s="102">
        <f>tbl_ArchitectureOffices!C924</f>
        <v>0</v>
      </c>
      <c r="M924" s="102">
        <f t="shared" si="42"/>
        <v>0</v>
      </c>
      <c r="N924" s="102" t="str">
        <f>tbl_Companys!D924</f>
        <v>Roar Svenning &amp; Torild Landklopp</v>
      </c>
      <c r="O924" s="102">
        <f>tbl_Companys!C924</f>
        <v>230104</v>
      </c>
      <c r="P924" s="102" t="str">
        <f t="shared" si="43"/>
        <v>Roar Svenning &amp; Torild Landklopp</v>
      </c>
      <c r="Q924" s="102">
        <f>tbl_ConsultingCompanys!D924</f>
        <v>0</v>
      </c>
      <c r="R924" s="102">
        <f>tbl_ConsultingCompanys!C924</f>
        <v>0</v>
      </c>
      <c r="S924" s="102">
        <f t="shared" si="44"/>
        <v>0</v>
      </c>
    </row>
    <row r="925" spans="11:19" x14ac:dyDescent="0.15">
      <c r="K925" s="102">
        <f>tbl_ArchitectureOffices!D925</f>
        <v>0</v>
      </c>
      <c r="L925" s="102">
        <f>tbl_ArchitectureOffices!C925</f>
        <v>0</v>
      </c>
      <c r="M925" s="102">
        <f t="shared" si="42"/>
        <v>0</v>
      </c>
      <c r="N925" s="102" t="str">
        <f>tbl_Companys!D925</f>
        <v>Robak VVS as (RIVA)</v>
      </c>
      <c r="O925" s="102">
        <f>tbl_Companys!C925</f>
        <v>215425</v>
      </c>
      <c r="P925" s="102" t="str">
        <f t="shared" si="43"/>
        <v>Robak VVS as (RIVA)</v>
      </c>
      <c r="Q925" s="102">
        <f>tbl_ConsultingCompanys!D925</f>
        <v>0</v>
      </c>
      <c r="R925" s="102">
        <f>tbl_ConsultingCompanys!C925</f>
        <v>0</v>
      </c>
      <c r="S925" s="102">
        <f t="shared" si="44"/>
        <v>0</v>
      </c>
    </row>
    <row r="926" spans="11:19" x14ac:dyDescent="0.15">
      <c r="K926" s="102">
        <f>tbl_ArchitectureOffices!D926</f>
        <v>0</v>
      </c>
      <c r="L926" s="102">
        <f>tbl_ArchitectureOffices!C926</f>
        <v>0</v>
      </c>
      <c r="M926" s="102">
        <f t="shared" si="42"/>
        <v>0</v>
      </c>
      <c r="N926" s="102" t="str">
        <f>tbl_Companys!D926</f>
        <v>Rockwool</v>
      </c>
      <c r="O926" s="102">
        <f>tbl_Companys!C926</f>
        <v>177641</v>
      </c>
      <c r="P926" s="102" t="str">
        <f t="shared" si="43"/>
        <v>Rockwool</v>
      </c>
      <c r="Q926" s="102">
        <f>tbl_ConsultingCompanys!D926</f>
        <v>0</v>
      </c>
      <c r="R926" s="102">
        <f>tbl_ConsultingCompanys!C926</f>
        <v>0</v>
      </c>
      <c r="S926" s="102">
        <f t="shared" si="44"/>
        <v>0</v>
      </c>
    </row>
    <row r="927" spans="11:19" x14ac:dyDescent="0.15">
      <c r="K927" s="102">
        <f>tbl_ArchitectureOffices!D927</f>
        <v>0</v>
      </c>
      <c r="L927" s="102">
        <f>tbl_ArchitectureOffices!C927</f>
        <v>0</v>
      </c>
      <c r="M927" s="102">
        <f t="shared" si="42"/>
        <v>0</v>
      </c>
      <c r="N927" s="102" t="str">
        <f>tbl_Companys!D927</f>
        <v>Rodeo arkitekter as</v>
      </c>
      <c r="O927" s="102">
        <f>tbl_Companys!C927</f>
        <v>166675</v>
      </c>
      <c r="P927" s="102" t="str">
        <f t="shared" si="43"/>
        <v>Rodeo arkitekter as</v>
      </c>
      <c r="Q927" s="102">
        <f>tbl_ConsultingCompanys!D927</f>
        <v>0</v>
      </c>
      <c r="R927" s="102">
        <f>tbl_ConsultingCompanys!C927</f>
        <v>0</v>
      </c>
      <c r="S927" s="102">
        <f t="shared" si="44"/>
        <v>0</v>
      </c>
    </row>
    <row r="928" spans="11:19" x14ac:dyDescent="0.15">
      <c r="K928" s="102">
        <f>tbl_ArchitectureOffices!D928</f>
        <v>0</v>
      </c>
      <c r="L928" s="102">
        <f>tbl_ArchitectureOffices!C928</f>
        <v>0</v>
      </c>
      <c r="M928" s="102">
        <f t="shared" si="42"/>
        <v>0</v>
      </c>
      <c r="N928" s="102" t="str">
        <f>tbl_Companys!D928</f>
        <v>Rogaland bygg og prosjektutvikling AS</v>
      </c>
      <c r="O928" s="102">
        <f>tbl_Companys!C928</f>
        <v>158048</v>
      </c>
      <c r="P928" s="102" t="str">
        <f t="shared" si="43"/>
        <v>Rogaland bygg og prosjektutvikling AS</v>
      </c>
      <c r="Q928" s="102">
        <f>tbl_ConsultingCompanys!D928</f>
        <v>0</v>
      </c>
      <c r="R928" s="102">
        <f>tbl_ConsultingCompanys!C928</f>
        <v>0</v>
      </c>
      <c r="S928" s="102">
        <f t="shared" si="44"/>
        <v>0</v>
      </c>
    </row>
    <row r="929" spans="11:19" x14ac:dyDescent="0.15">
      <c r="K929" s="102">
        <f>tbl_ArchitectureOffices!D929</f>
        <v>0</v>
      </c>
      <c r="L929" s="102">
        <f>tbl_ArchitectureOffices!C929</f>
        <v>0</v>
      </c>
      <c r="M929" s="102">
        <f t="shared" si="42"/>
        <v>0</v>
      </c>
      <c r="N929" s="102" t="str">
        <f>tbl_Companys!D929</f>
        <v>Rogaland entreprenør AS</v>
      </c>
      <c r="O929" s="102">
        <f>tbl_Companys!C929</f>
        <v>163150</v>
      </c>
      <c r="P929" s="102" t="str">
        <f t="shared" si="43"/>
        <v>Rogaland entreprenør AS</v>
      </c>
      <c r="Q929" s="102">
        <f>tbl_ConsultingCompanys!D929</f>
        <v>0</v>
      </c>
      <c r="R929" s="102">
        <f>tbl_ConsultingCompanys!C929</f>
        <v>0</v>
      </c>
      <c r="S929" s="102">
        <f t="shared" si="44"/>
        <v>0</v>
      </c>
    </row>
    <row r="930" spans="11:19" x14ac:dyDescent="0.15">
      <c r="K930" s="102">
        <f>tbl_ArchitectureOffices!D930</f>
        <v>0</v>
      </c>
      <c r="L930" s="102">
        <f>tbl_ArchitectureOffices!C930</f>
        <v>0</v>
      </c>
      <c r="M930" s="102">
        <f t="shared" si="42"/>
        <v>0</v>
      </c>
      <c r="N930" s="102" t="str">
        <f>tbl_Companys!D930</f>
        <v>Rogaland entreprenør AS</v>
      </c>
      <c r="O930" s="102">
        <f>tbl_Companys!C930</f>
        <v>172632</v>
      </c>
      <c r="P930" s="102" t="str">
        <f t="shared" si="43"/>
        <v>Rogaland entreprenør AS</v>
      </c>
      <c r="Q930" s="102">
        <f>tbl_ConsultingCompanys!D930</f>
        <v>0</v>
      </c>
      <c r="R930" s="102">
        <f>tbl_ConsultingCompanys!C930</f>
        <v>0</v>
      </c>
      <c r="S930" s="102">
        <f t="shared" si="44"/>
        <v>0</v>
      </c>
    </row>
    <row r="931" spans="11:19" x14ac:dyDescent="0.15">
      <c r="K931" s="102">
        <f>tbl_ArchitectureOffices!D931</f>
        <v>0</v>
      </c>
      <c r="L931" s="102">
        <f>tbl_ArchitectureOffices!C931</f>
        <v>0</v>
      </c>
      <c r="M931" s="102">
        <f t="shared" si="42"/>
        <v>0</v>
      </c>
      <c r="N931" s="102" t="str">
        <f>tbl_Companys!D931</f>
        <v>Rogaland entreprnør AS</v>
      </c>
      <c r="O931" s="102">
        <f>tbl_Companys!C931</f>
        <v>165639</v>
      </c>
      <c r="P931" s="102" t="str">
        <f t="shared" si="43"/>
        <v>Rogaland entreprnør AS</v>
      </c>
      <c r="Q931" s="102">
        <f>tbl_ConsultingCompanys!D931</f>
        <v>0</v>
      </c>
      <c r="R931" s="102">
        <f>tbl_ConsultingCompanys!C931</f>
        <v>0</v>
      </c>
      <c r="S931" s="102">
        <f t="shared" si="44"/>
        <v>0</v>
      </c>
    </row>
    <row r="932" spans="11:19" x14ac:dyDescent="0.15">
      <c r="K932" s="102">
        <f>tbl_ArchitectureOffices!D932</f>
        <v>0</v>
      </c>
      <c r="L932" s="102">
        <f>tbl_ArchitectureOffices!C932</f>
        <v>0</v>
      </c>
      <c r="M932" s="102">
        <f t="shared" si="42"/>
        <v>0</v>
      </c>
      <c r="N932" s="102" t="str">
        <f>tbl_Companys!D932</f>
        <v>Rojo arkitekter as</v>
      </c>
      <c r="O932" s="102">
        <f>tbl_Companys!C932</f>
        <v>172675</v>
      </c>
      <c r="P932" s="102" t="str">
        <f t="shared" si="43"/>
        <v>Rojo arkitekter as</v>
      </c>
      <c r="Q932" s="102">
        <f>tbl_ConsultingCompanys!D932</f>
        <v>0</v>
      </c>
      <c r="R932" s="102">
        <f>tbl_ConsultingCompanys!C932</f>
        <v>0</v>
      </c>
      <c r="S932" s="102">
        <f t="shared" si="44"/>
        <v>0</v>
      </c>
    </row>
    <row r="933" spans="11:19" x14ac:dyDescent="0.15">
      <c r="K933" s="102">
        <f>tbl_ArchitectureOffices!D933</f>
        <v>0</v>
      </c>
      <c r="L933" s="102">
        <f>tbl_ArchitectureOffices!C933</f>
        <v>0</v>
      </c>
      <c r="M933" s="102">
        <f t="shared" si="42"/>
        <v>0</v>
      </c>
      <c r="N933" s="102" t="str">
        <f>tbl_Companys!D933</f>
        <v>Rolf Selvaag</v>
      </c>
      <c r="O933" s="102">
        <f>tbl_Companys!C933</f>
        <v>205918</v>
      </c>
      <c r="P933" s="102" t="str">
        <f t="shared" si="43"/>
        <v>Rolf Selvaag</v>
      </c>
      <c r="Q933" s="102">
        <f>tbl_ConsultingCompanys!D933</f>
        <v>0</v>
      </c>
      <c r="R933" s="102">
        <f>tbl_ConsultingCompanys!C933</f>
        <v>0</v>
      </c>
      <c r="S933" s="102">
        <f t="shared" si="44"/>
        <v>0</v>
      </c>
    </row>
    <row r="934" spans="11:19" x14ac:dyDescent="0.15">
      <c r="K934" s="102">
        <f>tbl_ArchitectureOffices!D934</f>
        <v>0</v>
      </c>
      <c r="L934" s="102">
        <f>tbl_ArchitectureOffices!C934</f>
        <v>0</v>
      </c>
      <c r="M934" s="102">
        <f t="shared" si="42"/>
        <v>0</v>
      </c>
      <c r="N934" s="102" t="str">
        <f>tbl_Companys!D934</f>
        <v>ROM Eiendom AS</v>
      </c>
      <c r="O934" s="102">
        <f>tbl_Companys!C934</f>
        <v>214139</v>
      </c>
      <c r="P934" s="102" t="str">
        <f t="shared" si="43"/>
        <v>ROM Eiendom AS</v>
      </c>
      <c r="Q934" s="102">
        <f>tbl_ConsultingCompanys!D934</f>
        <v>0</v>
      </c>
      <c r="R934" s="102">
        <f>tbl_ConsultingCompanys!C934</f>
        <v>0</v>
      </c>
      <c r="S934" s="102">
        <f t="shared" si="44"/>
        <v>0</v>
      </c>
    </row>
    <row r="935" spans="11:19" x14ac:dyDescent="0.15">
      <c r="K935" s="102">
        <f>tbl_ArchitectureOffices!D935</f>
        <v>0</v>
      </c>
      <c r="L935" s="102">
        <f>tbl_ArchitectureOffices!C935</f>
        <v>0</v>
      </c>
      <c r="M935" s="102">
        <f t="shared" si="42"/>
        <v>0</v>
      </c>
      <c r="N935" s="102" t="str">
        <f>tbl_Companys!D935</f>
        <v>Romerike Arkitekter AS</v>
      </c>
      <c r="O935" s="102">
        <f>tbl_Companys!C935</f>
        <v>166674</v>
      </c>
      <c r="P935" s="102" t="str">
        <f t="shared" si="43"/>
        <v>Romerike Arkitekter AS</v>
      </c>
      <c r="Q935" s="102">
        <f>tbl_ConsultingCompanys!D935</f>
        <v>0</v>
      </c>
      <c r="R935" s="102">
        <f>tbl_ConsultingCompanys!C935</f>
        <v>0</v>
      </c>
      <c r="S935" s="102">
        <f t="shared" si="44"/>
        <v>0</v>
      </c>
    </row>
    <row r="936" spans="11:19" x14ac:dyDescent="0.15">
      <c r="K936" s="102">
        <f>tbl_ArchitectureOffices!D936</f>
        <v>0</v>
      </c>
      <c r="L936" s="102">
        <f>tbl_ArchitectureOffices!C936</f>
        <v>0</v>
      </c>
      <c r="M936" s="102">
        <f t="shared" si="42"/>
        <v>0</v>
      </c>
      <c r="N936" s="102" t="str">
        <f>tbl_Companys!D936</f>
        <v>Romlaboratoriet AS</v>
      </c>
      <c r="O936" s="102">
        <f>tbl_Companys!C936</f>
        <v>219471</v>
      </c>
      <c r="P936" s="102" t="str">
        <f t="shared" si="43"/>
        <v>Romlaboratoriet AS</v>
      </c>
      <c r="Q936" s="102">
        <f>tbl_ConsultingCompanys!D936</f>
        <v>0</v>
      </c>
      <c r="R936" s="102">
        <f>tbl_ConsultingCompanys!C936</f>
        <v>0</v>
      </c>
      <c r="S936" s="102">
        <f t="shared" si="44"/>
        <v>0</v>
      </c>
    </row>
    <row r="937" spans="11:19" x14ac:dyDescent="0.15">
      <c r="K937" s="102">
        <f>tbl_ArchitectureOffices!D937</f>
        <v>0</v>
      </c>
      <c r="L937" s="102">
        <f>tbl_ArchitectureOffices!C937</f>
        <v>0</v>
      </c>
      <c r="M937" s="102">
        <f t="shared" si="42"/>
        <v>0</v>
      </c>
      <c r="N937" s="102" t="str">
        <f>tbl_Companys!D937</f>
        <v>Rose Marie Steinsvik sivilark. MNAL</v>
      </c>
      <c r="O937" s="102">
        <f>tbl_Companys!C937</f>
        <v>182979</v>
      </c>
      <c r="P937" s="102" t="str">
        <f t="shared" si="43"/>
        <v>Rose Marie Steinsvik sivilark. MNAL</v>
      </c>
      <c r="Q937" s="102">
        <f>tbl_ConsultingCompanys!D937</f>
        <v>0</v>
      </c>
      <c r="R937" s="102">
        <f>tbl_ConsultingCompanys!C937</f>
        <v>0</v>
      </c>
      <c r="S937" s="102">
        <f t="shared" si="44"/>
        <v>0</v>
      </c>
    </row>
    <row r="938" spans="11:19" x14ac:dyDescent="0.15">
      <c r="K938" s="102">
        <f>tbl_ArchitectureOffices!D938</f>
        <v>0</v>
      </c>
      <c r="L938" s="102">
        <f>tbl_ArchitectureOffices!C938</f>
        <v>0</v>
      </c>
      <c r="M938" s="102">
        <f t="shared" si="42"/>
        <v>0</v>
      </c>
      <c r="N938" s="102" t="str">
        <f>tbl_Companys!D938</f>
        <v>Rosenborg Utvikling AS</v>
      </c>
      <c r="O938" s="102">
        <f>tbl_Companys!C938</f>
        <v>164717</v>
      </c>
      <c r="P938" s="102" t="str">
        <f t="shared" si="43"/>
        <v>Rosenborg Utvikling AS</v>
      </c>
      <c r="Q938" s="102">
        <f>tbl_ConsultingCompanys!D938</f>
        <v>0</v>
      </c>
      <c r="R938" s="102">
        <f>tbl_ConsultingCompanys!C938</f>
        <v>0</v>
      </c>
      <c r="S938" s="102">
        <f t="shared" si="44"/>
        <v>0</v>
      </c>
    </row>
    <row r="939" spans="11:19" x14ac:dyDescent="0.15">
      <c r="K939" s="102">
        <f>tbl_ArchitectureOffices!D939</f>
        <v>0</v>
      </c>
      <c r="L939" s="102">
        <f>tbl_ArchitectureOffices!C939</f>
        <v>0</v>
      </c>
      <c r="M939" s="102">
        <f t="shared" si="42"/>
        <v>0</v>
      </c>
      <c r="N939" s="102" t="str">
        <f>tbl_Companys!D939</f>
        <v>RSG AS</v>
      </c>
      <c r="O939" s="102">
        <f>tbl_Companys!C939</f>
        <v>231900</v>
      </c>
      <c r="P939" s="102" t="str">
        <f t="shared" si="43"/>
        <v>RSG AS</v>
      </c>
      <c r="Q939" s="102">
        <f>tbl_ConsultingCompanys!D939</f>
        <v>0</v>
      </c>
      <c r="R939" s="102">
        <f>tbl_ConsultingCompanys!C939</f>
        <v>0</v>
      </c>
      <c r="S939" s="102">
        <f t="shared" si="44"/>
        <v>0</v>
      </c>
    </row>
    <row r="940" spans="11:19" x14ac:dyDescent="0.15">
      <c r="K940" s="102">
        <f>tbl_ArchitectureOffices!D940</f>
        <v>0</v>
      </c>
      <c r="L940" s="102">
        <f>tbl_ArchitectureOffices!C940</f>
        <v>0</v>
      </c>
      <c r="M940" s="102">
        <f t="shared" si="42"/>
        <v>0</v>
      </c>
      <c r="N940" s="102" t="str">
        <f>tbl_Companys!D940</f>
        <v>Runde Miljøbygg AS</v>
      </c>
      <c r="O940" s="102">
        <f>tbl_Companys!C940</f>
        <v>205126</v>
      </c>
      <c r="P940" s="102" t="str">
        <f t="shared" si="43"/>
        <v>Runde Miljøbygg AS</v>
      </c>
      <c r="Q940" s="102">
        <f>tbl_ConsultingCompanys!D940</f>
        <v>0</v>
      </c>
      <c r="R940" s="102">
        <f>tbl_ConsultingCompanys!C940</f>
        <v>0</v>
      </c>
      <c r="S940" s="102">
        <f t="shared" si="44"/>
        <v>0</v>
      </c>
    </row>
    <row r="941" spans="11:19" x14ac:dyDescent="0.15">
      <c r="K941" s="102">
        <f>tbl_ArchitectureOffices!D941</f>
        <v>0</v>
      </c>
      <c r="L941" s="102">
        <f>tbl_ArchitectureOffices!C941</f>
        <v>0</v>
      </c>
      <c r="M941" s="102">
        <f t="shared" si="42"/>
        <v>0</v>
      </c>
      <c r="N941" s="102" t="str">
        <f>tbl_Companys!D941</f>
        <v>Rye-Kittelsen AS</v>
      </c>
      <c r="O941" s="102">
        <f>tbl_Companys!C941</f>
        <v>121314</v>
      </c>
      <c r="P941" s="102" t="str">
        <f t="shared" si="43"/>
        <v>Rye-Kittelsen AS</v>
      </c>
      <c r="Q941" s="102">
        <f>tbl_ConsultingCompanys!D941</f>
        <v>0</v>
      </c>
      <c r="R941" s="102">
        <f>tbl_ConsultingCompanys!C941</f>
        <v>0</v>
      </c>
      <c r="S941" s="102">
        <f t="shared" si="44"/>
        <v>0</v>
      </c>
    </row>
    <row r="942" spans="11:19" x14ac:dyDescent="0.15">
      <c r="K942" s="102">
        <f>tbl_ArchitectureOffices!D942</f>
        <v>0</v>
      </c>
      <c r="L942" s="102">
        <f>tbl_ArchitectureOffices!C942</f>
        <v>0</v>
      </c>
      <c r="M942" s="102">
        <f t="shared" si="42"/>
        <v>0</v>
      </c>
      <c r="N942" s="102" t="str">
        <f>tbl_Companys!D942</f>
        <v>Ryenstubben Invest AS</v>
      </c>
      <c r="O942" s="102">
        <f>tbl_Companys!C942</f>
        <v>246737</v>
      </c>
      <c r="P942" s="102" t="str">
        <f t="shared" si="43"/>
        <v>Ryenstubben Invest AS</v>
      </c>
      <c r="Q942" s="102">
        <f>tbl_ConsultingCompanys!D942</f>
        <v>0</v>
      </c>
      <c r="R942" s="102">
        <f>tbl_ConsultingCompanys!C942</f>
        <v>0</v>
      </c>
      <c r="S942" s="102">
        <f t="shared" si="44"/>
        <v>0</v>
      </c>
    </row>
    <row r="943" spans="11:19" x14ac:dyDescent="0.15">
      <c r="K943" s="102">
        <f>tbl_ArchitectureOffices!D943</f>
        <v>0</v>
      </c>
      <c r="L943" s="102">
        <f>tbl_ArchitectureOffices!C943</f>
        <v>0</v>
      </c>
      <c r="M943" s="102">
        <f t="shared" si="42"/>
        <v>0</v>
      </c>
      <c r="N943" s="102" t="str">
        <f>tbl_Companys!D943</f>
        <v>Rygg Maskin AS (graveentrepenør)</v>
      </c>
      <c r="O943" s="102">
        <f>tbl_Companys!C943</f>
        <v>155707</v>
      </c>
      <c r="P943" s="102" t="str">
        <f t="shared" si="43"/>
        <v>Rygg Maskin AS (graveentrepenør)</v>
      </c>
      <c r="Q943" s="102">
        <f>tbl_ConsultingCompanys!D943</f>
        <v>0</v>
      </c>
      <c r="R943" s="102">
        <f>tbl_ConsultingCompanys!C943</f>
        <v>0</v>
      </c>
      <c r="S943" s="102">
        <f t="shared" si="44"/>
        <v>0</v>
      </c>
    </row>
    <row r="944" spans="11:19" x14ac:dyDescent="0.15">
      <c r="K944" s="102">
        <f>tbl_ArchitectureOffices!D944</f>
        <v>0</v>
      </c>
      <c r="L944" s="102">
        <f>tbl_ArchitectureOffices!C944</f>
        <v>0</v>
      </c>
      <c r="M944" s="102">
        <f t="shared" si="42"/>
        <v>0</v>
      </c>
      <c r="N944" s="102" t="str">
        <f>tbl_Companys!D944</f>
        <v xml:space="preserve">Rønsen Arkitekter AS, Jostein </v>
      </c>
      <c r="O944" s="102">
        <f>tbl_Companys!C944</f>
        <v>166672</v>
      </c>
      <c r="P944" s="102" t="str">
        <f t="shared" si="43"/>
        <v>Rønsen Arkitekter AS, Jostein</v>
      </c>
      <c r="Q944" s="102">
        <f>tbl_ConsultingCompanys!D944</f>
        <v>0</v>
      </c>
      <c r="R944" s="102">
        <f>tbl_ConsultingCompanys!C944</f>
        <v>0</v>
      </c>
      <c r="S944" s="102">
        <f t="shared" si="44"/>
        <v>0</v>
      </c>
    </row>
    <row r="945" spans="11:19" x14ac:dyDescent="0.15">
      <c r="K945" s="102">
        <f>tbl_ArchitectureOffices!D945</f>
        <v>0</v>
      </c>
      <c r="L945" s="102">
        <f>tbl_ArchitectureOffices!C945</f>
        <v>0</v>
      </c>
      <c r="M945" s="102">
        <f t="shared" si="42"/>
        <v>0</v>
      </c>
      <c r="N945" s="102" t="str">
        <f>tbl_Companys!D945</f>
        <v>Rørby AS, Arkitekt Terje</v>
      </c>
      <c r="O945" s="102">
        <f>tbl_Companys!C945</f>
        <v>172668</v>
      </c>
      <c r="P945" s="102" t="str">
        <f t="shared" si="43"/>
        <v>Rørby AS, Arkitekt Terje</v>
      </c>
      <c r="Q945" s="102">
        <f>tbl_ConsultingCompanys!D945</f>
        <v>0</v>
      </c>
      <c r="R945" s="102">
        <f>tbl_ConsultingCompanys!C945</f>
        <v>0</v>
      </c>
      <c r="S945" s="102">
        <f t="shared" si="44"/>
        <v>0</v>
      </c>
    </row>
    <row r="946" spans="11:19" x14ac:dyDescent="0.15">
      <c r="K946" s="102">
        <f>tbl_ArchitectureOffices!D946</f>
        <v>0</v>
      </c>
      <c r="L946" s="102">
        <f>tbl_ArchitectureOffices!C946</f>
        <v>0</v>
      </c>
      <c r="M946" s="102">
        <f t="shared" si="42"/>
        <v>0</v>
      </c>
      <c r="N946" s="102" t="str">
        <f>tbl_Companys!D946</f>
        <v>Rørfunn AS</v>
      </c>
      <c r="O946" s="102">
        <f>tbl_Companys!C946</f>
        <v>228142</v>
      </c>
      <c r="P946" s="102" t="str">
        <f t="shared" si="43"/>
        <v>Rørfunn AS</v>
      </c>
      <c r="Q946" s="102">
        <f>tbl_ConsultingCompanys!D946</f>
        <v>0</v>
      </c>
      <c r="R946" s="102">
        <f>tbl_ConsultingCompanys!C946</f>
        <v>0</v>
      </c>
      <c r="S946" s="102">
        <f t="shared" si="44"/>
        <v>0</v>
      </c>
    </row>
    <row r="947" spans="11:19" x14ac:dyDescent="0.15">
      <c r="K947" s="102">
        <f>tbl_ArchitectureOffices!D947</f>
        <v>0</v>
      </c>
      <c r="L947" s="102">
        <f>tbl_ArchitectureOffices!C947</f>
        <v>0</v>
      </c>
      <c r="M947" s="102">
        <f t="shared" si="42"/>
        <v>0</v>
      </c>
      <c r="N947" s="102" t="str">
        <f>tbl_Companys!D947</f>
        <v>Rørteknikk AS</v>
      </c>
      <c r="O947" s="102">
        <f>tbl_Companys!C947</f>
        <v>225766</v>
      </c>
      <c r="P947" s="102" t="str">
        <f t="shared" si="43"/>
        <v>Rørteknikk AS</v>
      </c>
      <c r="Q947" s="102">
        <f>tbl_ConsultingCompanys!D947</f>
        <v>0</v>
      </c>
      <c r="R947" s="102">
        <f>tbl_ConsultingCompanys!C947</f>
        <v>0</v>
      </c>
      <c r="S947" s="102">
        <f t="shared" si="44"/>
        <v>0</v>
      </c>
    </row>
    <row r="948" spans="11:19" x14ac:dyDescent="0.15">
      <c r="K948" s="102">
        <f>tbl_ArchitectureOffices!D948</f>
        <v>0</v>
      </c>
      <c r="L948" s="102">
        <f>tbl_ArchitectureOffices!C948</f>
        <v>0</v>
      </c>
      <c r="M948" s="102">
        <f t="shared" si="42"/>
        <v>0</v>
      </c>
      <c r="N948" s="102" t="str">
        <f>tbl_Companys!D948</f>
        <v xml:space="preserve">Rørteknikk AS </v>
      </c>
      <c r="O948" s="102">
        <f>tbl_Companys!C948</f>
        <v>111926</v>
      </c>
      <c r="P948" s="102" t="str">
        <f t="shared" si="43"/>
        <v>Rørteknikk AS</v>
      </c>
      <c r="Q948" s="102">
        <f>tbl_ConsultingCompanys!D948</f>
        <v>0</v>
      </c>
      <c r="R948" s="102">
        <f>tbl_ConsultingCompanys!C948</f>
        <v>0</v>
      </c>
      <c r="S948" s="102">
        <f t="shared" si="44"/>
        <v>0</v>
      </c>
    </row>
    <row r="949" spans="11:19" x14ac:dyDescent="0.15">
      <c r="K949" s="102">
        <f>tbl_ArchitectureOffices!D949</f>
        <v>0</v>
      </c>
      <c r="L949" s="102">
        <f>tbl_ArchitectureOffices!C949</f>
        <v>0</v>
      </c>
      <c r="M949" s="102">
        <f t="shared" si="42"/>
        <v>0</v>
      </c>
      <c r="N949" s="102" t="str">
        <f>tbl_Companys!D949</f>
        <v>Samferdselsetaten, Oslo kommune</v>
      </c>
      <c r="O949" s="102">
        <f>tbl_Companys!C949</f>
        <v>172254</v>
      </c>
      <c r="P949" s="102" t="str">
        <f t="shared" si="43"/>
        <v>Samferdselsetaten, Oslo kommune</v>
      </c>
      <c r="Q949" s="102">
        <f>tbl_ConsultingCompanys!D949</f>
        <v>0</v>
      </c>
      <c r="R949" s="102">
        <f>tbl_ConsultingCompanys!C949</f>
        <v>0</v>
      </c>
      <c r="S949" s="102">
        <f t="shared" si="44"/>
        <v>0</v>
      </c>
    </row>
    <row r="950" spans="11:19" x14ac:dyDescent="0.15">
      <c r="K950" s="102">
        <f>tbl_ArchitectureOffices!D950</f>
        <v>0</v>
      </c>
      <c r="L950" s="102">
        <f>tbl_ArchitectureOffices!C950</f>
        <v>0</v>
      </c>
      <c r="M950" s="102">
        <f t="shared" si="42"/>
        <v>0</v>
      </c>
      <c r="N950" s="102" t="str">
        <f>tbl_Companys!D950</f>
        <v>Samnanger kommune</v>
      </c>
      <c r="O950" s="102">
        <f>tbl_Companys!C950</f>
        <v>160602</v>
      </c>
      <c r="P950" s="102" t="str">
        <f t="shared" si="43"/>
        <v>Samnanger kommune</v>
      </c>
      <c r="Q950" s="102">
        <f>tbl_ConsultingCompanys!D950</f>
        <v>0</v>
      </c>
      <c r="R950" s="102">
        <f>tbl_ConsultingCompanys!C950</f>
        <v>0</v>
      </c>
      <c r="S950" s="102">
        <f t="shared" si="44"/>
        <v>0</v>
      </c>
    </row>
    <row r="951" spans="11:19" x14ac:dyDescent="0.15">
      <c r="K951" s="102">
        <f>tbl_ArchitectureOffices!D951</f>
        <v>0</v>
      </c>
      <c r="L951" s="102">
        <f>tbl_ArchitectureOffices!C951</f>
        <v>0</v>
      </c>
      <c r="M951" s="102">
        <f t="shared" si="42"/>
        <v>0</v>
      </c>
      <c r="N951" s="102" t="str">
        <f>tbl_Companys!D951</f>
        <v>Sandbakk &amp; Pettersen Arkitekter AS</v>
      </c>
      <c r="O951" s="102">
        <f>tbl_Companys!C951</f>
        <v>199606</v>
      </c>
      <c r="P951" s="102" t="str">
        <f t="shared" si="43"/>
        <v>Sandbakk &amp; Pettersen Arkitekter AS</v>
      </c>
      <c r="Q951" s="102">
        <f>tbl_ConsultingCompanys!D951</f>
        <v>0</v>
      </c>
      <c r="R951" s="102">
        <f>tbl_ConsultingCompanys!C951</f>
        <v>0</v>
      </c>
      <c r="S951" s="102">
        <f t="shared" si="44"/>
        <v>0</v>
      </c>
    </row>
    <row r="952" spans="11:19" x14ac:dyDescent="0.15">
      <c r="K952" s="102">
        <f>tbl_ArchitectureOffices!D952</f>
        <v>0</v>
      </c>
      <c r="L952" s="102">
        <f>tbl_ArchitectureOffices!C952</f>
        <v>0</v>
      </c>
      <c r="M952" s="102">
        <f t="shared" si="42"/>
        <v>0</v>
      </c>
      <c r="N952" s="102" t="str">
        <f>tbl_Companys!D952</f>
        <v>Sandnes kommune</v>
      </c>
      <c r="O952" s="102">
        <f>tbl_Companys!C952</f>
        <v>158019</v>
      </c>
      <c r="P952" s="102" t="str">
        <f t="shared" si="43"/>
        <v>Sandnes kommune</v>
      </c>
      <c r="Q952" s="102">
        <f>tbl_ConsultingCompanys!D952</f>
        <v>0</v>
      </c>
      <c r="R952" s="102">
        <f>tbl_ConsultingCompanys!C952</f>
        <v>0</v>
      </c>
      <c r="S952" s="102">
        <f t="shared" si="44"/>
        <v>0</v>
      </c>
    </row>
    <row r="953" spans="11:19" x14ac:dyDescent="0.15">
      <c r="K953" s="102">
        <f>tbl_ArchitectureOffices!D953</f>
        <v>0</v>
      </c>
      <c r="L953" s="102">
        <f>tbl_ArchitectureOffices!C953</f>
        <v>0</v>
      </c>
      <c r="M953" s="102">
        <f t="shared" si="42"/>
        <v>0</v>
      </c>
      <c r="N953" s="102" t="str">
        <f>tbl_Companys!D953</f>
        <v>Sandnes Kommune (Ragna Stakland)</v>
      </c>
      <c r="O953" s="102">
        <f>tbl_Companys!C953</f>
        <v>162854</v>
      </c>
      <c r="P953" s="102" t="str">
        <f t="shared" si="43"/>
        <v>Sandnes Kommune (Ragna Stakland)</v>
      </c>
      <c r="Q953" s="102">
        <f>tbl_ConsultingCompanys!D953</f>
        <v>0</v>
      </c>
      <c r="R953" s="102">
        <f>tbl_ConsultingCompanys!C953</f>
        <v>0</v>
      </c>
      <c r="S953" s="102">
        <f t="shared" si="44"/>
        <v>0</v>
      </c>
    </row>
    <row r="954" spans="11:19" x14ac:dyDescent="0.15">
      <c r="K954" s="102">
        <f>tbl_ArchitectureOffices!D954</f>
        <v>0</v>
      </c>
      <c r="L954" s="102">
        <f>tbl_ArchitectureOffices!C954</f>
        <v>0</v>
      </c>
      <c r="M954" s="102">
        <f t="shared" si="42"/>
        <v>0</v>
      </c>
      <c r="N954" s="102" t="str">
        <f>tbl_Companys!D954</f>
        <v xml:space="preserve">Sandvik, Siv. ark. mnal Jarle </v>
      </c>
      <c r="O954" s="102">
        <f>tbl_Companys!C954</f>
        <v>172890</v>
      </c>
      <c r="P954" s="102" t="str">
        <f t="shared" si="43"/>
        <v>Sandvik, Siv. ark. mnal Jarle</v>
      </c>
      <c r="Q954" s="102">
        <f>tbl_ConsultingCompanys!D954</f>
        <v>0</v>
      </c>
      <c r="R954" s="102">
        <f>tbl_ConsultingCompanys!C954</f>
        <v>0</v>
      </c>
      <c r="S954" s="102">
        <f t="shared" si="44"/>
        <v>0</v>
      </c>
    </row>
    <row r="955" spans="11:19" x14ac:dyDescent="0.15">
      <c r="K955" s="102">
        <f>tbl_ArchitectureOffices!D955</f>
        <v>0</v>
      </c>
      <c r="L955" s="102">
        <f>tbl_ArchitectureOffices!C955</f>
        <v>0</v>
      </c>
      <c r="M955" s="102">
        <f t="shared" si="42"/>
        <v>0</v>
      </c>
      <c r="N955" s="102" t="str">
        <f>tbl_Companys!D955</f>
        <v>Sandås bygg AS</v>
      </c>
      <c r="O955" s="102">
        <f>tbl_Companys!C955</f>
        <v>112304</v>
      </c>
      <c r="P955" s="102" t="str">
        <f t="shared" si="43"/>
        <v>Sandås bygg AS</v>
      </c>
      <c r="Q955" s="102">
        <f>tbl_ConsultingCompanys!D955</f>
        <v>0</v>
      </c>
      <c r="R955" s="102">
        <f>tbl_ConsultingCompanys!C955</f>
        <v>0</v>
      </c>
      <c r="S955" s="102">
        <f t="shared" si="44"/>
        <v>0</v>
      </c>
    </row>
    <row r="956" spans="11:19" x14ac:dyDescent="0.15">
      <c r="K956" s="102">
        <f>tbl_ArchitectureOffices!D956</f>
        <v>0</v>
      </c>
      <c r="L956" s="102">
        <f>tbl_ArchitectureOffices!C956</f>
        <v>0</v>
      </c>
      <c r="M956" s="102">
        <f t="shared" si="42"/>
        <v>0</v>
      </c>
      <c r="N956" s="102" t="str">
        <f>tbl_Companys!D956</f>
        <v>SAPA (dører og vinduer)</v>
      </c>
      <c r="O956" s="102">
        <f>tbl_Companys!C956</f>
        <v>205249</v>
      </c>
      <c r="P956" s="102" t="str">
        <f t="shared" si="43"/>
        <v>SAPA (dører og vinduer)</v>
      </c>
      <c r="Q956" s="102">
        <f>tbl_ConsultingCompanys!D956</f>
        <v>0</v>
      </c>
      <c r="R956" s="102">
        <f>tbl_ConsultingCompanys!C956</f>
        <v>0</v>
      </c>
      <c r="S956" s="102">
        <f t="shared" si="44"/>
        <v>0</v>
      </c>
    </row>
    <row r="957" spans="11:19" x14ac:dyDescent="0.15">
      <c r="K957" s="102">
        <f>tbl_ArchitectureOffices!D957</f>
        <v>0</v>
      </c>
      <c r="L957" s="102">
        <f>tbl_ArchitectureOffices!C957</f>
        <v>0</v>
      </c>
      <c r="M957" s="102">
        <f t="shared" si="42"/>
        <v>0</v>
      </c>
      <c r="N957" s="102" t="str">
        <f>tbl_Companys!D957</f>
        <v>Saunders Arkitektur AS</v>
      </c>
      <c r="O957" s="102">
        <f>tbl_Companys!C957</f>
        <v>166623</v>
      </c>
      <c r="P957" s="102" t="str">
        <f t="shared" si="43"/>
        <v>Saunders Arkitektur AS</v>
      </c>
      <c r="Q957" s="102">
        <f>tbl_ConsultingCompanys!D957</f>
        <v>0</v>
      </c>
      <c r="R957" s="102">
        <f>tbl_ConsultingCompanys!C957</f>
        <v>0</v>
      </c>
      <c r="S957" s="102">
        <f t="shared" si="44"/>
        <v>0</v>
      </c>
    </row>
    <row r="958" spans="11:19" x14ac:dyDescent="0.15">
      <c r="K958" s="102">
        <f>tbl_ArchitectureOffices!D958</f>
        <v>0</v>
      </c>
      <c r="L958" s="102">
        <f>tbl_ArchitectureOffices!C958</f>
        <v>0</v>
      </c>
      <c r="M958" s="102">
        <f t="shared" si="42"/>
        <v>0</v>
      </c>
      <c r="N958" s="102" t="str">
        <f>tbl_Companys!D958</f>
        <v>Scala arkitekter AS</v>
      </c>
      <c r="O958" s="102">
        <f>tbl_Companys!C958</f>
        <v>166622</v>
      </c>
      <c r="P958" s="102" t="str">
        <f t="shared" si="43"/>
        <v>Scala arkitekter AS</v>
      </c>
      <c r="Q958" s="102">
        <f>tbl_ConsultingCompanys!D958</f>
        <v>0</v>
      </c>
      <c r="R958" s="102">
        <f>tbl_ConsultingCompanys!C958</f>
        <v>0</v>
      </c>
      <c r="S958" s="102">
        <f t="shared" si="44"/>
        <v>0</v>
      </c>
    </row>
    <row r="959" spans="11:19" x14ac:dyDescent="0.15">
      <c r="K959" s="102">
        <f>tbl_ArchitectureOffices!D959</f>
        <v>0</v>
      </c>
      <c r="L959" s="102">
        <f>tbl_ArchitectureOffices!C959</f>
        <v>0</v>
      </c>
      <c r="M959" s="102">
        <f t="shared" si="42"/>
        <v>0</v>
      </c>
      <c r="N959" s="102" t="str">
        <f>tbl_Companys!D959</f>
        <v xml:space="preserve">Scandiaconsult </v>
      </c>
      <c r="O959" s="102">
        <f>tbl_Companys!C959</f>
        <v>98705</v>
      </c>
      <c r="P959" s="102" t="str">
        <f t="shared" si="43"/>
        <v>Scandiaconsult</v>
      </c>
      <c r="Q959" s="102">
        <f>tbl_ConsultingCompanys!D959</f>
        <v>0</v>
      </c>
      <c r="R959" s="102">
        <f>tbl_ConsultingCompanys!C959</f>
        <v>0</v>
      </c>
      <c r="S959" s="102">
        <f t="shared" si="44"/>
        <v>0</v>
      </c>
    </row>
    <row r="960" spans="11:19" x14ac:dyDescent="0.15">
      <c r="K960" s="102">
        <f>tbl_ArchitectureOffices!D960</f>
        <v>0</v>
      </c>
      <c r="L960" s="102">
        <f>tbl_ArchitectureOffices!C960</f>
        <v>0</v>
      </c>
      <c r="M960" s="102">
        <f t="shared" si="42"/>
        <v>0</v>
      </c>
      <c r="N960" s="102" t="str">
        <f>tbl_Companys!D960</f>
        <v>Scandic Oslo Airport</v>
      </c>
      <c r="O960" s="102">
        <f>tbl_Companys!C960</f>
        <v>228616</v>
      </c>
      <c r="P960" s="102" t="str">
        <f t="shared" si="43"/>
        <v>Scandic Oslo Airport</v>
      </c>
      <c r="Q960" s="102">
        <f>tbl_ConsultingCompanys!D960</f>
        <v>0</v>
      </c>
      <c r="R960" s="102">
        <f>tbl_ConsultingCompanys!C960</f>
        <v>0</v>
      </c>
      <c r="S960" s="102">
        <f t="shared" si="44"/>
        <v>0</v>
      </c>
    </row>
    <row r="961" spans="11:19" x14ac:dyDescent="0.15">
      <c r="K961" s="102">
        <f>tbl_ArchitectureOffices!D961</f>
        <v>0</v>
      </c>
      <c r="L961" s="102">
        <f>tbl_ArchitectureOffices!C961</f>
        <v>0</v>
      </c>
      <c r="M961" s="102">
        <f t="shared" si="42"/>
        <v>0</v>
      </c>
      <c r="N961" s="102" t="str">
        <f>tbl_Companys!D961</f>
        <v xml:space="preserve">SCC AS </v>
      </c>
      <c r="O961" s="102">
        <f>tbl_Companys!C961</f>
        <v>110988</v>
      </c>
      <c r="P961" s="102" t="str">
        <f t="shared" si="43"/>
        <v>SCC AS</v>
      </c>
      <c r="Q961" s="102">
        <f>tbl_ConsultingCompanys!D961</f>
        <v>0</v>
      </c>
      <c r="R961" s="102">
        <f>tbl_ConsultingCompanys!C961</f>
        <v>0</v>
      </c>
      <c r="S961" s="102">
        <f t="shared" si="44"/>
        <v>0</v>
      </c>
    </row>
    <row r="962" spans="11:19" x14ac:dyDescent="0.15">
      <c r="K962" s="102">
        <f>tbl_ArchitectureOffices!D962</f>
        <v>0</v>
      </c>
      <c r="L962" s="102">
        <f>tbl_ArchitectureOffices!C962</f>
        <v>0</v>
      </c>
      <c r="M962" s="102">
        <f t="shared" si="42"/>
        <v>0</v>
      </c>
      <c r="N962" s="102" t="str">
        <f>tbl_Companys!D962</f>
        <v>Scenario</v>
      </c>
      <c r="O962" s="102">
        <f>tbl_Companys!C962</f>
        <v>235782</v>
      </c>
      <c r="P962" s="102" t="str">
        <f t="shared" si="43"/>
        <v>Scenario</v>
      </c>
      <c r="Q962" s="102">
        <f>tbl_ConsultingCompanys!D962</f>
        <v>0</v>
      </c>
      <c r="R962" s="102">
        <f>tbl_ConsultingCompanys!C962</f>
        <v>0</v>
      </c>
      <c r="S962" s="102">
        <f t="shared" si="44"/>
        <v>0</v>
      </c>
    </row>
    <row r="963" spans="11:19" x14ac:dyDescent="0.15">
      <c r="K963" s="102">
        <f>tbl_ArchitectureOffices!D963</f>
        <v>0</v>
      </c>
      <c r="L963" s="102">
        <f>tbl_ArchitectureOffices!C963</f>
        <v>0</v>
      </c>
      <c r="M963" s="102">
        <f t="shared" ref="M963:M1026" si="45">IFERROR(REPLACE(K963,FIND(" ",K963,LEN(K963)),1,""),K963)</f>
        <v>0</v>
      </c>
      <c r="N963" s="102" t="str">
        <f>tbl_Companys!D963</f>
        <v xml:space="preserve">Schjelderup AS sivilarkitekter MNAL NPA, Helge </v>
      </c>
      <c r="O963" s="102">
        <f>tbl_Companys!C963</f>
        <v>172786</v>
      </c>
      <c r="P963" s="102" t="str">
        <f t="shared" ref="P963:P1026" si="46">IFERROR(REPLACE(N963,FIND(" ",N963,LEN(N963)),1,""),N963)</f>
        <v>Schjelderup AS sivilarkitekter MNAL NPA, Helge</v>
      </c>
      <c r="Q963" s="102">
        <f>tbl_ConsultingCompanys!D963</f>
        <v>0</v>
      </c>
      <c r="R963" s="102">
        <f>tbl_ConsultingCompanys!C963</f>
        <v>0</v>
      </c>
      <c r="S963" s="102">
        <f t="shared" ref="S963:S1026" si="47">IFERROR(REPLACE(Q963,FIND(" ",Q963,LEN(Q963)),1,""),Q963)</f>
        <v>0</v>
      </c>
    </row>
    <row r="964" spans="11:19" x14ac:dyDescent="0.15">
      <c r="K964" s="102">
        <f>tbl_ArchitectureOffices!D964</f>
        <v>0</v>
      </c>
      <c r="L964" s="102">
        <f>tbl_ArchitectureOffices!C964</f>
        <v>0</v>
      </c>
      <c r="M964" s="102">
        <f t="shared" si="45"/>
        <v>0</v>
      </c>
      <c r="N964" s="102" t="str">
        <f>tbl_Companys!D964</f>
        <v>Schmitthenner arkitekter</v>
      </c>
      <c r="O964" s="102">
        <f>tbl_Companys!C964</f>
        <v>177781</v>
      </c>
      <c r="P964" s="102" t="str">
        <f t="shared" si="46"/>
        <v>Schmitthenner arkitekter</v>
      </c>
      <c r="Q964" s="102">
        <f>tbl_ConsultingCompanys!D964</f>
        <v>0</v>
      </c>
      <c r="R964" s="102">
        <f>tbl_ConsultingCompanys!C964</f>
        <v>0</v>
      </c>
      <c r="S964" s="102">
        <f t="shared" si="47"/>
        <v>0</v>
      </c>
    </row>
    <row r="965" spans="11:19" x14ac:dyDescent="0.15">
      <c r="K965" s="102">
        <f>tbl_ArchitectureOffices!D965</f>
        <v>0</v>
      </c>
      <c r="L965" s="102">
        <f>tbl_ArchitectureOffices!C965</f>
        <v>0</v>
      </c>
      <c r="M965" s="102">
        <f t="shared" si="45"/>
        <v>0</v>
      </c>
      <c r="N965" s="102" t="str">
        <f>tbl_Companys!D965</f>
        <v xml:space="preserve">Schüco International KG </v>
      </c>
      <c r="O965" s="102">
        <f>tbl_Companys!C965</f>
        <v>162455</v>
      </c>
      <c r="P965" s="102" t="str">
        <f t="shared" si="46"/>
        <v>Schüco International KG</v>
      </c>
      <c r="Q965" s="102">
        <f>tbl_ConsultingCompanys!D965</f>
        <v>0</v>
      </c>
      <c r="R965" s="102">
        <f>tbl_ConsultingCompanys!C965</f>
        <v>0</v>
      </c>
      <c r="S965" s="102">
        <f t="shared" si="47"/>
        <v>0</v>
      </c>
    </row>
    <row r="966" spans="11:19" x14ac:dyDescent="0.15">
      <c r="K966" s="102">
        <f>tbl_ArchitectureOffices!D966</f>
        <v>0</v>
      </c>
      <c r="L966" s="102">
        <f>tbl_ArchitectureOffices!C966</f>
        <v>0</v>
      </c>
      <c r="M966" s="102">
        <f t="shared" si="45"/>
        <v>0</v>
      </c>
      <c r="N966" s="102" t="str">
        <f>tbl_Companys!D966</f>
        <v>Schønherr landskab KS</v>
      </c>
      <c r="O966" s="102">
        <f>tbl_Companys!C966</f>
        <v>245865</v>
      </c>
      <c r="P966" s="102" t="str">
        <f t="shared" si="46"/>
        <v>Schønherr landskab KS</v>
      </c>
      <c r="Q966" s="102">
        <f>tbl_ConsultingCompanys!D966</f>
        <v>0</v>
      </c>
      <c r="R966" s="102">
        <f>tbl_ConsultingCompanys!C966</f>
        <v>0</v>
      </c>
      <c r="S966" s="102">
        <f t="shared" si="47"/>
        <v>0</v>
      </c>
    </row>
    <row r="967" spans="11:19" x14ac:dyDescent="0.15">
      <c r="K967" s="102">
        <f>tbl_ArchitectureOffices!D967</f>
        <v>0</v>
      </c>
      <c r="L967" s="102">
        <f>tbl_ArchitectureOffices!C967</f>
        <v>0</v>
      </c>
      <c r="M967" s="102">
        <f t="shared" si="45"/>
        <v>0</v>
      </c>
      <c r="N967" s="102" t="str">
        <f>tbl_Companys!D967</f>
        <v>Seabrokers</v>
      </c>
      <c r="O967" s="102">
        <f>tbl_Companys!C967</f>
        <v>155927</v>
      </c>
      <c r="P967" s="102" t="str">
        <f t="shared" si="46"/>
        <v>Seabrokers</v>
      </c>
      <c r="Q967" s="102">
        <f>tbl_ConsultingCompanys!D967</f>
        <v>0</v>
      </c>
      <c r="R967" s="102">
        <f>tbl_ConsultingCompanys!C967</f>
        <v>0</v>
      </c>
      <c r="S967" s="102">
        <f t="shared" si="47"/>
        <v>0</v>
      </c>
    </row>
    <row r="968" spans="11:19" x14ac:dyDescent="0.15">
      <c r="K968" s="102">
        <f>tbl_ArchitectureOffices!D968</f>
        <v>0</v>
      </c>
      <c r="L968" s="102">
        <f>tbl_ArchitectureOffices!C968</f>
        <v>0</v>
      </c>
      <c r="M968" s="102">
        <f t="shared" si="45"/>
        <v>0</v>
      </c>
      <c r="N968" s="102" t="str">
        <f>tbl_Companys!D968</f>
        <v>SE-Arkitektur A/S</v>
      </c>
      <c r="O968" s="102">
        <f>tbl_Companys!C968</f>
        <v>166621</v>
      </c>
      <c r="P968" s="102" t="str">
        <f t="shared" si="46"/>
        <v>SE-Arkitektur A/S</v>
      </c>
      <c r="Q968" s="102">
        <f>tbl_ConsultingCompanys!D968</f>
        <v>0</v>
      </c>
      <c r="R968" s="102">
        <f>tbl_ConsultingCompanys!C968</f>
        <v>0</v>
      </c>
      <c r="S968" s="102">
        <f t="shared" si="47"/>
        <v>0</v>
      </c>
    </row>
    <row r="969" spans="11:19" x14ac:dyDescent="0.15">
      <c r="K969" s="102">
        <f>tbl_ArchitectureOffices!D969</f>
        <v>0</v>
      </c>
      <c r="L969" s="102">
        <f>tbl_ArchitectureOffices!C969</f>
        <v>0</v>
      </c>
      <c r="M969" s="102">
        <f t="shared" si="45"/>
        <v>0</v>
      </c>
      <c r="N969" s="102" t="str">
        <f>tbl_Companys!D969</f>
        <v>Seby AS</v>
      </c>
      <c r="O969" s="102">
        <f>tbl_Companys!C969</f>
        <v>121070</v>
      </c>
      <c r="P969" s="102" t="str">
        <f t="shared" si="46"/>
        <v>Seby AS</v>
      </c>
      <c r="Q969" s="102">
        <f>tbl_ConsultingCompanys!D969</f>
        <v>0</v>
      </c>
      <c r="R969" s="102">
        <f>tbl_ConsultingCompanys!C969</f>
        <v>0</v>
      </c>
      <c r="S969" s="102">
        <f t="shared" si="47"/>
        <v>0</v>
      </c>
    </row>
    <row r="970" spans="11:19" x14ac:dyDescent="0.15">
      <c r="K970" s="102">
        <f>tbl_ArchitectureOffices!D970</f>
        <v>0</v>
      </c>
      <c r="L970" s="102">
        <f>tbl_ArchitectureOffices!C970</f>
        <v>0</v>
      </c>
      <c r="M970" s="102">
        <f t="shared" si="45"/>
        <v>0</v>
      </c>
      <c r="N970" s="102" t="str">
        <f>tbl_Companys!D970</f>
        <v>Seko Elektro AS</v>
      </c>
      <c r="O970" s="102">
        <f>tbl_Companys!C970</f>
        <v>178584</v>
      </c>
      <c r="P970" s="102" t="str">
        <f t="shared" si="46"/>
        <v>Seko Elektro AS</v>
      </c>
      <c r="Q970" s="102">
        <f>tbl_ConsultingCompanys!D970</f>
        <v>0</v>
      </c>
      <c r="R970" s="102">
        <f>tbl_ConsultingCompanys!C970</f>
        <v>0</v>
      </c>
      <c r="S970" s="102">
        <f t="shared" si="47"/>
        <v>0</v>
      </c>
    </row>
    <row r="971" spans="11:19" x14ac:dyDescent="0.15">
      <c r="K971" s="102">
        <f>tbl_ArchitectureOffices!D971</f>
        <v>0</v>
      </c>
      <c r="L971" s="102">
        <f>tbl_ArchitectureOffices!C971</f>
        <v>0</v>
      </c>
      <c r="M971" s="102">
        <f t="shared" si="45"/>
        <v>0</v>
      </c>
      <c r="N971" s="102" t="str">
        <f>tbl_Companys!D971</f>
        <v>Selberg Arkitekter AS</v>
      </c>
      <c r="O971" s="102">
        <f>tbl_Companys!C971</f>
        <v>166619</v>
      </c>
      <c r="P971" s="102" t="str">
        <f t="shared" si="46"/>
        <v>Selberg Arkitekter AS</v>
      </c>
      <c r="Q971" s="102">
        <f>tbl_ConsultingCompanys!D971</f>
        <v>0</v>
      </c>
      <c r="R971" s="102">
        <f>tbl_ConsultingCompanys!C971</f>
        <v>0</v>
      </c>
      <c r="S971" s="102">
        <f t="shared" si="47"/>
        <v>0</v>
      </c>
    </row>
    <row r="972" spans="11:19" x14ac:dyDescent="0.15">
      <c r="K972" s="102">
        <f>tbl_ArchitectureOffices!D972</f>
        <v>0</v>
      </c>
      <c r="L972" s="102">
        <f>tbl_ArchitectureOffices!C972</f>
        <v>0</v>
      </c>
      <c r="M972" s="102">
        <f t="shared" si="45"/>
        <v>0</v>
      </c>
      <c r="N972" s="102" t="str">
        <f>tbl_Companys!D972</f>
        <v>Selmer AS</v>
      </c>
      <c r="O972" s="102">
        <f>tbl_Companys!C972</f>
        <v>97845</v>
      </c>
      <c r="P972" s="102" t="str">
        <f t="shared" si="46"/>
        <v>Selmer AS</v>
      </c>
      <c r="Q972" s="102">
        <f>tbl_ConsultingCompanys!D972</f>
        <v>0</v>
      </c>
      <c r="R972" s="102">
        <f>tbl_ConsultingCompanys!C972</f>
        <v>0</v>
      </c>
      <c r="S972" s="102">
        <f t="shared" si="47"/>
        <v>0</v>
      </c>
    </row>
    <row r="973" spans="11:19" x14ac:dyDescent="0.15">
      <c r="K973" s="102">
        <f>tbl_ArchitectureOffices!D973</f>
        <v>0</v>
      </c>
      <c r="L973" s="102">
        <f>tbl_ArchitectureOffices!C973</f>
        <v>0</v>
      </c>
      <c r="M973" s="102">
        <f t="shared" si="45"/>
        <v>0</v>
      </c>
      <c r="N973" s="102" t="str">
        <f>tbl_Companys!D973</f>
        <v>Selvaagbygg</v>
      </c>
      <c r="O973" s="102">
        <f>tbl_Companys!C973</f>
        <v>119895</v>
      </c>
      <c r="P973" s="102" t="str">
        <f t="shared" si="46"/>
        <v>Selvaagbygg</v>
      </c>
      <c r="Q973" s="102">
        <f>tbl_ConsultingCompanys!D973</f>
        <v>0</v>
      </c>
      <c r="R973" s="102">
        <f>tbl_ConsultingCompanys!C973</f>
        <v>0</v>
      </c>
      <c r="S973" s="102">
        <f t="shared" si="47"/>
        <v>0</v>
      </c>
    </row>
    <row r="974" spans="11:19" x14ac:dyDescent="0.15">
      <c r="K974" s="102">
        <f>tbl_ArchitectureOffices!D974</f>
        <v>0</v>
      </c>
      <c r="L974" s="102">
        <f>tbl_ArchitectureOffices!C974</f>
        <v>0</v>
      </c>
      <c r="M974" s="102">
        <f t="shared" si="45"/>
        <v>0</v>
      </c>
      <c r="N974" s="102" t="str">
        <f>tbl_Companys!D974</f>
        <v>Senterbygg Entreprenør AS</v>
      </c>
      <c r="O974" s="102">
        <f>tbl_Companys!C974</f>
        <v>248972</v>
      </c>
      <c r="P974" s="102" t="str">
        <f t="shared" si="46"/>
        <v>Senterbygg Entreprenør AS</v>
      </c>
      <c r="Q974" s="102">
        <f>tbl_ConsultingCompanys!D974</f>
        <v>0</v>
      </c>
      <c r="R974" s="102">
        <f>tbl_ConsultingCompanys!C974</f>
        <v>0</v>
      </c>
      <c r="S974" s="102">
        <f t="shared" si="47"/>
        <v>0</v>
      </c>
    </row>
    <row r="975" spans="11:19" x14ac:dyDescent="0.15">
      <c r="K975" s="102">
        <f>tbl_ArchitectureOffices!D975</f>
        <v>0</v>
      </c>
      <c r="L975" s="102">
        <f>tbl_ArchitectureOffices!C975</f>
        <v>0</v>
      </c>
      <c r="M975" s="102">
        <f t="shared" si="45"/>
        <v>0</v>
      </c>
      <c r="N975" s="102" t="str">
        <f>tbl_Companys!D975</f>
        <v>September Arkitekter</v>
      </c>
      <c r="O975" s="102">
        <f>tbl_Companys!C975</f>
        <v>213205</v>
      </c>
      <c r="P975" s="102" t="str">
        <f t="shared" si="46"/>
        <v>September Arkitekter</v>
      </c>
      <c r="Q975" s="102">
        <f>tbl_ConsultingCompanys!D975</f>
        <v>0</v>
      </c>
      <c r="R975" s="102">
        <f>tbl_ConsultingCompanys!C975</f>
        <v>0</v>
      </c>
      <c r="S975" s="102">
        <f t="shared" si="47"/>
        <v>0</v>
      </c>
    </row>
    <row r="976" spans="11:19" x14ac:dyDescent="0.15">
      <c r="K976" s="102">
        <f>tbl_ArchitectureOffices!D976</f>
        <v>0</v>
      </c>
      <c r="L976" s="102">
        <f>tbl_ArchitectureOffices!C976</f>
        <v>0</v>
      </c>
      <c r="M976" s="102">
        <f t="shared" si="45"/>
        <v>0</v>
      </c>
      <c r="N976" s="102" t="str">
        <f>tbl_Companys!D976</f>
        <v>SFS intec AS</v>
      </c>
      <c r="O976" s="102">
        <f>tbl_Companys!C976</f>
        <v>193872</v>
      </c>
      <c r="P976" s="102" t="str">
        <f t="shared" si="46"/>
        <v>SFS intec AS</v>
      </c>
      <c r="Q976" s="102">
        <f>tbl_ConsultingCompanys!D976</f>
        <v>0</v>
      </c>
      <c r="R976" s="102">
        <f>tbl_ConsultingCompanys!C976</f>
        <v>0</v>
      </c>
      <c r="S976" s="102">
        <f t="shared" si="47"/>
        <v>0</v>
      </c>
    </row>
    <row r="977" spans="11:19" x14ac:dyDescent="0.15">
      <c r="K977" s="102">
        <f>tbl_ArchitectureOffices!D977</f>
        <v>0</v>
      </c>
      <c r="L977" s="102">
        <f>tbl_ArchitectureOffices!C977</f>
        <v>0</v>
      </c>
      <c r="M977" s="102">
        <f t="shared" si="45"/>
        <v>0</v>
      </c>
      <c r="N977" s="102" t="str">
        <f>tbl_Companys!D977</f>
        <v>SG Arkitekter AS</v>
      </c>
      <c r="O977" s="102">
        <f>tbl_Companys!C977</f>
        <v>166618</v>
      </c>
      <c r="P977" s="102" t="str">
        <f t="shared" si="46"/>
        <v>SG Arkitekter AS</v>
      </c>
      <c r="Q977" s="102">
        <f>tbl_ConsultingCompanys!D977</f>
        <v>0</v>
      </c>
      <c r="R977" s="102">
        <f>tbl_ConsultingCompanys!C977</f>
        <v>0</v>
      </c>
      <c r="S977" s="102">
        <f t="shared" si="47"/>
        <v>0</v>
      </c>
    </row>
    <row r="978" spans="11:19" x14ac:dyDescent="0.15">
      <c r="K978" s="102">
        <f>tbl_ArchitectureOffices!D978</f>
        <v>0</v>
      </c>
      <c r="L978" s="102">
        <f>tbl_ArchitectureOffices!C978</f>
        <v>0</v>
      </c>
      <c r="M978" s="102">
        <f t="shared" si="45"/>
        <v>0</v>
      </c>
      <c r="N978" s="102" t="str">
        <f>tbl_Companys!D978</f>
        <v>Sig. Halvorsen (rørlegger)</v>
      </c>
      <c r="O978" s="102">
        <f>tbl_Companys!C978</f>
        <v>162881</v>
      </c>
      <c r="P978" s="102" t="str">
        <f t="shared" si="46"/>
        <v>Sig. Halvorsen (rørlegger)</v>
      </c>
      <c r="Q978" s="102">
        <f>tbl_ConsultingCompanys!D978</f>
        <v>0</v>
      </c>
      <c r="R978" s="102">
        <f>tbl_ConsultingCompanys!C978</f>
        <v>0</v>
      </c>
      <c r="S978" s="102">
        <f t="shared" si="47"/>
        <v>0</v>
      </c>
    </row>
    <row r="979" spans="11:19" x14ac:dyDescent="0.15">
      <c r="K979" s="102">
        <f>tbl_ArchitectureOffices!D979</f>
        <v>0</v>
      </c>
      <c r="L979" s="102">
        <f>tbl_ArchitectureOffices!C979</f>
        <v>0</v>
      </c>
      <c r="M979" s="102">
        <f t="shared" si="45"/>
        <v>0</v>
      </c>
      <c r="N979" s="102" t="str">
        <f>tbl_Companys!D979</f>
        <v>Signatur Arkitekter AS</v>
      </c>
      <c r="O979" s="102">
        <f>tbl_Companys!C979</f>
        <v>166617</v>
      </c>
      <c r="P979" s="102" t="str">
        <f t="shared" si="46"/>
        <v>Signatur Arkitekter AS</v>
      </c>
      <c r="Q979" s="102">
        <f>tbl_ConsultingCompanys!D979</f>
        <v>0</v>
      </c>
      <c r="R979" s="102">
        <f>tbl_ConsultingCompanys!C979</f>
        <v>0</v>
      </c>
      <c r="S979" s="102">
        <f t="shared" si="47"/>
        <v>0</v>
      </c>
    </row>
    <row r="980" spans="11:19" x14ac:dyDescent="0.15">
      <c r="K980" s="102">
        <f>tbl_ArchitectureOffices!D980</f>
        <v>0</v>
      </c>
      <c r="L980" s="102">
        <f>tbl_ArchitectureOffices!C980</f>
        <v>0</v>
      </c>
      <c r="M980" s="102">
        <f t="shared" si="45"/>
        <v>0</v>
      </c>
      <c r="N980" s="102" t="str">
        <f>tbl_Companys!D980</f>
        <v>Sigurd Eide</v>
      </c>
      <c r="O980" s="102">
        <f>tbl_Companys!C980</f>
        <v>204512</v>
      </c>
      <c r="P980" s="102" t="str">
        <f t="shared" si="46"/>
        <v>Sigurd Eide</v>
      </c>
      <c r="Q980" s="102">
        <f>tbl_ConsultingCompanys!D980</f>
        <v>0</v>
      </c>
      <c r="R980" s="102">
        <f>tbl_ConsultingCompanys!C980</f>
        <v>0</v>
      </c>
      <c r="S980" s="102">
        <f t="shared" si="47"/>
        <v>0</v>
      </c>
    </row>
    <row r="981" spans="11:19" x14ac:dyDescent="0.15">
      <c r="K981" s="102">
        <f>tbl_ArchitectureOffices!D981</f>
        <v>0</v>
      </c>
      <c r="L981" s="102">
        <f>tbl_ArchitectureOffices!C981</f>
        <v>0</v>
      </c>
      <c r="M981" s="102">
        <f t="shared" si="45"/>
        <v>0</v>
      </c>
      <c r="N981" s="102" t="str">
        <f>tbl_Companys!D981</f>
        <v>Simex AS</v>
      </c>
      <c r="O981" s="102">
        <f>tbl_Companys!C981</f>
        <v>97932</v>
      </c>
      <c r="P981" s="102" t="str">
        <f t="shared" si="46"/>
        <v>Simex AS</v>
      </c>
      <c r="Q981" s="102">
        <f>tbl_ConsultingCompanys!D981</f>
        <v>0</v>
      </c>
      <c r="R981" s="102">
        <f>tbl_ConsultingCompanys!C981</f>
        <v>0</v>
      </c>
      <c r="S981" s="102">
        <f t="shared" si="47"/>
        <v>0</v>
      </c>
    </row>
    <row r="982" spans="11:19" x14ac:dyDescent="0.15">
      <c r="K982" s="102">
        <f>tbl_ArchitectureOffices!D982</f>
        <v>0</v>
      </c>
      <c r="L982" s="102">
        <f>tbl_ArchitectureOffices!C982</f>
        <v>0</v>
      </c>
      <c r="M982" s="102">
        <f t="shared" si="45"/>
        <v>0</v>
      </c>
      <c r="N982" s="102" t="str">
        <f>tbl_Companys!D982</f>
        <v>SINTEF</v>
      </c>
      <c r="O982" s="102">
        <f>tbl_Companys!C982</f>
        <v>98459</v>
      </c>
      <c r="P982" s="102" t="str">
        <f t="shared" si="46"/>
        <v>SINTEF</v>
      </c>
      <c r="Q982" s="102">
        <f>tbl_ConsultingCompanys!D982</f>
        <v>0</v>
      </c>
      <c r="R982" s="102">
        <f>tbl_ConsultingCompanys!C982</f>
        <v>0</v>
      </c>
      <c r="S982" s="102">
        <f t="shared" si="47"/>
        <v>0</v>
      </c>
    </row>
    <row r="983" spans="11:19" x14ac:dyDescent="0.15">
      <c r="K983" s="102">
        <f>tbl_ArchitectureOffices!D983</f>
        <v>0</v>
      </c>
      <c r="L983" s="102">
        <f>tbl_ArchitectureOffices!C983</f>
        <v>0</v>
      </c>
      <c r="M983" s="102">
        <f t="shared" si="45"/>
        <v>0</v>
      </c>
      <c r="N983" s="102" t="str">
        <f>tbl_Companys!D983</f>
        <v>SINTEF (energiteknikk, byggteknikk)</v>
      </c>
      <c r="O983" s="102">
        <f>tbl_Companys!C983</f>
        <v>162918</v>
      </c>
      <c r="P983" s="102" t="str">
        <f t="shared" si="46"/>
        <v>SINTEF (energiteknikk, byggteknikk)</v>
      </c>
      <c r="Q983" s="102">
        <f>tbl_ConsultingCompanys!D983</f>
        <v>0</v>
      </c>
      <c r="R983" s="102">
        <f>tbl_ConsultingCompanys!C983</f>
        <v>0</v>
      </c>
      <c r="S983" s="102">
        <f t="shared" si="47"/>
        <v>0</v>
      </c>
    </row>
    <row r="984" spans="11:19" x14ac:dyDescent="0.15">
      <c r="K984" s="102">
        <f>tbl_ArchitectureOffices!D984</f>
        <v>0</v>
      </c>
      <c r="L984" s="102">
        <f>tbl_ArchitectureOffices!C984</f>
        <v>0</v>
      </c>
      <c r="M984" s="102">
        <f t="shared" si="45"/>
        <v>0</v>
      </c>
      <c r="N984" s="102" t="str">
        <f>tbl_Companys!D984</f>
        <v>SINTEF Byggforsk</v>
      </c>
      <c r="O984" s="102">
        <f>tbl_Companys!C984</f>
        <v>166300</v>
      </c>
      <c r="P984" s="102" t="str">
        <f t="shared" si="46"/>
        <v>SINTEF Byggforsk</v>
      </c>
      <c r="Q984" s="102">
        <f>tbl_ConsultingCompanys!D984</f>
        <v>0</v>
      </c>
      <c r="R984" s="102">
        <f>tbl_ConsultingCompanys!C984</f>
        <v>0</v>
      </c>
      <c r="S984" s="102">
        <f t="shared" si="47"/>
        <v>0</v>
      </c>
    </row>
    <row r="985" spans="11:19" x14ac:dyDescent="0.15">
      <c r="K985" s="102">
        <f>tbl_ArchitectureOffices!D985</f>
        <v>0</v>
      </c>
      <c r="L985" s="102">
        <f>tbl_ArchitectureOffices!C985</f>
        <v>0</v>
      </c>
      <c r="M985" s="102">
        <f t="shared" si="45"/>
        <v>0</v>
      </c>
      <c r="N985" s="102" t="str">
        <f>tbl_Companys!D985</f>
        <v>SINTEF Byggforsk</v>
      </c>
      <c r="O985" s="102">
        <f>tbl_Companys!C985</f>
        <v>193873</v>
      </c>
      <c r="P985" s="102" t="str">
        <f t="shared" si="46"/>
        <v>SINTEF Byggforsk</v>
      </c>
      <c r="Q985" s="102">
        <f>tbl_ConsultingCompanys!D985</f>
        <v>0</v>
      </c>
      <c r="R985" s="102">
        <f>tbl_ConsultingCompanys!C985</f>
        <v>0</v>
      </c>
      <c r="S985" s="102">
        <f t="shared" si="47"/>
        <v>0</v>
      </c>
    </row>
    <row r="986" spans="11:19" x14ac:dyDescent="0.15">
      <c r="K986" s="102">
        <f>tbl_ArchitectureOffices!D986</f>
        <v>0</v>
      </c>
      <c r="L986" s="102">
        <f>tbl_ArchitectureOffices!C986</f>
        <v>0</v>
      </c>
      <c r="M986" s="102">
        <f t="shared" si="45"/>
        <v>0</v>
      </c>
      <c r="N986" s="102" t="str">
        <f>tbl_Companys!D986</f>
        <v>Sinus AS</v>
      </c>
      <c r="O986" s="102">
        <f>tbl_Companys!C986</f>
        <v>217517</v>
      </c>
      <c r="P986" s="102" t="str">
        <f t="shared" si="46"/>
        <v>Sinus AS</v>
      </c>
      <c r="Q986" s="102">
        <f>tbl_ConsultingCompanys!D986</f>
        <v>0</v>
      </c>
      <c r="R986" s="102">
        <f>tbl_ConsultingCompanys!C986</f>
        <v>0</v>
      </c>
      <c r="S986" s="102">
        <f t="shared" si="47"/>
        <v>0</v>
      </c>
    </row>
    <row r="987" spans="11:19" x14ac:dyDescent="0.15">
      <c r="K987" s="102">
        <f>tbl_ArchitectureOffices!D987</f>
        <v>0</v>
      </c>
      <c r="L987" s="102">
        <f>tbl_ArchitectureOffices!C987</f>
        <v>0</v>
      </c>
      <c r="M987" s="102">
        <f t="shared" si="45"/>
        <v>0</v>
      </c>
      <c r="N987" s="102" t="str">
        <f>tbl_Companys!D987</f>
        <v>Sinus AS v/Tønnes Ognedal og Svein Folkvord (akustikk)</v>
      </c>
      <c r="O987" s="102">
        <f>tbl_Companys!C987</f>
        <v>172611</v>
      </c>
      <c r="P987" s="102" t="str">
        <f t="shared" si="46"/>
        <v>Sinus AS v/Tønnes Ognedal og Svein Folkvord (akustikk)</v>
      </c>
      <c r="Q987" s="102">
        <f>tbl_ConsultingCompanys!D987</f>
        <v>0</v>
      </c>
      <c r="R987" s="102">
        <f>tbl_ConsultingCompanys!C987</f>
        <v>0</v>
      </c>
      <c r="S987" s="102">
        <f t="shared" si="47"/>
        <v>0</v>
      </c>
    </row>
    <row r="988" spans="11:19" x14ac:dyDescent="0.15">
      <c r="K988" s="102">
        <f>tbl_ArchitectureOffices!D988</f>
        <v>0</v>
      </c>
      <c r="L988" s="102">
        <f>tbl_ArchitectureOffices!C988</f>
        <v>0</v>
      </c>
      <c r="M988" s="102">
        <f t="shared" si="45"/>
        <v>0</v>
      </c>
      <c r="N988" s="102" t="str">
        <f>tbl_Companys!D988</f>
        <v>Sinus Elektro (Elektro)</v>
      </c>
      <c r="O988" s="102">
        <f>tbl_Companys!C988</f>
        <v>162872</v>
      </c>
      <c r="P988" s="102" t="str">
        <f t="shared" si="46"/>
        <v>Sinus Elektro (Elektro)</v>
      </c>
      <c r="Q988" s="102">
        <f>tbl_ConsultingCompanys!D988</f>
        <v>0</v>
      </c>
      <c r="R988" s="102">
        <f>tbl_ConsultingCompanys!C988</f>
        <v>0</v>
      </c>
      <c r="S988" s="102">
        <f t="shared" si="47"/>
        <v>0</v>
      </c>
    </row>
    <row r="989" spans="11:19" x14ac:dyDescent="0.15">
      <c r="K989" s="102">
        <f>tbl_ArchitectureOffices!D989</f>
        <v>0</v>
      </c>
      <c r="L989" s="102">
        <f>tbl_ArchitectureOffices!C989</f>
        <v>0</v>
      </c>
      <c r="M989" s="102">
        <f t="shared" si="45"/>
        <v>0</v>
      </c>
      <c r="N989" s="102" t="str">
        <f>tbl_Companys!D989</f>
        <v>SiT Eiendom</v>
      </c>
      <c r="O989" s="102">
        <f>tbl_Companys!C989</f>
        <v>165390</v>
      </c>
      <c r="P989" s="102" t="str">
        <f t="shared" si="46"/>
        <v>SiT Eiendom</v>
      </c>
      <c r="Q989" s="102">
        <f>tbl_ConsultingCompanys!D989</f>
        <v>0</v>
      </c>
      <c r="R989" s="102">
        <f>tbl_ConsultingCompanys!C989</f>
        <v>0</v>
      </c>
      <c r="S989" s="102">
        <f t="shared" si="47"/>
        <v>0</v>
      </c>
    </row>
    <row r="990" spans="11:19" x14ac:dyDescent="0.15">
      <c r="K990" s="102">
        <f>tbl_ArchitectureOffices!D990</f>
        <v>0</v>
      </c>
      <c r="L990" s="102">
        <f>tbl_ArchitectureOffices!C990</f>
        <v>0</v>
      </c>
      <c r="M990" s="102">
        <f t="shared" si="45"/>
        <v>0</v>
      </c>
      <c r="N990" s="102" t="str">
        <f>tbl_Companys!D990</f>
        <v>Siv ing Haug og Blom-Bakke AS</v>
      </c>
      <c r="O990" s="102">
        <f>tbl_Companys!C990</f>
        <v>172595</v>
      </c>
      <c r="P990" s="102" t="str">
        <f t="shared" si="46"/>
        <v>Siv ing Haug og Blom-Bakke AS</v>
      </c>
      <c r="Q990" s="102">
        <f>tbl_ConsultingCompanys!D990</f>
        <v>0</v>
      </c>
      <c r="R990" s="102">
        <f>tbl_ConsultingCompanys!C990</f>
        <v>0</v>
      </c>
      <c r="S990" s="102">
        <f t="shared" si="47"/>
        <v>0</v>
      </c>
    </row>
    <row r="991" spans="11:19" x14ac:dyDescent="0.15">
      <c r="K991" s="102">
        <f>tbl_ArchitectureOffices!D991</f>
        <v>0</v>
      </c>
      <c r="L991" s="102">
        <f>tbl_ArchitectureOffices!C991</f>
        <v>0</v>
      </c>
      <c r="M991" s="102">
        <f t="shared" si="45"/>
        <v>0</v>
      </c>
      <c r="N991" s="102" t="str">
        <f>tbl_Companys!D991</f>
        <v>Siv. ing. Karl Knudsen</v>
      </c>
      <c r="O991" s="102">
        <f>tbl_Companys!C991</f>
        <v>184492</v>
      </c>
      <c r="P991" s="102" t="str">
        <f t="shared" si="46"/>
        <v>Siv. ing. Karl Knudsen</v>
      </c>
      <c r="Q991" s="102">
        <f>tbl_ConsultingCompanys!D991</f>
        <v>0</v>
      </c>
      <c r="R991" s="102">
        <f>tbl_ConsultingCompanys!C991</f>
        <v>0</v>
      </c>
      <c r="S991" s="102">
        <f t="shared" si="47"/>
        <v>0</v>
      </c>
    </row>
    <row r="992" spans="11:19" x14ac:dyDescent="0.15">
      <c r="K992" s="102">
        <f>tbl_ArchitectureOffices!D992</f>
        <v>0</v>
      </c>
      <c r="L992" s="102">
        <f>tbl_ArchitectureOffices!C992</f>
        <v>0</v>
      </c>
      <c r="M992" s="102">
        <f t="shared" si="45"/>
        <v>0</v>
      </c>
      <c r="N992" s="102" t="str">
        <f>tbl_Companys!D992</f>
        <v>Siv. Ing. Netteberg AS (VVS)</v>
      </c>
      <c r="O992" s="102">
        <f>tbl_Companys!C992</f>
        <v>155175</v>
      </c>
      <c r="P992" s="102" t="str">
        <f t="shared" si="46"/>
        <v>Siv. Ing. Netteberg AS (VVS)</v>
      </c>
      <c r="Q992" s="102">
        <f>tbl_ConsultingCompanys!D992</f>
        <v>0</v>
      </c>
      <c r="R992" s="102">
        <f>tbl_ConsultingCompanys!C992</f>
        <v>0</v>
      </c>
      <c r="S992" s="102">
        <f t="shared" si="47"/>
        <v>0</v>
      </c>
    </row>
    <row r="993" spans="11:19" x14ac:dyDescent="0.15">
      <c r="K993" s="102">
        <f>tbl_ArchitectureOffices!D993</f>
        <v>0</v>
      </c>
      <c r="L993" s="102">
        <f>tbl_ArchitectureOffices!C993</f>
        <v>0</v>
      </c>
      <c r="M993" s="102">
        <f t="shared" si="45"/>
        <v>0</v>
      </c>
      <c r="N993" s="102" t="str">
        <f>tbl_Companys!D993</f>
        <v>Siv. Ing. P.O. Danielsen</v>
      </c>
      <c r="O993" s="102">
        <f>tbl_Companys!C993</f>
        <v>164718</v>
      </c>
      <c r="P993" s="102" t="str">
        <f t="shared" si="46"/>
        <v>Siv. Ing. P.O. Danielsen</v>
      </c>
      <c r="Q993" s="102">
        <f>tbl_ConsultingCompanys!D993</f>
        <v>0</v>
      </c>
      <c r="R993" s="102">
        <f>tbl_ConsultingCompanys!C993</f>
        <v>0</v>
      </c>
      <c r="S993" s="102">
        <f t="shared" si="47"/>
        <v>0</v>
      </c>
    </row>
    <row r="994" spans="11:19" x14ac:dyDescent="0.15">
      <c r="K994" s="102">
        <f>tbl_ArchitectureOffices!D994</f>
        <v>0</v>
      </c>
      <c r="L994" s="102">
        <f>tbl_ArchitectureOffices!C994</f>
        <v>0</v>
      </c>
      <c r="M994" s="102">
        <f t="shared" si="45"/>
        <v>0</v>
      </c>
      <c r="N994" s="102" t="str">
        <f>tbl_Companys!D994</f>
        <v>Siv. Ing. Trond Thorvaldsen AS</v>
      </c>
      <c r="O994" s="102">
        <f>tbl_Companys!C994</f>
        <v>204307</v>
      </c>
      <c r="P994" s="102" t="str">
        <f t="shared" si="46"/>
        <v>Siv. Ing. Trond Thorvaldsen AS</v>
      </c>
      <c r="Q994" s="102">
        <f>tbl_ConsultingCompanys!D994</f>
        <v>0</v>
      </c>
      <c r="R994" s="102">
        <f>tbl_ConsultingCompanys!C994</f>
        <v>0</v>
      </c>
      <c r="S994" s="102">
        <f t="shared" si="47"/>
        <v>0</v>
      </c>
    </row>
    <row r="995" spans="11:19" x14ac:dyDescent="0.15">
      <c r="K995" s="102">
        <f>tbl_ArchitectureOffices!D995</f>
        <v>0</v>
      </c>
      <c r="L995" s="102">
        <f>tbl_ArchitectureOffices!C995</f>
        <v>0</v>
      </c>
      <c r="M995" s="102">
        <f t="shared" si="45"/>
        <v>0</v>
      </c>
      <c r="N995" s="102" t="str">
        <f>tbl_Companys!D995</f>
        <v>Siv.Ing Knut Finseth AS (RIB)</v>
      </c>
      <c r="O995" s="102">
        <f>tbl_Companys!C995</f>
        <v>214145</v>
      </c>
      <c r="P995" s="102" t="str">
        <f t="shared" si="46"/>
        <v>Siv.Ing Knut Finseth AS (RIB)</v>
      </c>
      <c r="Q995" s="102">
        <f>tbl_ConsultingCompanys!D995</f>
        <v>0</v>
      </c>
      <c r="R995" s="102">
        <f>tbl_ConsultingCompanys!C995</f>
        <v>0</v>
      </c>
      <c r="S995" s="102">
        <f t="shared" si="47"/>
        <v>0</v>
      </c>
    </row>
    <row r="996" spans="11:19" x14ac:dyDescent="0.15">
      <c r="K996" s="102">
        <f>tbl_ArchitectureOffices!D996</f>
        <v>0</v>
      </c>
      <c r="L996" s="102">
        <f>tbl_ArchitectureOffices!C996</f>
        <v>0</v>
      </c>
      <c r="M996" s="102">
        <f t="shared" si="45"/>
        <v>0</v>
      </c>
      <c r="N996" s="102" t="str">
        <f>tbl_Companys!D996</f>
        <v>Siv.ing. Christian Svenkerud</v>
      </c>
      <c r="O996" s="102">
        <f>tbl_Companys!C996</f>
        <v>110760</v>
      </c>
      <c r="P996" s="102" t="str">
        <f t="shared" si="46"/>
        <v>Siv.ing. Christian Svenkerud</v>
      </c>
      <c r="Q996" s="102">
        <f>tbl_ConsultingCompanys!D996</f>
        <v>0</v>
      </c>
      <c r="R996" s="102">
        <f>tbl_ConsultingCompanys!C996</f>
        <v>0</v>
      </c>
      <c r="S996" s="102">
        <f t="shared" si="47"/>
        <v>0</v>
      </c>
    </row>
    <row r="997" spans="11:19" x14ac:dyDescent="0.15">
      <c r="K997" s="102">
        <f>tbl_ArchitectureOffices!D997</f>
        <v>0</v>
      </c>
      <c r="L997" s="102">
        <f>tbl_ArchitectureOffices!C997</f>
        <v>0</v>
      </c>
      <c r="M997" s="102">
        <f t="shared" si="45"/>
        <v>0</v>
      </c>
      <c r="N997" s="102" t="str">
        <f>tbl_Companys!D997</f>
        <v>Siv.ing. JP Dybdahl AS (RIV)</v>
      </c>
      <c r="O997" s="102">
        <f>tbl_Companys!C997</f>
        <v>202688</v>
      </c>
      <c r="P997" s="102" t="str">
        <f t="shared" si="46"/>
        <v>Siv.ing. JP Dybdahl AS (RIV)</v>
      </c>
      <c r="Q997" s="102">
        <f>tbl_ConsultingCompanys!D997</f>
        <v>0</v>
      </c>
      <c r="R997" s="102">
        <f>tbl_ConsultingCompanys!C997</f>
        <v>0</v>
      </c>
      <c r="S997" s="102">
        <f t="shared" si="47"/>
        <v>0</v>
      </c>
    </row>
    <row r="998" spans="11:19" x14ac:dyDescent="0.15">
      <c r="K998" s="102">
        <f>tbl_ArchitectureOffices!D998</f>
        <v>0</v>
      </c>
      <c r="L998" s="102">
        <f>tbl_ArchitectureOffices!C998</f>
        <v>0</v>
      </c>
      <c r="M998" s="102">
        <f t="shared" si="45"/>
        <v>0</v>
      </c>
      <c r="N998" s="102" t="str">
        <f>tbl_Companys!D998</f>
        <v>Siv.ing. P.O.Danielsen AS (RIB)</v>
      </c>
      <c r="O998" s="102">
        <f>tbl_Companys!C998</f>
        <v>208884</v>
      </c>
      <c r="P998" s="102" t="str">
        <f t="shared" si="46"/>
        <v>Siv.ing. P.O.Danielsen AS (RIB)</v>
      </c>
      <c r="Q998" s="102">
        <f>tbl_ConsultingCompanys!D998</f>
        <v>0</v>
      </c>
      <c r="R998" s="102">
        <f>tbl_ConsultingCompanys!C998</f>
        <v>0</v>
      </c>
      <c r="S998" s="102">
        <f t="shared" si="47"/>
        <v>0</v>
      </c>
    </row>
    <row r="999" spans="11:19" x14ac:dyDescent="0.15">
      <c r="K999" s="102">
        <f>tbl_ArchitectureOffices!D999</f>
        <v>0</v>
      </c>
      <c r="L999" s="102">
        <f>tbl_ArchitectureOffices!C999</f>
        <v>0</v>
      </c>
      <c r="M999" s="102">
        <f t="shared" si="45"/>
        <v>0</v>
      </c>
      <c r="N999" s="102" t="str">
        <f>tbl_Companys!D999</f>
        <v>Siv.ing. Terje Orlien AS</v>
      </c>
      <c r="O999" s="102">
        <f>tbl_Companys!C999</f>
        <v>119831</v>
      </c>
      <c r="P999" s="102" t="str">
        <f t="shared" si="46"/>
        <v>Siv.ing. Terje Orlien AS</v>
      </c>
      <c r="Q999" s="102">
        <f>tbl_ConsultingCompanys!D999</f>
        <v>0</v>
      </c>
      <c r="R999" s="102">
        <f>tbl_ConsultingCompanys!C999</f>
        <v>0</v>
      </c>
      <c r="S999" s="102">
        <f t="shared" si="47"/>
        <v>0</v>
      </c>
    </row>
    <row r="1000" spans="11:19" x14ac:dyDescent="0.15">
      <c r="K1000" s="102">
        <f>tbl_ArchitectureOffices!D1000</f>
        <v>0</v>
      </c>
      <c r="L1000" s="102">
        <f>tbl_ArchitectureOffices!C1000</f>
        <v>0</v>
      </c>
      <c r="M1000" s="102">
        <f t="shared" si="45"/>
        <v>0</v>
      </c>
      <c r="N1000" s="102" t="str">
        <f>tbl_Companys!D1000</f>
        <v>Siv.ing. Trond Amundsen AS (RIB)</v>
      </c>
      <c r="O1000" s="102">
        <f>tbl_Companys!C1000</f>
        <v>162915</v>
      </c>
      <c r="P1000" s="102" t="str">
        <f t="shared" si="46"/>
        <v>Siv.ing. Trond Amundsen AS (RIB)</v>
      </c>
      <c r="Q1000" s="102">
        <f>tbl_ConsultingCompanys!D1000</f>
        <v>0</v>
      </c>
      <c r="R1000" s="102">
        <f>tbl_ConsultingCompanys!C1000</f>
        <v>0</v>
      </c>
      <c r="S1000" s="102">
        <f t="shared" si="47"/>
        <v>0</v>
      </c>
    </row>
    <row r="1001" spans="11:19" x14ac:dyDescent="0.15">
      <c r="K1001" s="102">
        <f>tbl_ArchitectureOffices!D1001</f>
        <v>0</v>
      </c>
      <c r="L1001" s="102">
        <f>tbl_ArchitectureOffices!C1001</f>
        <v>0</v>
      </c>
      <c r="M1001" s="102">
        <f t="shared" si="45"/>
        <v>0</v>
      </c>
      <c r="N1001" s="102" t="str">
        <f>tbl_Companys!D1001</f>
        <v>Siv.Ing. Øyvind Berntsen AS (RIV)</v>
      </c>
      <c r="O1001" s="102">
        <f>tbl_Companys!C1001</f>
        <v>160691</v>
      </c>
      <c r="P1001" s="102" t="str">
        <f t="shared" si="46"/>
        <v>Siv.Ing. Øyvind Berntsen AS (RIV)</v>
      </c>
      <c r="Q1001" s="102">
        <f>tbl_ConsultingCompanys!D1001</f>
        <v>0</v>
      </c>
      <c r="R1001" s="102">
        <f>tbl_ConsultingCompanys!C1001</f>
        <v>0</v>
      </c>
      <c r="S1001" s="102">
        <f t="shared" si="47"/>
        <v>0</v>
      </c>
    </row>
    <row r="1002" spans="11:19" x14ac:dyDescent="0.15">
      <c r="K1002" s="102">
        <f>tbl_ArchitectureOffices!D1002</f>
        <v>0</v>
      </c>
      <c r="L1002" s="102">
        <f>tbl_ArchitectureOffices!C1002</f>
        <v>0</v>
      </c>
      <c r="M1002" s="102">
        <f t="shared" si="45"/>
        <v>0</v>
      </c>
      <c r="N1002" s="102" t="str">
        <f>tbl_Companys!D1002</f>
        <v>Sivilarkitekt Erik Ask</v>
      </c>
      <c r="O1002" s="102">
        <f>tbl_Companys!C1002</f>
        <v>160576</v>
      </c>
      <c r="P1002" s="102" t="str">
        <f t="shared" si="46"/>
        <v>Sivilarkitekt Erik Ask</v>
      </c>
      <c r="Q1002" s="102">
        <f>tbl_ConsultingCompanys!D1002</f>
        <v>0</v>
      </c>
      <c r="R1002" s="102">
        <f>tbl_ConsultingCompanys!C1002</f>
        <v>0</v>
      </c>
      <c r="S1002" s="102">
        <f t="shared" si="47"/>
        <v>0</v>
      </c>
    </row>
    <row r="1003" spans="11:19" x14ac:dyDescent="0.15">
      <c r="K1003" s="102">
        <f>tbl_ArchitectureOffices!D1003</f>
        <v>0</v>
      </c>
      <c r="L1003" s="102">
        <f>tbl_ArchitectureOffices!C1003</f>
        <v>0</v>
      </c>
      <c r="M1003" s="102">
        <f t="shared" si="45"/>
        <v>0</v>
      </c>
      <c r="N1003" s="102" t="str">
        <f>tbl_Companys!D1003</f>
        <v>Sivilarkitekt MNAL Randi Slåtten</v>
      </c>
      <c r="O1003" s="102">
        <f>tbl_Companys!C1003</f>
        <v>247055</v>
      </c>
      <c r="P1003" s="102" t="str">
        <f t="shared" si="46"/>
        <v>Sivilarkitekt MNAL Randi Slåtten</v>
      </c>
      <c r="Q1003" s="102">
        <f>tbl_ConsultingCompanys!D1003</f>
        <v>0</v>
      </c>
      <c r="R1003" s="102">
        <f>tbl_ConsultingCompanys!C1003</f>
        <v>0</v>
      </c>
      <c r="S1003" s="102">
        <f t="shared" si="47"/>
        <v>0</v>
      </c>
    </row>
    <row r="1004" spans="11:19" x14ac:dyDescent="0.15">
      <c r="K1004" s="102">
        <f>tbl_ArchitectureOffices!D1004</f>
        <v>0</v>
      </c>
      <c r="L1004" s="102">
        <f>tbl_ArchitectureOffices!C1004</f>
        <v>0</v>
      </c>
      <c r="M1004" s="102">
        <f t="shared" si="45"/>
        <v>0</v>
      </c>
      <c r="N1004" s="102" t="str">
        <f>tbl_Companys!D1004</f>
        <v>Sivilarkitekt MNAL Steinar Romedal AS</v>
      </c>
      <c r="O1004" s="102">
        <f>tbl_Companys!C1004</f>
        <v>238532</v>
      </c>
      <c r="P1004" s="102" t="str">
        <f t="shared" si="46"/>
        <v>Sivilarkitekt MNAL Steinar Romedal AS</v>
      </c>
      <c r="Q1004" s="102">
        <f>tbl_ConsultingCompanys!D1004</f>
        <v>0</v>
      </c>
      <c r="R1004" s="102">
        <f>tbl_ConsultingCompanys!C1004</f>
        <v>0</v>
      </c>
      <c r="S1004" s="102">
        <f t="shared" si="47"/>
        <v>0</v>
      </c>
    </row>
    <row r="1005" spans="11:19" x14ac:dyDescent="0.15">
      <c r="K1005" s="102">
        <f>tbl_ArchitectureOffices!D1005</f>
        <v>0</v>
      </c>
      <c r="L1005" s="102">
        <f>tbl_ArchitectureOffices!C1005</f>
        <v>0</v>
      </c>
      <c r="M1005" s="102">
        <f t="shared" si="45"/>
        <v>0</v>
      </c>
      <c r="N1005" s="102" t="str">
        <f>tbl_Companys!D1005</f>
        <v>Sivilarkitekt mnal Øyvind Poulsson</v>
      </c>
      <c r="O1005" s="102">
        <f>tbl_Companys!C1005</f>
        <v>198799</v>
      </c>
      <c r="P1005" s="102" t="str">
        <f t="shared" si="46"/>
        <v>Sivilarkitekt mnal Øyvind Poulsson</v>
      </c>
      <c r="Q1005" s="102">
        <f>tbl_ConsultingCompanys!D1005</f>
        <v>0</v>
      </c>
      <c r="R1005" s="102">
        <f>tbl_ConsultingCompanys!C1005</f>
        <v>0</v>
      </c>
      <c r="S1005" s="102">
        <f t="shared" si="47"/>
        <v>0</v>
      </c>
    </row>
    <row r="1006" spans="11:19" x14ac:dyDescent="0.15">
      <c r="K1006" s="102">
        <f>tbl_ArchitectureOffices!D1006</f>
        <v>0</v>
      </c>
      <c r="L1006" s="102">
        <f>tbl_ArchitectureOffices!C1006</f>
        <v>0</v>
      </c>
      <c r="M1006" s="102">
        <f t="shared" si="45"/>
        <v>0</v>
      </c>
      <c r="N1006" s="102" t="str">
        <f>tbl_Companys!D1006</f>
        <v>Sivilarkitekt Stein Stoknes MNAL</v>
      </c>
      <c r="O1006" s="102">
        <f>tbl_Companys!C1006</f>
        <v>234655</v>
      </c>
      <c r="P1006" s="102" t="str">
        <f t="shared" si="46"/>
        <v>Sivilarkitekt Stein Stoknes MNAL</v>
      </c>
      <c r="Q1006" s="102">
        <f>tbl_ConsultingCompanys!D1006</f>
        <v>0</v>
      </c>
      <c r="R1006" s="102">
        <f>tbl_ConsultingCompanys!C1006</f>
        <v>0</v>
      </c>
      <c r="S1006" s="102">
        <f t="shared" si="47"/>
        <v>0</v>
      </c>
    </row>
    <row r="1007" spans="11:19" x14ac:dyDescent="0.15">
      <c r="K1007" s="102">
        <f>tbl_ArchitectureOffices!D1007</f>
        <v>0</v>
      </c>
      <c r="L1007" s="102">
        <f>tbl_ArchitectureOffices!C1007</f>
        <v>0</v>
      </c>
      <c r="M1007" s="102">
        <f t="shared" si="45"/>
        <v>0</v>
      </c>
      <c r="N1007" s="102" t="str">
        <f>tbl_Companys!D1007</f>
        <v>Sivilarkitekt Tordis Hoem as</v>
      </c>
      <c r="O1007" s="102">
        <f>tbl_Companys!C1007</f>
        <v>171093</v>
      </c>
      <c r="P1007" s="102" t="str">
        <f t="shared" si="46"/>
        <v>Sivilarkitekt Tordis Hoem as</v>
      </c>
      <c r="Q1007" s="102">
        <f>tbl_ConsultingCompanys!D1007</f>
        <v>0</v>
      </c>
      <c r="R1007" s="102">
        <f>tbl_ConsultingCompanys!C1007</f>
        <v>0</v>
      </c>
      <c r="S1007" s="102">
        <f t="shared" si="47"/>
        <v>0</v>
      </c>
    </row>
    <row r="1008" spans="11:19" x14ac:dyDescent="0.15">
      <c r="K1008" s="102">
        <f>tbl_ArchitectureOffices!D1008</f>
        <v>0</v>
      </c>
      <c r="L1008" s="102">
        <f>tbl_ArchitectureOffices!C1008</f>
        <v>0</v>
      </c>
      <c r="M1008" s="102">
        <f t="shared" si="45"/>
        <v>0</v>
      </c>
      <c r="N1008" s="102" t="str">
        <f>tbl_Companys!D1008</f>
        <v xml:space="preserve">Sivilingeniørene Storkmoen og Hamre AS </v>
      </c>
      <c r="O1008" s="102">
        <f>tbl_Companys!C1008</f>
        <v>112147</v>
      </c>
      <c r="P1008" s="102" t="str">
        <f t="shared" si="46"/>
        <v>Sivilingeniørene Storkmoen og Hamre AS</v>
      </c>
      <c r="Q1008" s="102">
        <f>tbl_ConsultingCompanys!D1008</f>
        <v>0</v>
      </c>
      <c r="R1008" s="102">
        <f>tbl_ConsultingCompanys!C1008</f>
        <v>0</v>
      </c>
      <c r="S1008" s="102">
        <f t="shared" si="47"/>
        <v>0</v>
      </c>
    </row>
    <row r="1009" spans="11:19" x14ac:dyDescent="0.15">
      <c r="K1009" s="102">
        <f>tbl_ArchitectureOffices!D1009</f>
        <v>0</v>
      </c>
      <c r="L1009" s="102">
        <f>tbl_ArchitectureOffices!C1009</f>
        <v>0</v>
      </c>
      <c r="M1009" s="102">
        <f t="shared" si="45"/>
        <v>0</v>
      </c>
      <c r="N1009" s="102" t="str">
        <f>tbl_Companys!D1009</f>
        <v>Sjo Fasting Arkitekter</v>
      </c>
      <c r="O1009" s="102">
        <f>tbl_Companys!C1009</f>
        <v>245837</v>
      </c>
      <c r="P1009" s="102" t="str">
        <f t="shared" si="46"/>
        <v>Sjo Fasting Arkitekter</v>
      </c>
      <c r="Q1009" s="102">
        <f>tbl_ConsultingCompanys!D1009</f>
        <v>0</v>
      </c>
      <c r="R1009" s="102">
        <f>tbl_ConsultingCompanys!C1009</f>
        <v>0</v>
      </c>
      <c r="S1009" s="102">
        <f t="shared" si="47"/>
        <v>0</v>
      </c>
    </row>
    <row r="1010" spans="11:19" x14ac:dyDescent="0.15">
      <c r="K1010" s="102">
        <f>tbl_ArchitectureOffices!D1010</f>
        <v>0</v>
      </c>
      <c r="L1010" s="102">
        <f>tbl_ArchitectureOffices!C1010</f>
        <v>0</v>
      </c>
      <c r="M1010" s="102">
        <f t="shared" si="45"/>
        <v>0</v>
      </c>
      <c r="N1010" s="102" t="str">
        <f>tbl_Companys!D1010</f>
        <v>Sjåtil &amp; Fornæss AS</v>
      </c>
      <c r="O1010" s="102">
        <f>tbl_Companys!C1010</f>
        <v>250062</v>
      </c>
      <c r="P1010" s="102" t="str">
        <f t="shared" si="46"/>
        <v>Sjåtil &amp; Fornæss AS</v>
      </c>
      <c r="Q1010" s="102">
        <f>tbl_ConsultingCompanys!D1010</f>
        <v>0</v>
      </c>
      <c r="R1010" s="102">
        <f>tbl_ConsultingCompanys!C1010</f>
        <v>0</v>
      </c>
      <c r="S1010" s="102">
        <f t="shared" si="47"/>
        <v>0</v>
      </c>
    </row>
    <row r="1011" spans="11:19" x14ac:dyDescent="0.15">
      <c r="K1011" s="102">
        <f>tbl_ArchitectureOffices!D1011</f>
        <v>0</v>
      </c>
      <c r="L1011" s="102">
        <f>tbl_ArchitectureOffices!C1011</f>
        <v>0</v>
      </c>
      <c r="M1011" s="102">
        <f t="shared" si="45"/>
        <v>0</v>
      </c>
      <c r="N1011" s="102" t="str">
        <f>tbl_Companys!D1011</f>
        <v xml:space="preserve">Sjåvåg sivilarkitekt MNALm Helle </v>
      </c>
      <c r="O1011" s="102">
        <f>tbl_Companys!C1011</f>
        <v>166616</v>
      </c>
      <c r="P1011" s="102" t="str">
        <f t="shared" si="46"/>
        <v>Sjåvåg sivilarkitekt MNALm Helle</v>
      </c>
      <c r="Q1011" s="102">
        <f>tbl_ConsultingCompanys!D1011</f>
        <v>0</v>
      </c>
      <c r="R1011" s="102">
        <f>tbl_ConsultingCompanys!C1011</f>
        <v>0</v>
      </c>
      <c r="S1011" s="102">
        <f t="shared" si="47"/>
        <v>0</v>
      </c>
    </row>
    <row r="1012" spans="11:19" x14ac:dyDescent="0.15">
      <c r="K1012" s="102">
        <f>tbl_ArchitectureOffices!D1012</f>
        <v>0</v>
      </c>
      <c r="L1012" s="102">
        <f>tbl_ArchitectureOffices!C1012</f>
        <v>0</v>
      </c>
      <c r="M1012" s="102">
        <f t="shared" si="45"/>
        <v>0</v>
      </c>
      <c r="N1012" s="102" t="str">
        <f>tbl_Companys!D1012</f>
        <v>SK Langeland (byggeleder grunn &amp; betong)</v>
      </c>
      <c r="O1012" s="102">
        <f>tbl_Companys!C1012</f>
        <v>162877</v>
      </c>
      <c r="P1012" s="102" t="str">
        <f t="shared" si="46"/>
        <v>SK Langeland (byggeleder grunn &amp; betong)</v>
      </c>
      <c r="Q1012" s="102">
        <f>tbl_ConsultingCompanys!D1012</f>
        <v>0</v>
      </c>
      <c r="R1012" s="102">
        <f>tbl_ConsultingCompanys!C1012</f>
        <v>0</v>
      </c>
      <c r="S1012" s="102">
        <f t="shared" si="47"/>
        <v>0</v>
      </c>
    </row>
    <row r="1013" spans="11:19" x14ac:dyDescent="0.15">
      <c r="K1013" s="102">
        <f>tbl_ArchitectureOffices!D1013</f>
        <v>0</v>
      </c>
      <c r="L1013" s="102">
        <f>tbl_ArchitectureOffices!C1013</f>
        <v>0</v>
      </c>
      <c r="M1013" s="102">
        <f t="shared" si="45"/>
        <v>0</v>
      </c>
      <c r="N1013" s="102" t="str">
        <f>tbl_Companys!D1013</f>
        <v>Skaane Arkitektur + Design</v>
      </c>
      <c r="O1013" s="102">
        <f>tbl_Companys!C1013</f>
        <v>166612</v>
      </c>
      <c r="P1013" s="102" t="str">
        <f t="shared" si="46"/>
        <v>Skaane Arkitektur + Design</v>
      </c>
      <c r="Q1013" s="102">
        <f>tbl_ConsultingCompanys!D1013</f>
        <v>0</v>
      </c>
      <c r="R1013" s="102">
        <f>tbl_ConsultingCompanys!C1013</f>
        <v>0</v>
      </c>
      <c r="S1013" s="102">
        <f t="shared" si="47"/>
        <v>0</v>
      </c>
    </row>
    <row r="1014" spans="11:19" x14ac:dyDescent="0.15">
      <c r="K1014" s="102">
        <f>tbl_ArchitectureOffices!D1014</f>
        <v>0</v>
      </c>
      <c r="L1014" s="102">
        <f>tbl_ArchitectureOffices!C1014</f>
        <v>0</v>
      </c>
      <c r="M1014" s="102">
        <f t="shared" si="45"/>
        <v>0</v>
      </c>
      <c r="N1014" s="102" t="str">
        <f>tbl_Companys!D1014</f>
        <v>Skaara Arkitekter AS</v>
      </c>
      <c r="O1014" s="102">
        <f>tbl_Companys!C1014</f>
        <v>166523</v>
      </c>
      <c r="P1014" s="102" t="str">
        <f t="shared" si="46"/>
        <v>Skaara Arkitekter AS</v>
      </c>
      <c r="Q1014" s="102">
        <f>tbl_ConsultingCompanys!D1014</f>
        <v>0</v>
      </c>
      <c r="R1014" s="102">
        <f>tbl_ConsultingCompanys!C1014</f>
        <v>0</v>
      </c>
      <c r="S1014" s="102">
        <f t="shared" si="47"/>
        <v>0</v>
      </c>
    </row>
    <row r="1015" spans="11:19" x14ac:dyDescent="0.15">
      <c r="K1015" s="102">
        <f>tbl_ArchitectureOffices!D1015</f>
        <v>0</v>
      </c>
      <c r="L1015" s="102">
        <f>tbl_ArchitectureOffices!C1015</f>
        <v>0</v>
      </c>
      <c r="M1015" s="102">
        <f t="shared" si="45"/>
        <v>0</v>
      </c>
      <c r="N1015" s="102" t="str">
        <f>tbl_Companys!D1015</f>
        <v>Skaaret AS</v>
      </c>
      <c r="O1015" s="102">
        <f>tbl_Companys!C1015</f>
        <v>191906</v>
      </c>
      <c r="P1015" s="102" t="str">
        <f t="shared" si="46"/>
        <v>Skaaret AS</v>
      </c>
      <c r="Q1015" s="102">
        <f>tbl_ConsultingCompanys!D1015</f>
        <v>0</v>
      </c>
      <c r="R1015" s="102">
        <f>tbl_ConsultingCompanys!C1015</f>
        <v>0</v>
      </c>
      <c r="S1015" s="102">
        <f t="shared" si="47"/>
        <v>0</v>
      </c>
    </row>
    <row r="1016" spans="11:19" x14ac:dyDescent="0.15">
      <c r="K1016" s="102">
        <f>tbl_ArchitectureOffices!D1016</f>
        <v>0</v>
      </c>
      <c r="L1016" s="102">
        <f>tbl_ArchitectureOffices!C1016</f>
        <v>0</v>
      </c>
      <c r="M1016" s="102">
        <f t="shared" si="45"/>
        <v>0</v>
      </c>
      <c r="N1016" s="102" t="str">
        <f>tbl_Companys!D1016</f>
        <v>Skagenarkitektene</v>
      </c>
      <c r="O1016" s="102">
        <f>tbl_Companys!C1016</f>
        <v>166521</v>
      </c>
      <c r="P1016" s="102" t="str">
        <f t="shared" si="46"/>
        <v>Skagenarkitektene</v>
      </c>
      <c r="Q1016" s="102">
        <f>tbl_ConsultingCompanys!D1016</f>
        <v>0</v>
      </c>
      <c r="R1016" s="102">
        <f>tbl_ConsultingCompanys!C1016</f>
        <v>0</v>
      </c>
      <c r="S1016" s="102">
        <f t="shared" si="47"/>
        <v>0</v>
      </c>
    </row>
    <row r="1017" spans="11:19" x14ac:dyDescent="0.15">
      <c r="K1017" s="102">
        <f>tbl_ArchitectureOffices!D1017</f>
        <v>0</v>
      </c>
      <c r="L1017" s="102">
        <f>tbl_ArchitectureOffices!C1017</f>
        <v>0</v>
      </c>
      <c r="M1017" s="102">
        <f t="shared" si="45"/>
        <v>0</v>
      </c>
      <c r="N1017" s="102" t="str">
        <f>tbl_Companys!D1017</f>
        <v>Skagenarkitektene</v>
      </c>
      <c r="O1017" s="102">
        <f>tbl_Companys!C1017</f>
        <v>166614</v>
      </c>
      <c r="P1017" s="102" t="str">
        <f t="shared" si="46"/>
        <v>Skagenarkitektene</v>
      </c>
      <c r="Q1017" s="102">
        <f>tbl_ConsultingCompanys!D1017</f>
        <v>0</v>
      </c>
      <c r="R1017" s="102">
        <f>tbl_ConsultingCompanys!C1017</f>
        <v>0</v>
      </c>
      <c r="S1017" s="102">
        <f t="shared" si="47"/>
        <v>0</v>
      </c>
    </row>
    <row r="1018" spans="11:19" x14ac:dyDescent="0.15">
      <c r="K1018" s="102">
        <f>tbl_ArchitectureOffices!D1018</f>
        <v>0</v>
      </c>
      <c r="L1018" s="102">
        <f>tbl_ArchitectureOffices!C1018</f>
        <v>0</v>
      </c>
      <c r="M1018" s="102">
        <f t="shared" si="45"/>
        <v>0</v>
      </c>
      <c r="N1018" s="102" t="str">
        <f>tbl_Companys!D1018</f>
        <v>Skandinaviska Glassystem AB</v>
      </c>
      <c r="O1018" s="102">
        <f>tbl_Companys!C1018</f>
        <v>166655</v>
      </c>
      <c r="P1018" s="102" t="str">
        <f t="shared" si="46"/>
        <v>Skandinaviska Glassystem AB</v>
      </c>
      <c r="Q1018" s="102">
        <f>tbl_ConsultingCompanys!D1018</f>
        <v>0</v>
      </c>
      <c r="R1018" s="102">
        <f>tbl_ConsultingCompanys!C1018</f>
        <v>0</v>
      </c>
      <c r="S1018" s="102">
        <f t="shared" si="47"/>
        <v>0</v>
      </c>
    </row>
    <row r="1019" spans="11:19" x14ac:dyDescent="0.15">
      <c r="K1019" s="102">
        <f>tbl_ArchitectureOffices!D1019</f>
        <v>0</v>
      </c>
      <c r="L1019" s="102">
        <f>tbl_ArchitectureOffices!C1019</f>
        <v>0</v>
      </c>
      <c r="M1019" s="102">
        <f t="shared" si="45"/>
        <v>0</v>
      </c>
      <c r="N1019" s="102" t="str">
        <f>tbl_Companys!D1019</f>
        <v>Skansen AS</v>
      </c>
      <c r="O1019" s="102">
        <f>tbl_Companys!C1019</f>
        <v>160587</v>
      </c>
      <c r="P1019" s="102" t="str">
        <f t="shared" si="46"/>
        <v>Skansen AS</v>
      </c>
      <c r="Q1019" s="102">
        <f>tbl_ConsultingCompanys!D1019</f>
        <v>0</v>
      </c>
      <c r="R1019" s="102">
        <f>tbl_ConsultingCompanys!C1019</f>
        <v>0</v>
      </c>
      <c r="S1019" s="102">
        <f t="shared" si="47"/>
        <v>0</v>
      </c>
    </row>
    <row r="1020" spans="11:19" x14ac:dyDescent="0.15">
      <c r="K1020" s="102">
        <f>tbl_ArchitectureOffices!D1020</f>
        <v>0</v>
      </c>
      <c r="L1020" s="102">
        <f>tbl_ArchitectureOffices!C1020</f>
        <v>0</v>
      </c>
      <c r="M1020" s="102">
        <f t="shared" si="45"/>
        <v>0</v>
      </c>
      <c r="N1020" s="102" t="str">
        <f>tbl_Companys!D1020</f>
        <v>Skansen Consult AS</v>
      </c>
      <c r="O1020" s="102">
        <f>tbl_Companys!C1020</f>
        <v>236409</v>
      </c>
      <c r="P1020" s="102" t="str">
        <f t="shared" si="46"/>
        <v>Skansen Consult AS</v>
      </c>
      <c r="Q1020" s="102">
        <f>tbl_ConsultingCompanys!D1020</f>
        <v>0</v>
      </c>
      <c r="R1020" s="102">
        <f>tbl_ConsultingCompanys!C1020</f>
        <v>0</v>
      </c>
      <c r="S1020" s="102">
        <f t="shared" si="47"/>
        <v>0</v>
      </c>
    </row>
    <row r="1021" spans="11:19" x14ac:dyDescent="0.15">
      <c r="K1021" s="102">
        <f>tbl_ArchitectureOffices!D1021</f>
        <v>0</v>
      </c>
      <c r="L1021" s="102">
        <f>tbl_ArchitectureOffices!C1021</f>
        <v>0</v>
      </c>
      <c r="M1021" s="102">
        <f t="shared" si="45"/>
        <v>0</v>
      </c>
      <c r="N1021" s="102" t="str">
        <f>tbl_Companys!D1021</f>
        <v>Skanska AS</v>
      </c>
      <c r="O1021" s="102">
        <f>tbl_Companys!C1021</f>
        <v>160687</v>
      </c>
      <c r="P1021" s="102" t="str">
        <f t="shared" si="46"/>
        <v>Skanska AS</v>
      </c>
      <c r="Q1021" s="102">
        <f>tbl_ConsultingCompanys!D1021</f>
        <v>0</v>
      </c>
      <c r="R1021" s="102">
        <f>tbl_ConsultingCompanys!C1021</f>
        <v>0</v>
      </c>
      <c r="S1021" s="102">
        <f t="shared" si="47"/>
        <v>0</v>
      </c>
    </row>
    <row r="1022" spans="11:19" x14ac:dyDescent="0.15">
      <c r="K1022" s="102">
        <f>tbl_ArchitectureOffices!D1022</f>
        <v>0</v>
      </c>
      <c r="L1022" s="102">
        <f>tbl_ArchitectureOffices!C1022</f>
        <v>0</v>
      </c>
      <c r="M1022" s="102">
        <f t="shared" si="45"/>
        <v>0</v>
      </c>
      <c r="N1022" s="102" t="str">
        <f>tbl_Companys!D1022</f>
        <v>Skanska Eiendomsutvikling</v>
      </c>
      <c r="O1022" s="102">
        <f>tbl_Companys!C1022</f>
        <v>231962</v>
      </c>
      <c r="P1022" s="102" t="str">
        <f t="shared" si="46"/>
        <v>Skanska Eiendomsutvikling</v>
      </c>
      <c r="Q1022" s="102">
        <f>tbl_ConsultingCompanys!D1022</f>
        <v>0</v>
      </c>
      <c r="R1022" s="102">
        <f>tbl_ConsultingCompanys!C1022</f>
        <v>0</v>
      </c>
      <c r="S1022" s="102">
        <f t="shared" si="47"/>
        <v>0</v>
      </c>
    </row>
    <row r="1023" spans="11:19" x14ac:dyDescent="0.15">
      <c r="K1023" s="102">
        <f>tbl_ArchitectureOffices!D1023</f>
        <v>0</v>
      </c>
      <c r="L1023" s="102">
        <f>tbl_ArchitectureOffices!C1023</f>
        <v>0</v>
      </c>
      <c r="M1023" s="102">
        <f t="shared" si="45"/>
        <v>0</v>
      </c>
      <c r="N1023" s="102" t="str">
        <f>tbl_Companys!D1023</f>
        <v>Skanska KEB</v>
      </c>
      <c r="O1023" s="102">
        <f>tbl_Companys!C1023</f>
        <v>246725</v>
      </c>
      <c r="P1023" s="102" t="str">
        <f t="shared" si="46"/>
        <v>Skanska KEB</v>
      </c>
      <c r="Q1023" s="102">
        <f>tbl_ConsultingCompanys!D1023</f>
        <v>0</v>
      </c>
      <c r="R1023" s="102">
        <f>tbl_ConsultingCompanys!C1023</f>
        <v>0</v>
      </c>
      <c r="S1023" s="102">
        <f t="shared" si="47"/>
        <v>0</v>
      </c>
    </row>
    <row r="1024" spans="11:19" x14ac:dyDescent="0.15">
      <c r="K1024" s="102">
        <f>tbl_ArchitectureOffices!D1024</f>
        <v>0</v>
      </c>
      <c r="L1024" s="102">
        <f>tbl_ArchitectureOffices!C1024</f>
        <v>0</v>
      </c>
      <c r="M1024" s="102">
        <f t="shared" si="45"/>
        <v>0</v>
      </c>
      <c r="N1024" s="102" t="str">
        <f>tbl_Companys!D1024</f>
        <v>Skanska Region Bergen</v>
      </c>
      <c r="O1024" s="102">
        <f>tbl_Companys!C1024</f>
        <v>231965</v>
      </c>
      <c r="P1024" s="102" t="str">
        <f t="shared" si="46"/>
        <v>Skanska Region Bergen</v>
      </c>
      <c r="Q1024" s="102">
        <f>tbl_ConsultingCompanys!D1024</f>
        <v>0</v>
      </c>
      <c r="R1024" s="102">
        <f>tbl_ConsultingCompanys!C1024</f>
        <v>0</v>
      </c>
      <c r="S1024" s="102">
        <f t="shared" si="47"/>
        <v>0</v>
      </c>
    </row>
    <row r="1025" spans="11:19" x14ac:dyDescent="0.15">
      <c r="K1025" s="102">
        <f>tbl_ArchitectureOffices!D1025</f>
        <v>0</v>
      </c>
      <c r="L1025" s="102">
        <f>tbl_ArchitectureOffices!C1025</f>
        <v>0</v>
      </c>
      <c r="M1025" s="102">
        <f t="shared" si="45"/>
        <v>0</v>
      </c>
      <c r="N1025" s="102" t="str">
        <f>tbl_Companys!D1025</f>
        <v>Skanska SPU</v>
      </c>
      <c r="O1025" s="102">
        <f>tbl_Companys!C1025</f>
        <v>246724</v>
      </c>
      <c r="P1025" s="102" t="str">
        <f t="shared" si="46"/>
        <v>Skanska SPU</v>
      </c>
      <c r="Q1025" s="102">
        <f>tbl_ConsultingCompanys!D1025</f>
        <v>0</v>
      </c>
      <c r="R1025" s="102">
        <f>tbl_ConsultingCompanys!C1025</f>
        <v>0</v>
      </c>
      <c r="S1025" s="102">
        <f t="shared" si="47"/>
        <v>0</v>
      </c>
    </row>
    <row r="1026" spans="11:19" x14ac:dyDescent="0.15">
      <c r="K1026" s="102">
        <f>tbl_ArchitectureOffices!D1026</f>
        <v>0</v>
      </c>
      <c r="L1026" s="102">
        <f>tbl_ArchitectureOffices!C1026</f>
        <v>0</v>
      </c>
      <c r="M1026" s="102">
        <f t="shared" si="45"/>
        <v>0</v>
      </c>
      <c r="N1026" s="102" t="str">
        <f>tbl_Companys!D1026</f>
        <v>Skanska Tekniske</v>
      </c>
      <c r="O1026" s="102">
        <f>tbl_Companys!C1026</f>
        <v>231964</v>
      </c>
      <c r="P1026" s="102" t="str">
        <f t="shared" si="46"/>
        <v>Skanska Tekniske</v>
      </c>
      <c r="Q1026" s="102">
        <f>tbl_ConsultingCompanys!D1026</f>
        <v>0</v>
      </c>
      <c r="R1026" s="102">
        <f>tbl_ConsultingCompanys!C1026</f>
        <v>0</v>
      </c>
      <c r="S1026" s="102">
        <f t="shared" si="47"/>
        <v>0</v>
      </c>
    </row>
    <row r="1027" spans="11:19" x14ac:dyDescent="0.15">
      <c r="K1027" s="102">
        <f>tbl_ArchitectureOffices!D1027</f>
        <v>0</v>
      </c>
      <c r="L1027" s="102">
        <f>tbl_ArchitectureOffices!C1027</f>
        <v>0</v>
      </c>
      <c r="M1027" s="102">
        <f t="shared" ref="M1027:M1090" si="48">IFERROR(REPLACE(K1027,FIND(" ",K1027,LEN(K1027)),1,""),K1027)</f>
        <v>0</v>
      </c>
      <c r="N1027" s="102" t="str">
        <f>tbl_Companys!D1027</f>
        <v>Skanska Tekniske Enteprise</v>
      </c>
      <c r="O1027" s="102">
        <f>tbl_Companys!C1027</f>
        <v>246726</v>
      </c>
      <c r="P1027" s="102" t="str">
        <f t="shared" ref="P1027:P1090" si="49">IFERROR(REPLACE(N1027,FIND(" ",N1027,LEN(N1027)),1,""),N1027)</f>
        <v>Skanska Tekniske Enteprise</v>
      </c>
      <c r="Q1027" s="102">
        <f>tbl_ConsultingCompanys!D1027</f>
        <v>0</v>
      </c>
      <c r="R1027" s="102">
        <f>tbl_ConsultingCompanys!C1027</f>
        <v>0</v>
      </c>
      <c r="S1027" s="102">
        <f t="shared" ref="S1027:S1090" si="50">IFERROR(REPLACE(Q1027,FIND(" ",Q1027,LEN(Q1027)),1,""),Q1027)</f>
        <v>0</v>
      </c>
    </row>
    <row r="1028" spans="11:19" x14ac:dyDescent="0.15">
      <c r="K1028" s="102">
        <f>tbl_ArchitectureOffices!D1028</f>
        <v>0</v>
      </c>
      <c r="L1028" s="102">
        <f>tbl_ArchitectureOffices!C1028</f>
        <v>0</v>
      </c>
      <c r="M1028" s="102">
        <f t="shared" si="48"/>
        <v>0</v>
      </c>
      <c r="N1028" s="102" t="str">
        <f>tbl_Companys!D1028</f>
        <v>Ski boligbyggelag</v>
      </c>
      <c r="O1028" s="102">
        <f>tbl_Companys!C1028</f>
        <v>160573</v>
      </c>
      <c r="P1028" s="102" t="str">
        <f t="shared" si="49"/>
        <v>Ski boligbyggelag</v>
      </c>
      <c r="Q1028" s="102">
        <f>tbl_ConsultingCompanys!D1028</f>
        <v>0</v>
      </c>
      <c r="R1028" s="102">
        <f>tbl_ConsultingCompanys!C1028</f>
        <v>0</v>
      </c>
      <c r="S1028" s="102">
        <f t="shared" si="50"/>
        <v>0</v>
      </c>
    </row>
    <row r="1029" spans="11:19" x14ac:dyDescent="0.15">
      <c r="K1029" s="102">
        <f>tbl_ArchitectureOffices!D1029</f>
        <v>0</v>
      </c>
      <c r="L1029" s="102">
        <f>tbl_ArchitectureOffices!C1029</f>
        <v>0</v>
      </c>
      <c r="M1029" s="102">
        <f t="shared" si="48"/>
        <v>0</v>
      </c>
      <c r="N1029" s="102" t="str">
        <f>tbl_Companys!D1029</f>
        <v>Skibnes Arkitekter AS</v>
      </c>
      <c r="O1029" s="102">
        <f>tbl_Companys!C1029</f>
        <v>249788</v>
      </c>
      <c r="P1029" s="102" t="str">
        <f t="shared" si="49"/>
        <v>Skibnes Arkitekter AS</v>
      </c>
      <c r="Q1029" s="102">
        <f>tbl_ConsultingCompanys!D1029</f>
        <v>0</v>
      </c>
      <c r="R1029" s="102">
        <f>tbl_ConsultingCompanys!C1029</f>
        <v>0</v>
      </c>
      <c r="S1029" s="102">
        <f t="shared" si="50"/>
        <v>0</v>
      </c>
    </row>
    <row r="1030" spans="11:19" x14ac:dyDescent="0.15">
      <c r="K1030" s="102">
        <f>tbl_ArchitectureOffices!D1030</f>
        <v>0</v>
      </c>
      <c r="L1030" s="102">
        <f>tbl_ArchitectureOffices!C1030</f>
        <v>0</v>
      </c>
      <c r="M1030" s="102">
        <f t="shared" si="48"/>
        <v>0</v>
      </c>
      <c r="N1030" s="102" t="str">
        <f>tbl_Companys!D1030</f>
        <v>Skien Kommune</v>
      </c>
      <c r="O1030" s="102">
        <f>tbl_Companys!C1030</f>
        <v>155980</v>
      </c>
      <c r="P1030" s="102" t="str">
        <f t="shared" si="49"/>
        <v>Skien Kommune</v>
      </c>
      <c r="Q1030" s="102">
        <f>tbl_ConsultingCompanys!D1030</f>
        <v>0</v>
      </c>
      <c r="R1030" s="102">
        <f>tbl_ConsultingCompanys!C1030</f>
        <v>0</v>
      </c>
      <c r="S1030" s="102">
        <f t="shared" si="50"/>
        <v>0</v>
      </c>
    </row>
    <row r="1031" spans="11:19" x14ac:dyDescent="0.15">
      <c r="K1031" s="102">
        <f>tbl_ArchitectureOffices!D1031</f>
        <v>0</v>
      </c>
      <c r="L1031" s="102">
        <f>tbl_ArchitectureOffices!C1031</f>
        <v>0</v>
      </c>
      <c r="M1031" s="102">
        <f t="shared" si="48"/>
        <v>0</v>
      </c>
      <c r="N1031" s="102" t="str">
        <f>tbl_Companys!D1031</f>
        <v>Skien kommune</v>
      </c>
      <c r="O1031" s="102">
        <f>tbl_Companys!C1031</f>
        <v>217041</v>
      </c>
      <c r="P1031" s="102" t="str">
        <f t="shared" si="49"/>
        <v>Skien kommune</v>
      </c>
      <c r="Q1031" s="102">
        <f>tbl_ConsultingCompanys!D1031</f>
        <v>0</v>
      </c>
      <c r="R1031" s="102">
        <f>tbl_ConsultingCompanys!C1031</f>
        <v>0</v>
      </c>
      <c r="S1031" s="102">
        <f t="shared" si="50"/>
        <v>0</v>
      </c>
    </row>
    <row r="1032" spans="11:19" x14ac:dyDescent="0.15">
      <c r="K1032" s="102">
        <f>tbl_ArchitectureOffices!D1032</f>
        <v>0</v>
      </c>
      <c r="L1032" s="102">
        <f>tbl_ArchitectureOffices!C1032</f>
        <v>0</v>
      </c>
      <c r="M1032" s="102">
        <f t="shared" si="48"/>
        <v>0</v>
      </c>
      <c r="N1032" s="102" t="str">
        <f>tbl_Companys!D1032</f>
        <v xml:space="preserve">Skylstad as, Arkitekt Svein </v>
      </c>
      <c r="O1032" s="102">
        <f>tbl_Companys!C1032</f>
        <v>172685</v>
      </c>
      <c r="P1032" s="102" t="str">
        <f t="shared" si="49"/>
        <v>Skylstad as, Arkitekt Svein</v>
      </c>
      <c r="Q1032" s="102">
        <f>tbl_ConsultingCompanys!D1032</f>
        <v>0</v>
      </c>
      <c r="R1032" s="102">
        <f>tbl_ConsultingCompanys!C1032</f>
        <v>0</v>
      </c>
      <c r="S1032" s="102">
        <f t="shared" si="50"/>
        <v>0</v>
      </c>
    </row>
    <row r="1033" spans="11:19" x14ac:dyDescent="0.15">
      <c r="K1033" s="102">
        <f>tbl_ArchitectureOffices!D1033</f>
        <v>0</v>
      </c>
      <c r="L1033" s="102">
        <f>tbl_ArchitectureOffices!C1033</f>
        <v>0</v>
      </c>
      <c r="M1033" s="102">
        <f t="shared" si="48"/>
        <v>0</v>
      </c>
      <c r="N1033" s="102" t="str">
        <f>tbl_Companys!D1033</f>
        <v>Sletvold Arkitekter MNAL</v>
      </c>
      <c r="O1033" s="102">
        <f>tbl_Companys!C1033</f>
        <v>166517</v>
      </c>
      <c r="P1033" s="102" t="str">
        <f t="shared" si="49"/>
        <v>Sletvold Arkitekter MNAL</v>
      </c>
      <c r="Q1033" s="102">
        <f>tbl_ConsultingCompanys!D1033</f>
        <v>0</v>
      </c>
      <c r="R1033" s="102">
        <f>tbl_ConsultingCompanys!C1033</f>
        <v>0</v>
      </c>
      <c r="S1033" s="102">
        <f t="shared" si="50"/>
        <v>0</v>
      </c>
    </row>
    <row r="1034" spans="11:19" x14ac:dyDescent="0.15">
      <c r="K1034" s="102">
        <f>tbl_ArchitectureOffices!D1034</f>
        <v>0</v>
      </c>
      <c r="L1034" s="102">
        <f>tbl_ArchitectureOffices!C1034</f>
        <v>0</v>
      </c>
      <c r="M1034" s="102">
        <f t="shared" si="48"/>
        <v>0</v>
      </c>
      <c r="N1034" s="102" t="str">
        <f>tbl_Companys!D1034</f>
        <v>Slyngstad Aamlid Arkitekter AS</v>
      </c>
      <c r="O1034" s="102">
        <f>tbl_Companys!C1034</f>
        <v>166609</v>
      </c>
      <c r="P1034" s="102" t="str">
        <f t="shared" si="49"/>
        <v>Slyngstad Aamlid Arkitekter AS</v>
      </c>
      <c r="Q1034" s="102">
        <f>tbl_ConsultingCompanys!D1034</f>
        <v>0</v>
      </c>
      <c r="R1034" s="102">
        <f>tbl_ConsultingCompanys!C1034</f>
        <v>0</v>
      </c>
      <c r="S1034" s="102">
        <f t="shared" si="50"/>
        <v>0</v>
      </c>
    </row>
    <row r="1035" spans="11:19" x14ac:dyDescent="0.15">
      <c r="K1035" s="102">
        <f>tbl_ArchitectureOffices!D1035</f>
        <v>0</v>
      </c>
      <c r="L1035" s="102">
        <f>tbl_ArchitectureOffices!C1035</f>
        <v>0</v>
      </c>
      <c r="M1035" s="102">
        <f t="shared" si="48"/>
        <v>0</v>
      </c>
      <c r="N1035" s="102" t="str">
        <f>tbl_Companys!D1035</f>
        <v>Smed Alsaker AS</v>
      </c>
      <c r="O1035" s="102">
        <f>tbl_Companys!C1035</f>
        <v>157877</v>
      </c>
      <c r="P1035" s="102" t="str">
        <f t="shared" si="49"/>
        <v>Smed Alsaker AS</v>
      </c>
      <c r="Q1035" s="102">
        <f>tbl_ConsultingCompanys!D1035</f>
        <v>0</v>
      </c>
      <c r="R1035" s="102">
        <f>tbl_ConsultingCompanys!C1035</f>
        <v>0</v>
      </c>
      <c r="S1035" s="102">
        <f t="shared" si="50"/>
        <v>0</v>
      </c>
    </row>
    <row r="1036" spans="11:19" x14ac:dyDescent="0.15">
      <c r="K1036" s="102">
        <f>tbl_ArchitectureOffices!D1036</f>
        <v>0</v>
      </c>
      <c r="L1036" s="102">
        <f>tbl_ArchitectureOffices!C1036</f>
        <v>0</v>
      </c>
      <c r="M1036" s="102">
        <f t="shared" si="48"/>
        <v>0</v>
      </c>
      <c r="N1036" s="102" t="str">
        <f>tbl_Companys!D1036</f>
        <v>SMI energi og miljø AS</v>
      </c>
      <c r="O1036" s="102">
        <f>tbl_Companys!C1036</f>
        <v>245785</v>
      </c>
      <c r="P1036" s="102" t="str">
        <f t="shared" si="49"/>
        <v>SMI energi og miljø AS</v>
      </c>
      <c r="Q1036" s="102">
        <f>tbl_ConsultingCompanys!D1036</f>
        <v>0</v>
      </c>
      <c r="R1036" s="102">
        <f>tbl_ConsultingCompanys!C1036</f>
        <v>0</v>
      </c>
      <c r="S1036" s="102">
        <f t="shared" si="50"/>
        <v>0</v>
      </c>
    </row>
    <row r="1037" spans="11:19" x14ac:dyDescent="0.15">
      <c r="K1037" s="102">
        <f>tbl_ArchitectureOffices!D1037</f>
        <v>0</v>
      </c>
      <c r="L1037" s="102">
        <f>tbl_ArchitectureOffices!C1037</f>
        <v>0</v>
      </c>
      <c r="M1037" s="102">
        <f t="shared" si="48"/>
        <v>0</v>
      </c>
      <c r="N1037" s="102" t="str">
        <f>tbl_Companys!D1037</f>
        <v>Smidt &amp; Ingebrigtsen AS</v>
      </c>
      <c r="O1037" s="102">
        <f>tbl_Companys!C1037</f>
        <v>218044</v>
      </c>
      <c r="P1037" s="102" t="str">
        <f t="shared" si="49"/>
        <v>Smidt &amp; Ingebrigtsen AS</v>
      </c>
      <c r="Q1037" s="102">
        <f>tbl_ConsultingCompanys!D1037</f>
        <v>0</v>
      </c>
      <c r="R1037" s="102">
        <f>tbl_ConsultingCompanys!C1037</f>
        <v>0</v>
      </c>
      <c r="S1037" s="102">
        <f t="shared" si="50"/>
        <v>0</v>
      </c>
    </row>
    <row r="1038" spans="11:19" x14ac:dyDescent="0.15">
      <c r="K1038" s="102">
        <f>tbl_ArchitectureOffices!D1038</f>
        <v>0</v>
      </c>
      <c r="L1038" s="102">
        <f>tbl_ArchitectureOffices!C1038</f>
        <v>0</v>
      </c>
      <c r="M1038" s="102">
        <f t="shared" si="48"/>
        <v>0</v>
      </c>
      <c r="N1038" s="102" t="str">
        <f>tbl_Companys!D1038</f>
        <v>SMS arkitekter AS</v>
      </c>
      <c r="O1038" s="102">
        <f>tbl_Companys!C1038</f>
        <v>166510</v>
      </c>
      <c r="P1038" s="102" t="str">
        <f t="shared" si="49"/>
        <v>SMS arkitekter AS</v>
      </c>
      <c r="Q1038" s="102">
        <f>tbl_ConsultingCompanys!D1038</f>
        <v>0</v>
      </c>
      <c r="R1038" s="102">
        <f>tbl_ConsultingCompanys!C1038</f>
        <v>0</v>
      </c>
      <c r="S1038" s="102">
        <f t="shared" si="50"/>
        <v>0</v>
      </c>
    </row>
    <row r="1039" spans="11:19" x14ac:dyDescent="0.15">
      <c r="K1039" s="102">
        <f>tbl_ArchitectureOffices!D1039</f>
        <v>0</v>
      </c>
      <c r="L1039" s="102">
        <f>tbl_ArchitectureOffices!C1039</f>
        <v>0</v>
      </c>
      <c r="M1039" s="102">
        <f t="shared" si="48"/>
        <v>0</v>
      </c>
      <c r="N1039" s="102" t="str">
        <f>tbl_Companys!D1039</f>
        <v>SNO Sogndal</v>
      </c>
      <c r="O1039" s="102">
        <f>tbl_Companys!C1039</f>
        <v>214842</v>
      </c>
      <c r="P1039" s="102" t="str">
        <f t="shared" si="49"/>
        <v>SNO Sogndal</v>
      </c>
      <c r="Q1039" s="102">
        <f>tbl_ConsultingCompanys!D1039</f>
        <v>0</v>
      </c>
      <c r="R1039" s="102">
        <f>tbl_ConsultingCompanys!C1039</f>
        <v>0</v>
      </c>
      <c r="S1039" s="102">
        <f t="shared" si="50"/>
        <v>0</v>
      </c>
    </row>
    <row r="1040" spans="11:19" x14ac:dyDescent="0.15">
      <c r="K1040" s="102">
        <f>tbl_ArchitectureOffices!D1040</f>
        <v>0</v>
      </c>
      <c r="L1040" s="102">
        <f>tbl_ArchitectureOffices!C1040</f>
        <v>0</v>
      </c>
      <c r="M1040" s="102">
        <f t="shared" si="48"/>
        <v>0</v>
      </c>
      <c r="N1040" s="102" t="str">
        <f>tbl_Companys!D1040</f>
        <v>Snøhetta as</v>
      </c>
      <c r="O1040" s="102">
        <f>tbl_Companys!C1040</f>
        <v>166509</v>
      </c>
      <c r="P1040" s="102" t="str">
        <f t="shared" si="49"/>
        <v>Snøhetta as</v>
      </c>
      <c r="Q1040" s="102">
        <f>tbl_ConsultingCompanys!D1040</f>
        <v>0</v>
      </c>
      <c r="R1040" s="102">
        <f>tbl_ConsultingCompanys!C1040</f>
        <v>0</v>
      </c>
      <c r="S1040" s="102">
        <f t="shared" si="50"/>
        <v>0</v>
      </c>
    </row>
    <row r="1041" spans="11:19" x14ac:dyDescent="0.15">
      <c r="K1041" s="102">
        <f>tbl_ArchitectureOffices!D1041</f>
        <v>0</v>
      </c>
      <c r="L1041" s="102">
        <f>tbl_ArchitectureOffices!C1041</f>
        <v>0</v>
      </c>
      <c r="M1041" s="102">
        <f t="shared" si="48"/>
        <v>0</v>
      </c>
      <c r="N1041" s="102" t="str">
        <f>tbl_Companys!D1041</f>
        <v>Sohlberg og Toftenes AS</v>
      </c>
      <c r="O1041" s="102">
        <f>tbl_Companys!C1041</f>
        <v>181038</v>
      </c>
      <c r="P1041" s="102" t="str">
        <f t="shared" si="49"/>
        <v>Sohlberg og Toftenes AS</v>
      </c>
      <c r="Q1041" s="102">
        <f>tbl_ConsultingCompanys!D1041</f>
        <v>0</v>
      </c>
      <c r="R1041" s="102">
        <f>tbl_ConsultingCompanys!C1041</f>
        <v>0</v>
      </c>
      <c r="S1041" s="102">
        <f t="shared" si="50"/>
        <v>0</v>
      </c>
    </row>
    <row r="1042" spans="11:19" x14ac:dyDescent="0.15">
      <c r="K1042" s="102">
        <f>tbl_ArchitectureOffices!D1042</f>
        <v>0</v>
      </c>
      <c r="L1042" s="102">
        <f>tbl_ArchitectureOffices!C1042</f>
        <v>0</v>
      </c>
      <c r="M1042" s="102">
        <f t="shared" si="48"/>
        <v>0</v>
      </c>
      <c r="N1042" s="102" t="str">
        <f>tbl_Companys!D1042</f>
        <v>SOLARK</v>
      </c>
      <c r="O1042" s="102">
        <f>tbl_Companys!C1042</f>
        <v>194004</v>
      </c>
      <c r="P1042" s="102" t="str">
        <f t="shared" si="49"/>
        <v>SOLARK</v>
      </c>
      <c r="Q1042" s="102">
        <f>tbl_ConsultingCompanys!D1042</f>
        <v>0</v>
      </c>
      <c r="R1042" s="102">
        <f>tbl_ConsultingCompanys!C1042</f>
        <v>0</v>
      </c>
      <c r="S1042" s="102">
        <f t="shared" si="50"/>
        <v>0</v>
      </c>
    </row>
    <row r="1043" spans="11:19" x14ac:dyDescent="0.15">
      <c r="K1043" s="102">
        <f>tbl_ArchitectureOffices!D1043</f>
        <v>0</v>
      </c>
      <c r="L1043" s="102">
        <f>tbl_ArchitectureOffices!C1043</f>
        <v>0</v>
      </c>
      <c r="M1043" s="102">
        <f t="shared" si="48"/>
        <v>0</v>
      </c>
      <c r="N1043" s="102" t="str">
        <f>tbl_Companys!D1043</f>
        <v>Solarnor AS</v>
      </c>
      <c r="O1043" s="102">
        <f>tbl_Companys!C1043</f>
        <v>103201</v>
      </c>
      <c r="P1043" s="102" t="str">
        <f t="shared" si="49"/>
        <v>Solarnor AS</v>
      </c>
      <c r="Q1043" s="102">
        <f>tbl_ConsultingCompanys!D1043</f>
        <v>0</v>
      </c>
      <c r="R1043" s="102">
        <f>tbl_ConsultingCompanys!C1043</f>
        <v>0</v>
      </c>
      <c r="S1043" s="102">
        <f t="shared" si="50"/>
        <v>0</v>
      </c>
    </row>
    <row r="1044" spans="11:19" x14ac:dyDescent="0.15">
      <c r="K1044" s="102">
        <f>tbl_ArchitectureOffices!D1044</f>
        <v>0</v>
      </c>
      <c r="L1044" s="102">
        <f>tbl_ArchitectureOffices!C1044</f>
        <v>0</v>
      </c>
      <c r="M1044" s="102">
        <f t="shared" si="48"/>
        <v>0</v>
      </c>
      <c r="N1044" s="102" t="str">
        <f>tbl_Companys!D1044</f>
        <v>Solberg &amp; Toftenes (RIBR)</v>
      </c>
      <c r="O1044" s="102">
        <f>tbl_Companys!C1044</f>
        <v>214150</v>
      </c>
      <c r="P1044" s="102" t="str">
        <f t="shared" si="49"/>
        <v>Solberg &amp; Toftenes (RIBR)</v>
      </c>
      <c r="Q1044" s="102">
        <f>tbl_ConsultingCompanys!D1044</f>
        <v>0</v>
      </c>
      <c r="R1044" s="102">
        <f>tbl_ConsultingCompanys!C1044</f>
        <v>0</v>
      </c>
      <c r="S1044" s="102">
        <f t="shared" si="50"/>
        <v>0</v>
      </c>
    </row>
    <row r="1045" spans="11:19" x14ac:dyDescent="0.15">
      <c r="K1045" s="102">
        <f>tbl_ArchitectureOffices!D1045</f>
        <v>0</v>
      </c>
      <c r="L1045" s="102">
        <f>tbl_ArchitectureOffices!C1045</f>
        <v>0</v>
      </c>
      <c r="M1045" s="102">
        <f t="shared" si="48"/>
        <v>0</v>
      </c>
      <c r="N1045" s="102" t="str">
        <f>tbl_Companys!D1045</f>
        <v>Solberg og Toftenes AS</v>
      </c>
      <c r="O1045" s="102">
        <f>tbl_Companys!C1045</f>
        <v>160580</v>
      </c>
      <c r="P1045" s="102" t="str">
        <f t="shared" si="49"/>
        <v>Solberg og Toftenes AS</v>
      </c>
      <c r="Q1045" s="102">
        <f>tbl_ConsultingCompanys!D1045</f>
        <v>0</v>
      </c>
      <c r="R1045" s="102">
        <f>tbl_ConsultingCompanys!C1045</f>
        <v>0</v>
      </c>
      <c r="S1045" s="102">
        <f t="shared" si="50"/>
        <v>0</v>
      </c>
    </row>
    <row r="1046" spans="11:19" x14ac:dyDescent="0.15">
      <c r="K1046" s="102">
        <f>tbl_ArchitectureOffices!D1046</f>
        <v>0</v>
      </c>
      <c r="L1046" s="102">
        <f>tbl_ArchitectureOffices!C1046</f>
        <v>0</v>
      </c>
      <c r="M1046" s="102">
        <f t="shared" si="48"/>
        <v>0</v>
      </c>
      <c r="N1046" s="102" t="str">
        <f>tbl_Companys!D1046</f>
        <v>Solbjør Arkitektur</v>
      </c>
      <c r="O1046" s="102">
        <f>tbl_Companys!C1046</f>
        <v>166508</v>
      </c>
      <c r="P1046" s="102" t="str">
        <f t="shared" si="49"/>
        <v>Solbjør Arkitektur</v>
      </c>
      <c r="Q1046" s="102">
        <f>tbl_ConsultingCompanys!D1046</f>
        <v>0</v>
      </c>
      <c r="R1046" s="102">
        <f>tbl_ConsultingCompanys!C1046</f>
        <v>0</v>
      </c>
      <c r="S1046" s="102">
        <f t="shared" si="50"/>
        <v>0</v>
      </c>
    </row>
    <row r="1047" spans="11:19" x14ac:dyDescent="0.15">
      <c r="K1047" s="102">
        <f>tbl_ArchitectureOffices!D1047</f>
        <v>0</v>
      </c>
      <c r="L1047" s="102">
        <f>tbl_ArchitectureOffices!C1047</f>
        <v>0</v>
      </c>
      <c r="M1047" s="102">
        <f t="shared" si="48"/>
        <v>0</v>
      </c>
      <c r="N1047" s="102" t="str">
        <f>tbl_Companys!D1047</f>
        <v>Solem Arkitektur AS</v>
      </c>
      <c r="O1047" s="102">
        <f>tbl_Companys!C1047</f>
        <v>166507</v>
      </c>
      <c r="P1047" s="102" t="str">
        <f t="shared" si="49"/>
        <v>Solem Arkitektur AS</v>
      </c>
      <c r="Q1047" s="102">
        <f>tbl_ConsultingCompanys!D1047</f>
        <v>0</v>
      </c>
      <c r="R1047" s="102">
        <f>tbl_ConsultingCompanys!C1047</f>
        <v>0</v>
      </c>
      <c r="S1047" s="102">
        <f t="shared" si="50"/>
        <v>0</v>
      </c>
    </row>
    <row r="1048" spans="11:19" x14ac:dyDescent="0.15">
      <c r="K1048" s="102">
        <f>tbl_ArchitectureOffices!D1048</f>
        <v>0</v>
      </c>
      <c r="L1048" s="102">
        <f>tbl_ArchitectureOffices!C1048</f>
        <v>0</v>
      </c>
      <c r="M1048" s="102">
        <f t="shared" si="48"/>
        <v>0</v>
      </c>
      <c r="N1048" s="102" t="str">
        <f>tbl_Companys!D1048</f>
        <v>Solheim og Jacobsen arkitekter AS</v>
      </c>
      <c r="O1048" s="102">
        <f>tbl_Companys!C1048</f>
        <v>166505</v>
      </c>
      <c r="P1048" s="102" t="str">
        <f t="shared" si="49"/>
        <v>Solheim og Jacobsen arkitekter AS</v>
      </c>
      <c r="Q1048" s="102">
        <f>tbl_ConsultingCompanys!D1048</f>
        <v>0</v>
      </c>
      <c r="R1048" s="102">
        <f>tbl_ConsultingCompanys!C1048</f>
        <v>0</v>
      </c>
      <c r="S1048" s="102">
        <f t="shared" si="50"/>
        <v>0</v>
      </c>
    </row>
    <row r="1049" spans="11:19" x14ac:dyDescent="0.15">
      <c r="K1049" s="102">
        <f>tbl_ArchitectureOffices!D1049</f>
        <v>0</v>
      </c>
      <c r="L1049" s="102">
        <f>tbl_ArchitectureOffices!C1049</f>
        <v>0</v>
      </c>
      <c r="M1049" s="102">
        <f t="shared" si="48"/>
        <v>0</v>
      </c>
      <c r="N1049" s="102" t="str">
        <f>tbl_Companys!D1049</f>
        <v>Solland AS (ventilasjon)</v>
      </c>
      <c r="O1049" s="102">
        <f>tbl_Companys!C1049</f>
        <v>155703</v>
      </c>
      <c r="P1049" s="102" t="str">
        <f t="shared" si="49"/>
        <v>Solland AS (ventilasjon)</v>
      </c>
      <c r="Q1049" s="102">
        <f>tbl_ConsultingCompanys!D1049</f>
        <v>0</v>
      </c>
      <c r="R1049" s="102">
        <f>tbl_ConsultingCompanys!C1049</f>
        <v>0</v>
      </c>
      <c r="S1049" s="102">
        <f t="shared" si="50"/>
        <v>0</v>
      </c>
    </row>
    <row r="1050" spans="11:19" x14ac:dyDescent="0.15">
      <c r="K1050" s="102">
        <f>tbl_ArchitectureOffices!D1050</f>
        <v>0</v>
      </c>
      <c r="L1050" s="102">
        <f>tbl_ArchitectureOffices!C1050</f>
        <v>0</v>
      </c>
      <c r="M1050" s="102">
        <f t="shared" si="48"/>
        <v>0</v>
      </c>
      <c r="N1050" s="102" t="str">
        <f>tbl_Companys!D1050</f>
        <v>Solli Arkitekter AS</v>
      </c>
      <c r="O1050" s="102">
        <f>tbl_Companys!C1050</f>
        <v>166503</v>
      </c>
      <c r="P1050" s="102" t="str">
        <f t="shared" si="49"/>
        <v>Solli Arkitekter AS</v>
      </c>
      <c r="Q1050" s="102">
        <f>tbl_ConsultingCompanys!D1050</f>
        <v>0</v>
      </c>
      <c r="R1050" s="102">
        <f>tbl_ConsultingCompanys!C1050</f>
        <v>0</v>
      </c>
      <c r="S1050" s="102">
        <f t="shared" si="50"/>
        <v>0</v>
      </c>
    </row>
    <row r="1051" spans="11:19" x14ac:dyDescent="0.15">
      <c r="K1051" s="102">
        <f>tbl_ArchitectureOffices!D1051</f>
        <v>0</v>
      </c>
      <c r="L1051" s="102">
        <f>tbl_ArchitectureOffices!C1051</f>
        <v>0</v>
      </c>
      <c r="M1051" s="102">
        <f t="shared" si="48"/>
        <v>0</v>
      </c>
      <c r="N1051" s="102" t="str">
        <f>tbl_Companys!D1051</f>
        <v xml:space="preserve">Solli Sivilarkitekt MNAL, Tore </v>
      </c>
      <c r="O1051" s="102">
        <f>tbl_Companys!C1051</f>
        <v>177575</v>
      </c>
      <c r="P1051" s="102" t="str">
        <f t="shared" si="49"/>
        <v>Solli Sivilarkitekt MNAL, Tore</v>
      </c>
      <c r="Q1051" s="102">
        <f>tbl_ConsultingCompanys!D1051</f>
        <v>0</v>
      </c>
      <c r="R1051" s="102">
        <f>tbl_ConsultingCompanys!C1051</f>
        <v>0</v>
      </c>
      <c r="S1051" s="102">
        <f t="shared" si="50"/>
        <v>0</v>
      </c>
    </row>
    <row r="1052" spans="11:19" x14ac:dyDescent="0.15">
      <c r="K1052" s="102">
        <f>tbl_ArchitectureOffices!D1052</f>
        <v>0</v>
      </c>
      <c r="L1052" s="102">
        <f>tbl_ArchitectureOffices!C1052</f>
        <v>0</v>
      </c>
      <c r="M1052" s="102">
        <f t="shared" si="48"/>
        <v>0</v>
      </c>
      <c r="N1052" s="102" t="str">
        <f>tbl_Companys!D1052</f>
        <v xml:space="preserve">Solnes AS, Lil </v>
      </c>
      <c r="O1052" s="102">
        <f>tbl_Companys!C1052</f>
        <v>172720</v>
      </c>
      <c r="P1052" s="102" t="str">
        <f t="shared" si="49"/>
        <v>Solnes AS, Lil</v>
      </c>
      <c r="Q1052" s="102">
        <f>tbl_ConsultingCompanys!D1052</f>
        <v>0</v>
      </c>
      <c r="R1052" s="102">
        <f>tbl_ConsultingCompanys!C1052</f>
        <v>0</v>
      </c>
      <c r="S1052" s="102">
        <f t="shared" si="50"/>
        <v>0</v>
      </c>
    </row>
    <row r="1053" spans="11:19" x14ac:dyDescent="0.15">
      <c r="K1053" s="102">
        <f>tbl_ArchitectureOffices!D1053</f>
        <v>0</v>
      </c>
      <c r="L1053" s="102">
        <f>tbl_ArchitectureOffices!C1053</f>
        <v>0</v>
      </c>
      <c r="M1053" s="102">
        <f t="shared" si="48"/>
        <v>0</v>
      </c>
      <c r="N1053" s="102" t="str">
        <f>tbl_Companys!D1053</f>
        <v>SOS Brannsikring AS</v>
      </c>
      <c r="O1053" s="102">
        <f>tbl_Companys!C1053</f>
        <v>245543</v>
      </c>
      <c r="P1053" s="102" t="str">
        <f t="shared" si="49"/>
        <v>SOS Brannsikring AS</v>
      </c>
      <c r="Q1053" s="102">
        <f>tbl_ConsultingCompanys!D1053</f>
        <v>0</v>
      </c>
      <c r="R1053" s="102">
        <f>tbl_ConsultingCompanys!C1053</f>
        <v>0</v>
      </c>
      <c r="S1053" s="102">
        <f t="shared" si="50"/>
        <v>0</v>
      </c>
    </row>
    <row r="1054" spans="11:19" x14ac:dyDescent="0.15">
      <c r="K1054" s="102">
        <f>tbl_ArchitectureOffices!D1054</f>
        <v>0</v>
      </c>
      <c r="L1054" s="102">
        <f>tbl_ArchitectureOffices!C1054</f>
        <v>0</v>
      </c>
      <c r="M1054" s="102">
        <f t="shared" si="48"/>
        <v>0</v>
      </c>
      <c r="N1054" s="102" t="str">
        <f>tbl_Companys!D1054</f>
        <v>Spacegroup Arkitekter A/S</v>
      </c>
      <c r="O1054" s="102">
        <f>tbl_Companys!C1054</f>
        <v>166485</v>
      </c>
      <c r="P1054" s="102" t="str">
        <f t="shared" si="49"/>
        <v>Spacegroup Arkitekter A/S</v>
      </c>
      <c r="Q1054" s="102">
        <f>tbl_ConsultingCompanys!D1054</f>
        <v>0</v>
      </c>
      <c r="R1054" s="102">
        <f>tbl_ConsultingCompanys!C1054</f>
        <v>0</v>
      </c>
      <c r="S1054" s="102">
        <f t="shared" si="50"/>
        <v>0</v>
      </c>
    </row>
    <row r="1055" spans="11:19" x14ac:dyDescent="0.15">
      <c r="K1055" s="102">
        <f>tbl_ArchitectureOffices!D1055</f>
        <v>0</v>
      </c>
      <c r="L1055" s="102">
        <f>tbl_ArchitectureOffices!C1055</f>
        <v>0</v>
      </c>
      <c r="M1055" s="102">
        <f t="shared" si="48"/>
        <v>0</v>
      </c>
      <c r="N1055" s="102" t="str">
        <f>tbl_Companys!D1055</f>
        <v>Sparebank 1 SMN kvartalet</v>
      </c>
      <c r="O1055" s="102">
        <f>tbl_Companys!C1055</f>
        <v>178925</v>
      </c>
      <c r="P1055" s="102" t="str">
        <f t="shared" si="49"/>
        <v>Sparebank 1 SMN kvartalet</v>
      </c>
      <c r="Q1055" s="102">
        <f>tbl_ConsultingCompanys!D1055</f>
        <v>0</v>
      </c>
      <c r="R1055" s="102">
        <f>tbl_ConsultingCompanys!C1055</f>
        <v>0</v>
      </c>
      <c r="S1055" s="102">
        <f t="shared" si="50"/>
        <v>0</v>
      </c>
    </row>
    <row r="1056" spans="11:19" x14ac:dyDescent="0.15">
      <c r="K1056" s="102">
        <f>tbl_ArchitectureOffices!D1056</f>
        <v>0</v>
      </c>
      <c r="L1056" s="102">
        <f>tbl_ArchitectureOffices!C1056</f>
        <v>0</v>
      </c>
      <c r="M1056" s="102">
        <f t="shared" si="48"/>
        <v>0</v>
      </c>
      <c r="N1056" s="102" t="str">
        <f>tbl_Companys!D1056</f>
        <v>Spark arkitektur</v>
      </c>
      <c r="O1056" s="102">
        <f>tbl_Companys!C1056</f>
        <v>166484</v>
      </c>
      <c r="P1056" s="102" t="str">
        <f t="shared" si="49"/>
        <v>Spark arkitektur</v>
      </c>
      <c r="Q1056" s="102">
        <f>tbl_ConsultingCompanys!D1056</f>
        <v>0</v>
      </c>
      <c r="R1056" s="102">
        <f>tbl_ConsultingCompanys!C1056</f>
        <v>0</v>
      </c>
      <c r="S1056" s="102">
        <f t="shared" si="50"/>
        <v>0</v>
      </c>
    </row>
    <row r="1057" spans="11:19" x14ac:dyDescent="0.15">
      <c r="K1057" s="102">
        <f>tbl_ArchitectureOffices!D1057</f>
        <v>0</v>
      </c>
      <c r="L1057" s="102">
        <f>tbl_ArchitectureOffices!C1057</f>
        <v>0</v>
      </c>
      <c r="M1057" s="102">
        <f t="shared" si="48"/>
        <v>0</v>
      </c>
      <c r="N1057" s="102" t="str">
        <f>tbl_Companys!D1057</f>
        <v xml:space="preserve">Spets AS </v>
      </c>
      <c r="O1057" s="102">
        <f>tbl_Companys!C1057</f>
        <v>165393</v>
      </c>
      <c r="P1057" s="102" t="str">
        <f t="shared" si="49"/>
        <v>Spets AS</v>
      </c>
      <c r="Q1057" s="102">
        <f>tbl_ConsultingCompanys!D1057</f>
        <v>0</v>
      </c>
      <c r="R1057" s="102">
        <f>tbl_ConsultingCompanys!C1057</f>
        <v>0</v>
      </c>
      <c r="S1057" s="102">
        <f t="shared" si="50"/>
        <v>0</v>
      </c>
    </row>
    <row r="1058" spans="11:19" x14ac:dyDescent="0.15">
      <c r="K1058" s="102">
        <f>tbl_ArchitectureOffices!D1058</f>
        <v>0</v>
      </c>
      <c r="L1058" s="102">
        <f>tbl_ArchitectureOffices!C1058</f>
        <v>0</v>
      </c>
      <c r="M1058" s="102">
        <f t="shared" si="48"/>
        <v>0</v>
      </c>
      <c r="N1058" s="102" t="str">
        <f>tbl_Companys!D1058</f>
        <v>Spiss Arkitektur &amp; Plan AS</v>
      </c>
      <c r="O1058" s="102">
        <f>tbl_Companys!C1058</f>
        <v>172895</v>
      </c>
      <c r="P1058" s="102" t="str">
        <f t="shared" si="49"/>
        <v>Spiss Arkitektur &amp; Plan AS</v>
      </c>
      <c r="Q1058" s="102">
        <f>tbl_ConsultingCompanys!D1058</f>
        <v>0</v>
      </c>
      <c r="R1058" s="102">
        <f>tbl_ConsultingCompanys!C1058</f>
        <v>0</v>
      </c>
      <c r="S1058" s="102">
        <f t="shared" si="50"/>
        <v>0</v>
      </c>
    </row>
    <row r="1059" spans="11:19" x14ac:dyDescent="0.15">
      <c r="K1059" s="102">
        <f>tbl_ArchitectureOffices!D1059</f>
        <v>0</v>
      </c>
      <c r="L1059" s="102">
        <f>tbl_ArchitectureOffices!C1059</f>
        <v>0</v>
      </c>
      <c r="M1059" s="102">
        <f t="shared" si="48"/>
        <v>0</v>
      </c>
      <c r="N1059" s="102" t="str">
        <f>tbl_Companys!D1059</f>
        <v>Spor Arkitekter AS</v>
      </c>
      <c r="O1059" s="102">
        <f>tbl_Companys!C1059</f>
        <v>166481</v>
      </c>
      <c r="P1059" s="102" t="str">
        <f t="shared" si="49"/>
        <v>Spor Arkitekter AS</v>
      </c>
      <c r="Q1059" s="102">
        <f>tbl_ConsultingCompanys!D1059</f>
        <v>0</v>
      </c>
      <c r="R1059" s="102">
        <f>tbl_ConsultingCompanys!C1059</f>
        <v>0</v>
      </c>
      <c r="S1059" s="102">
        <f t="shared" si="50"/>
        <v>0</v>
      </c>
    </row>
    <row r="1060" spans="11:19" x14ac:dyDescent="0.15">
      <c r="K1060" s="102">
        <f>tbl_ArchitectureOffices!D1060</f>
        <v>0</v>
      </c>
      <c r="L1060" s="102">
        <f>tbl_ArchitectureOffices!C1060</f>
        <v>0</v>
      </c>
      <c r="M1060" s="102">
        <f t="shared" si="48"/>
        <v>0</v>
      </c>
      <c r="N1060" s="102" t="str">
        <f>tbl_Companys!D1060</f>
        <v>Sporstøl AS, Arkitektfirma</v>
      </c>
      <c r="O1060" s="102">
        <f>tbl_Companys!C1060</f>
        <v>166479</v>
      </c>
      <c r="P1060" s="102" t="str">
        <f t="shared" si="49"/>
        <v>Sporstøl AS, Arkitektfirma</v>
      </c>
      <c r="Q1060" s="102">
        <f>tbl_ConsultingCompanys!D1060</f>
        <v>0</v>
      </c>
      <c r="R1060" s="102">
        <f>tbl_ConsultingCompanys!C1060</f>
        <v>0</v>
      </c>
      <c r="S1060" s="102">
        <f t="shared" si="50"/>
        <v>0</v>
      </c>
    </row>
    <row r="1061" spans="11:19" x14ac:dyDescent="0.15">
      <c r="K1061" s="102">
        <f>tbl_ArchitectureOffices!D1061</f>
        <v>0</v>
      </c>
      <c r="L1061" s="102">
        <f>tbl_ArchitectureOffices!C1061</f>
        <v>0</v>
      </c>
      <c r="M1061" s="102">
        <f t="shared" si="48"/>
        <v>0</v>
      </c>
      <c r="N1061" s="102" t="str">
        <f>tbl_Companys!D1061</f>
        <v>SSBYGG AS</v>
      </c>
      <c r="O1061" s="102">
        <f>tbl_Companys!C1061</f>
        <v>225764</v>
      </c>
      <c r="P1061" s="102" t="str">
        <f t="shared" si="49"/>
        <v>SSBYGG AS</v>
      </c>
      <c r="Q1061" s="102">
        <f>tbl_ConsultingCompanys!D1061</f>
        <v>0</v>
      </c>
      <c r="R1061" s="102">
        <f>tbl_ConsultingCompanys!C1061</f>
        <v>0</v>
      </c>
      <c r="S1061" s="102">
        <f t="shared" si="50"/>
        <v>0</v>
      </c>
    </row>
    <row r="1062" spans="11:19" x14ac:dyDescent="0.15">
      <c r="K1062" s="102">
        <f>tbl_ArchitectureOffices!D1062</f>
        <v>0</v>
      </c>
      <c r="L1062" s="102">
        <f>tbl_ArchitectureOffices!C1062</f>
        <v>0</v>
      </c>
      <c r="M1062" s="102">
        <f t="shared" si="48"/>
        <v>0</v>
      </c>
      <c r="N1062" s="102" t="str">
        <f>tbl_Companys!D1062</f>
        <v>Stark Rød-Knudsen arkitekter AS</v>
      </c>
      <c r="O1062" s="102">
        <f>tbl_Companys!C1062</f>
        <v>173200</v>
      </c>
      <c r="P1062" s="102" t="str">
        <f t="shared" si="49"/>
        <v>Stark Rød-Knudsen arkitekter AS</v>
      </c>
      <c r="Q1062" s="102">
        <f>tbl_ConsultingCompanys!D1062</f>
        <v>0</v>
      </c>
      <c r="R1062" s="102">
        <f>tbl_ConsultingCompanys!C1062</f>
        <v>0</v>
      </c>
      <c r="S1062" s="102">
        <f t="shared" si="50"/>
        <v>0</v>
      </c>
    </row>
    <row r="1063" spans="11:19" x14ac:dyDescent="0.15">
      <c r="K1063" s="102">
        <f>tbl_ArchitectureOffices!D1063</f>
        <v>0</v>
      </c>
      <c r="L1063" s="102">
        <f>tbl_ArchitectureOffices!C1063</f>
        <v>0</v>
      </c>
      <c r="M1063" s="102">
        <f t="shared" si="48"/>
        <v>0</v>
      </c>
      <c r="N1063" s="102" t="str">
        <f>tbl_Companys!D1063</f>
        <v>Statens vegvesen</v>
      </c>
      <c r="O1063" s="102">
        <f>tbl_Companys!C1063</f>
        <v>158051</v>
      </c>
      <c r="P1063" s="102" t="str">
        <f t="shared" si="49"/>
        <v>Statens vegvesen</v>
      </c>
      <c r="Q1063" s="102">
        <f>tbl_ConsultingCompanys!D1063</f>
        <v>0</v>
      </c>
      <c r="R1063" s="102">
        <f>tbl_ConsultingCompanys!C1063</f>
        <v>0</v>
      </c>
      <c r="S1063" s="102">
        <f t="shared" si="50"/>
        <v>0</v>
      </c>
    </row>
    <row r="1064" spans="11:19" x14ac:dyDescent="0.15">
      <c r="K1064" s="102">
        <f>tbl_ArchitectureOffices!D1064</f>
        <v>0</v>
      </c>
      <c r="L1064" s="102">
        <f>tbl_ArchitectureOffices!C1064</f>
        <v>0</v>
      </c>
      <c r="M1064" s="102">
        <f t="shared" si="48"/>
        <v>0</v>
      </c>
      <c r="N1064" s="102" t="str">
        <f>tbl_Companys!D1064</f>
        <v>Statens vegvesen, Turistvegkontoret</v>
      </c>
      <c r="O1064" s="102">
        <f>tbl_Companys!C1064</f>
        <v>180285</v>
      </c>
      <c r="P1064" s="102" t="str">
        <f t="shared" si="49"/>
        <v>Statens vegvesen, Turistvegkontoret</v>
      </c>
      <c r="Q1064" s="102">
        <f>tbl_ConsultingCompanys!D1064</f>
        <v>0</v>
      </c>
      <c r="R1064" s="102">
        <f>tbl_ConsultingCompanys!C1064</f>
        <v>0</v>
      </c>
      <c r="S1064" s="102">
        <f t="shared" si="50"/>
        <v>0</v>
      </c>
    </row>
    <row r="1065" spans="11:19" x14ac:dyDescent="0.15">
      <c r="K1065" s="102">
        <f>tbl_ArchitectureOffices!D1065</f>
        <v>0</v>
      </c>
      <c r="L1065" s="102">
        <f>tbl_ArchitectureOffices!C1065</f>
        <v>0</v>
      </c>
      <c r="M1065" s="102">
        <f t="shared" si="48"/>
        <v>0</v>
      </c>
      <c r="N1065" s="102" t="str">
        <f>tbl_Companys!D1065</f>
        <v>Statkraft Grøner AS</v>
      </c>
      <c r="O1065" s="102">
        <f>tbl_Companys!C1065</f>
        <v>120022</v>
      </c>
      <c r="P1065" s="102" t="str">
        <f t="shared" si="49"/>
        <v>Statkraft Grøner AS</v>
      </c>
      <c r="Q1065" s="102">
        <f>tbl_ConsultingCompanys!D1065</f>
        <v>0</v>
      </c>
      <c r="R1065" s="102">
        <f>tbl_ConsultingCompanys!C1065</f>
        <v>0</v>
      </c>
      <c r="S1065" s="102">
        <f t="shared" si="50"/>
        <v>0</v>
      </c>
    </row>
    <row r="1066" spans="11:19" x14ac:dyDescent="0.15">
      <c r="K1066" s="102">
        <f>tbl_ArchitectureOffices!D1066</f>
        <v>0</v>
      </c>
      <c r="L1066" s="102">
        <f>tbl_ArchitectureOffices!C1066</f>
        <v>0</v>
      </c>
      <c r="M1066" s="102">
        <f t="shared" si="48"/>
        <v>0</v>
      </c>
      <c r="N1066" s="102" t="str">
        <f>tbl_Companys!D1066</f>
        <v>Statnett SF</v>
      </c>
      <c r="O1066" s="102">
        <f>tbl_Companys!C1066</f>
        <v>243117</v>
      </c>
      <c r="P1066" s="102" t="str">
        <f t="shared" si="49"/>
        <v>Statnett SF</v>
      </c>
      <c r="Q1066" s="102">
        <f>tbl_ConsultingCompanys!D1066</f>
        <v>0</v>
      </c>
      <c r="R1066" s="102">
        <f>tbl_ConsultingCompanys!C1066</f>
        <v>0</v>
      </c>
      <c r="S1066" s="102">
        <f t="shared" si="50"/>
        <v>0</v>
      </c>
    </row>
    <row r="1067" spans="11:19" x14ac:dyDescent="0.15">
      <c r="K1067" s="102">
        <f>tbl_ArchitectureOffices!D1067</f>
        <v>0</v>
      </c>
      <c r="L1067" s="102">
        <f>tbl_ArchitectureOffices!C1067</f>
        <v>0</v>
      </c>
      <c r="M1067" s="102">
        <f t="shared" si="48"/>
        <v>0</v>
      </c>
      <c r="N1067" s="102" t="str">
        <f>tbl_Companys!D1067</f>
        <v>Statsbygg</v>
      </c>
      <c r="O1067" s="102">
        <f>tbl_Companys!C1067</f>
        <v>160597</v>
      </c>
      <c r="P1067" s="102" t="str">
        <f t="shared" si="49"/>
        <v>Statsbygg</v>
      </c>
      <c r="Q1067" s="102">
        <f>tbl_ConsultingCompanys!D1067</f>
        <v>0</v>
      </c>
      <c r="R1067" s="102">
        <f>tbl_ConsultingCompanys!C1067</f>
        <v>0</v>
      </c>
      <c r="S1067" s="102">
        <f t="shared" si="50"/>
        <v>0</v>
      </c>
    </row>
    <row r="1068" spans="11:19" x14ac:dyDescent="0.15">
      <c r="K1068" s="102">
        <f>tbl_ArchitectureOffices!D1068</f>
        <v>0</v>
      </c>
      <c r="L1068" s="102">
        <f>tbl_ArchitectureOffices!C1068</f>
        <v>0</v>
      </c>
      <c r="M1068" s="102">
        <f t="shared" si="48"/>
        <v>0</v>
      </c>
      <c r="N1068" s="102" t="str">
        <f>tbl_Companys!D1068</f>
        <v>Stavanger boligbyggelag</v>
      </c>
      <c r="O1068" s="102">
        <f>tbl_Companys!C1068</f>
        <v>155706</v>
      </c>
      <c r="P1068" s="102" t="str">
        <f t="shared" si="49"/>
        <v>Stavanger boligbyggelag</v>
      </c>
      <c r="Q1068" s="102">
        <f>tbl_ConsultingCompanys!D1068</f>
        <v>0</v>
      </c>
      <c r="R1068" s="102">
        <f>tbl_ConsultingCompanys!C1068</f>
        <v>0</v>
      </c>
      <c r="S1068" s="102">
        <f t="shared" si="50"/>
        <v>0</v>
      </c>
    </row>
    <row r="1069" spans="11:19" x14ac:dyDescent="0.15">
      <c r="K1069" s="102">
        <f>tbl_ArchitectureOffices!D1069</f>
        <v>0</v>
      </c>
      <c r="L1069" s="102">
        <f>tbl_ArchitectureOffices!C1069</f>
        <v>0</v>
      </c>
      <c r="M1069" s="102">
        <f t="shared" si="48"/>
        <v>0</v>
      </c>
      <c r="N1069" s="102" t="str">
        <f>tbl_Companys!D1069</f>
        <v>Stavanger boligbyggelag</v>
      </c>
      <c r="O1069" s="102">
        <f>tbl_Companys!C1069</f>
        <v>158050</v>
      </c>
      <c r="P1069" s="102" t="str">
        <f t="shared" si="49"/>
        <v>Stavanger boligbyggelag</v>
      </c>
      <c r="Q1069" s="102">
        <f>tbl_ConsultingCompanys!D1069</f>
        <v>0</v>
      </c>
      <c r="R1069" s="102">
        <f>tbl_ConsultingCompanys!C1069</f>
        <v>0</v>
      </c>
      <c r="S1069" s="102">
        <f t="shared" si="50"/>
        <v>0</v>
      </c>
    </row>
    <row r="1070" spans="11:19" x14ac:dyDescent="0.15">
      <c r="K1070" s="102">
        <f>tbl_ArchitectureOffices!D1070</f>
        <v>0</v>
      </c>
      <c r="L1070" s="102">
        <f>tbl_ArchitectureOffices!C1070</f>
        <v>0</v>
      </c>
      <c r="M1070" s="102">
        <f t="shared" si="48"/>
        <v>0</v>
      </c>
      <c r="N1070" s="102" t="str">
        <f>tbl_Companys!D1070</f>
        <v>Stavanger kommune</v>
      </c>
      <c r="O1070" s="102">
        <f>tbl_Companys!C1070</f>
        <v>216181</v>
      </c>
      <c r="P1070" s="102" t="str">
        <f t="shared" si="49"/>
        <v>Stavanger kommune</v>
      </c>
      <c r="Q1070" s="102">
        <f>tbl_ConsultingCompanys!D1070</f>
        <v>0</v>
      </c>
      <c r="R1070" s="102">
        <f>tbl_ConsultingCompanys!C1070</f>
        <v>0</v>
      </c>
      <c r="S1070" s="102">
        <f t="shared" si="50"/>
        <v>0</v>
      </c>
    </row>
    <row r="1071" spans="11:19" x14ac:dyDescent="0.15">
      <c r="K1071" s="102">
        <f>tbl_ArchitectureOffices!D1071</f>
        <v>0</v>
      </c>
      <c r="L1071" s="102">
        <f>tbl_ArchitectureOffices!C1071</f>
        <v>0</v>
      </c>
      <c r="M1071" s="102">
        <f t="shared" si="48"/>
        <v>0</v>
      </c>
      <c r="N1071" s="102" t="str">
        <f>tbl_Companys!D1071</f>
        <v>Stavanger kommune v/ Stavanger Eiendom</v>
      </c>
      <c r="O1071" s="102">
        <f>tbl_Companys!C1071</f>
        <v>160511</v>
      </c>
      <c r="P1071" s="102" t="str">
        <f t="shared" si="49"/>
        <v>Stavanger kommune v/ Stavanger Eiendom</v>
      </c>
      <c r="Q1071" s="102">
        <f>tbl_ConsultingCompanys!D1071</f>
        <v>0</v>
      </c>
      <c r="R1071" s="102">
        <f>tbl_ConsultingCompanys!C1071</f>
        <v>0</v>
      </c>
      <c r="S1071" s="102">
        <f t="shared" si="50"/>
        <v>0</v>
      </c>
    </row>
    <row r="1072" spans="11:19" x14ac:dyDescent="0.15">
      <c r="K1072" s="102">
        <f>tbl_ArchitectureOffices!D1072</f>
        <v>0</v>
      </c>
      <c r="L1072" s="102">
        <f>tbl_ArchitectureOffices!C1072</f>
        <v>0</v>
      </c>
      <c r="M1072" s="102">
        <f t="shared" si="48"/>
        <v>0</v>
      </c>
      <c r="N1072" s="102" t="str">
        <f>tbl_Companys!D1072</f>
        <v>Stavanger Turistforening</v>
      </c>
      <c r="O1072" s="102">
        <f>tbl_Companys!C1072</f>
        <v>155750</v>
      </c>
      <c r="P1072" s="102" t="str">
        <f t="shared" si="49"/>
        <v>Stavanger Turistforening</v>
      </c>
      <c r="Q1072" s="102">
        <f>tbl_ConsultingCompanys!D1072</f>
        <v>0</v>
      </c>
      <c r="R1072" s="102">
        <f>tbl_ConsultingCompanys!C1072</f>
        <v>0</v>
      </c>
      <c r="S1072" s="102">
        <f t="shared" si="50"/>
        <v>0</v>
      </c>
    </row>
    <row r="1073" spans="11:19" x14ac:dyDescent="0.15">
      <c r="K1073" s="102">
        <f>tbl_ArchitectureOffices!D1073</f>
        <v>0</v>
      </c>
      <c r="L1073" s="102">
        <f>tbl_ArchitectureOffices!C1073</f>
        <v>0</v>
      </c>
      <c r="M1073" s="102">
        <f t="shared" si="48"/>
        <v>0</v>
      </c>
      <c r="N1073" s="102" t="str">
        <f>tbl_Companys!D1073</f>
        <v>Stavne Gård AS</v>
      </c>
      <c r="O1073" s="102">
        <f>tbl_Companys!C1073</f>
        <v>110817</v>
      </c>
      <c r="P1073" s="102" t="str">
        <f t="shared" si="49"/>
        <v>Stavne Gård AS</v>
      </c>
      <c r="Q1073" s="102">
        <f>tbl_ConsultingCompanys!D1073</f>
        <v>0</v>
      </c>
      <c r="R1073" s="102">
        <f>tbl_ConsultingCompanys!C1073</f>
        <v>0</v>
      </c>
      <c r="S1073" s="102">
        <f t="shared" si="50"/>
        <v>0</v>
      </c>
    </row>
    <row r="1074" spans="11:19" x14ac:dyDescent="0.15">
      <c r="K1074" s="102">
        <f>tbl_ArchitectureOffices!D1074</f>
        <v>0</v>
      </c>
      <c r="L1074" s="102">
        <f>tbl_ArchitectureOffices!C1074</f>
        <v>0</v>
      </c>
      <c r="M1074" s="102">
        <f t="shared" si="48"/>
        <v>0</v>
      </c>
      <c r="N1074" s="102" t="str">
        <f>tbl_Companys!D1074</f>
        <v>Stavseth&amp;Lervik Arkitekter AS Mnal</v>
      </c>
      <c r="O1074" s="102">
        <f>tbl_Companys!C1074</f>
        <v>193742</v>
      </c>
      <c r="P1074" s="102" t="str">
        <f t="shared" si="49"/>
        <v>Stavseth&amp;Lervik Arkitekter AS Mnal</v>
      </c>
      <c r="Q1074" s="102">
        <f>tbl_ConsultingCompanys!D1074</f>
        <v>0</v>
      </c>
      <c r="R1074" s="102">
        <f>tbl_ConsultingCompanys!C1074</f>
        <v>0</v>
      </c>
      <c r="S1074" s="102">
        <f t="shared" si="50"/>
        <v>0</v>
      </c>
    </row>
    <row r="1075" spans="11:19" x14ac:dyDescent="0.15">
      <c r="K1075" s="102">
        <f>tbl_ArchitectureOffices!D1075</f>
        <v>0</v>
      </c>
      <c r="L1075" s="102">
        <f>tbl_ArchitectureOffices!C1075</f>
        <v>0</v>
      </c>
      <c r="M1075" s="102">
        <f t="shared" si="48"/>
        <v>0</v>
      </c>
      <c r="N1075" s="102" t="str">
        <f>tbl_Companys!D1075</f>
        <v>Steen &amp; Lund</v>
      </c>
      <c r="O1075" s="102">
        <f>tbl_Companys!C1075</f>
        <v>193821</v>
      </c>
      <c r="P1075" s="102" t="str">
        <f t="shared" si="49"/>
        <v>Steen &amp; Lund</v>
      </c>
      <c r="Q1075" s="102">
        <f>tbl_ConsultingCompanys!D1075</f>
        <v>0</v>
      </c>
      <c r="R1075" s="102">
        <f>tbl_ConsultingCompanys!C1075</f>
        <v>0</v>
      </c>
      <c r="S1075" s="102">
        <f t="shared" si="50"/>
        <v>0</v>
      </c>
    </row>
    <row r="1076" spans="11:19" x14ac:dyDescent="0.15">
      <c r="K1076" s="102">
        <f>tbl_ArchitectureOffices!D1076</f>
        <v>0</v>
      </c>
      <c r="L1076" s="102">
        <f>tbl_ArchitectureOffices!C1076</f>
        <v>0</v>
      </c>
      <c r="M1076" s="102">
        <f t="shared" si="48"/>
        <v>0</v>
      </c>
      <c r="N1076" s="102" t="str">
        <f>tbl_Companys!D1076</f>
        <v>STEIEN Consult AS</v>
      </c>
      <c r="O1076" s="102">
        <f>tbl_Companys!C1076</f>
        <v>243667</v>
      </c>
      <c r="P1076" s="102" t="str">
        <f t="shared" si="49"/>
        <v>STEIEN Consult AS</v>
      </c>
      <c r="Q1076" s="102">
        <f>tbl_ConsultingCompanys!D1076</f>
        <v>0</v>
      </c>
      <c r="R1076" s="102">
        <f>tbl_ConsultingCompanys!C1076</f>
        <v>0</v>
      </c>
      <c r="S1076" s="102">
        <f t="shared" si="50"/>
        <v>0</v>
      </c>
    </row>
    <row r="1077" spans="11:19" x14ac:dyDescent="0.15">
      <c r="K1077" s="102">
        <f>tbl_ArchitectureOffices!D1077</f>
        <v>0</v>
      </c>
      <c r="L1077" s="102">
        <f>tbl_ArchitectureOffices!C1077</f>
        <v>0</v>
      </c>
      <c r="M1077" s="102">
        <f t="shared" si="48"/>
        <v>0</v>
      </c>
      <c r="N1077" s="102" t="str">
        <f>tbl_Companys!D1077</f>
        <v>Stein Stoknes</v>
      </c>
      <c r="O1077" s="102">
        <f>tbl_Companys!C1077</f>
        <v>177614</v>
      </c>
      <c r="P1077" s="102" t="str">
        <f t="shared" si="49"/>
        <v>Stein Stoknes</v>
      </c>
      <c r="Q1077" s="102">
        <f>tbl_ConsultingCompanys!D1077</f>
        <v>0</v>
      </c>
      <c r="R1077" s="102">
        <f>tbl_ConsultingCompanys!C1077</f>
        <v>0</v>
      </c>
      <c r="S1077" s="102">
        <f t="shared" si="50"/>
        <v>0</v>
      </c>
    </row>
    <row r="1078" spans="11:19" x14ac:dyDescent="0.15">
      <c r="K1078" s="102">
        <f>tbl_ArchitectureOffices!D1078</f>
        <v>0</v>
      </c>
      <c r="L1078" s="102">
        <f>tbl_ArchitectureOffices!C1078</f>
        <v>0</v>
      </c>
      <c r="M1078" s="102">
        <f t="shared" si="48"/>
        <v>0</v>
      </c>
      <c r="N1078" s="102" t="str">
        <f>tbl_Companys!D1078</f>
        <v>Steinar Johansen (tømrer)</v>
      </c>
      <c r="O1078" s="102">
        <f>tbl_Companys!C1078</f>
        <v>112571</v>
      </c>
      <c r="P1078" s="102" t="str">
        <f t="shared" si="49"/>
        <v>Steinar Johansen (tømrer)</v>
      </c>
      <c r="Q1078" s="102">
        <f>tbl_ConsultingCompanys!D1078</f>
        <v>0</v>
      </c>
      <c r="R1078" s="102">
        <f>tbl_ConsultingCompanys!C1078</f>
        <v>0</v>
      </c>
      <c r="S1078" s="102">
        <f t="shared" si="50"/>
        <v>0</v>
      </c>
    </row>
    <row r="1079" spans="11:19" x14ac:dyDescent="0.15">
      <c r="K1079" s="102">
        <f>tbl_ArchitectureOffices!D1079</f>
        <v>0</v>
      </c>
      <c r="L1079" s="102">
        <f>tbl_ArchitectureOffices!C1079</f>
        <v>0</v>
      </c>
      <c r="M1079" s="102">
        <f t="shared" si="48"/>
        <v>0</v>
      </c>
      <c r="N1079" s="102" t="str">
        <f>tbl_Companys!D1079</f>
        <v>Steinar Moldal</v>
      </c>
      <c r="O1079" s="102">
        <f>tbl_Companys!C1079</f>
        <v>247288</v>
      </c>
      <c r="P1079" s="102" t="str">
        <f t="shared" si="49"/>
        <v>Steinar Moldal</v>
      </c>
      <c r="Q1079" s="102">
        <f>tbl_ConsultingCompanys!D1079</f>
        <v>0</v>
      </c>
      <c r="R1079" s="102">
        <f>tbl_ConsultingCompanys!C1079</f>
        <v>0</v>
      </c>
      <c r="S1079" s="102">
        <f t="shared" si="50"/>
        <v>0</v>
      </c>
    </row>
    <row r="1080" spans="11:19" x14ac:dyDescent="0.15">
      <c r="K1080" s="102">
        <f>tbl_ArchitectureOffices!D1080</f>
        <v>0</v>
      </c>
      <c r="L1080" s="102">
        <f>tbl_ArchitectureOffices!C1080</f>
        <v>0</v>
      </c>
      <c r="M1080" s="102">
        <f t="shared" si="48"/>
        <v>0</v>
      </c>
      <c r="N1080" s="102" t="str">
        <f>tbl_Companys!D1080</f>
        <v>Steinsvik Arkitektkontor AS</v>
      </c>
      <c r="O1080" s="102">
        <f>tbl_Companys!C1080</f>
        <v>193910</v>
      </c>
      <c r="P1080" s="102" t="str">
        <f t="shared" si="49"/>
        <v>Steinsvik Arkitektkontor AS</v>
      </c>
      <c r="Q1080" s="102">
        <f>tbl_ConsultingCompanys!D1080</f>
        <v>0</v>
      </c>
      <c r="R1080" s="102">
        <f>tbl_ConsultingCompanys!C1080</f>
        <v>0</v>
      </c>
      <c r="S1080" s="102">
        <f t="shared" si="50"/>
        <v>0</v>
      </c>
    </row>
    <row r="1081" spans="11:19" x14ac:dyDescent="0.15">
      <c r="K1081" s="102">
        <f>tbl_ArchitectureOffices!D1081</f>
        <v>0</v>
      </c>
      <c r="L1081" s="102">
        <f>tbl_ArchitectureOffices!C1081</f>
        <v>0</v>
      </c>
      <c r="M1081" s="102">
        <f t="shared" si="48"/>
        <v>0</v>
      </c>
      <c r="N1081" s="102" t="str">
        <f>tbl_Companys!D1081</f>
        <v>Stensrud og Danielsen</v>
      </c>
      <c r="O1081" s="102">
        <f>tbl_Companys!C1081</f>
        <v>121159</v>
      </c>
      <c r="P1081" s="102" t="str">
        <f t="shared" si="49"/>
        <v>Stensrud og Danielsen</v>
      </c>
      <c r="Q1081" s="102">
        <f>tbl_ConsultingCompanys!D1081</f>
        <v>0</v>
      </c>
      <c r="R1081" s="102">
        <f>tbl_ConsultingCompanys!C1081</f>
        <v>0</v>
      </c>
      <c r="S1081" s="102">
        <f t="shared" si="50"/>
        <v>0</v>
      </c>
    </row>
    <row r="1082" spans="11:19" x14ac:dyDescent="0.15">
      <c r="K1082" s="102">
        <f>tbl_ArchitectureOffices!D1082</f>
        <v>0</v>
      </c>
      <c r="L1082" s="102">
        <f>tbl_ArchitectureOffices!C1082</f>
        <v>0</v>
      </c>
      <c r="M1082" s="102">
        <f t="shared" si="48"/>
        <v>0</v>
      </c>
      <c r="N1082" s="102" t="str">
        <f>tbl_Companys!D1082</f>
        <v>Steven Holl Architects</v>
      </c>
      <c r="O1082" s="102">
        <f>tbl_Companys!C1082</f>
        <v>243879</v>
      </c>
      <c r="P1082" s="102" t="str">
        <f t="shared" si="49"/>
        <v>Steven Holl Architects</v>
      </c>
      <c r="Q1082" s="102">
        <f>tbl_ConsultingCompanys!D1082</f>
        <v>0</v>
      </c>
      <c r="R1082" s="102">
        <f>tbl_ConsultingCompanys!C1082</f>
        <v>0</v>
      </c>
      <c r="S1082" s="102">
        <f t="shared" si="50"/>
        <v>0</v>
      </c>
    </row>
    <row r="1083" spans="11:19" x14ac:dyDescent="0.15">
      <c r="K1083" s="102">
        <f>tbl_ArchitectureOffices!D1083</f>
        <v>0</v>
      </c>
      <c r="L1083" s="102">
        <f>tbl_ArchitectureOffices!C1083</f>
        <v>0</v>
      </c>
      <c r="M1083" s="102">
        <f t="shared" si="48"/>
        <v>0</v>
      </c>
      <c r="N1083" s="102" t="str">
        <f>tbl_Companys!D1083</f>
        <v>Stiftelsen Kirkens Bymisjon</v>
      </c>
      <c r="O1083" s="102">
        <f>tbl_Companys!C1083</f>
        <v>247747</v>
      </c>
      <c r="P1083" s="102" t="str">
        <f t="shared" si="49"/>
        <v>Stiftelsen Kirkens Bymisjon</v>
      </c>
      <c r="Q1083" s="102">
        <f>tbl_ConsultingCompanys!D1083</f>
        <v>0</v>
      </c>
      <c r="R1083" s="102">
        <f>tbl_ConsultingCompanys!C1083</f>
        <v>0</v>
      </c>
      <c r="S1083" s="102">
        <f t="shared" si="50"/>
        <v>0</v>
      </c>
    </row>
    <row r="1084" spans="11:19" x14ac:dyDescent="0.15">
      <c r="K1084" s="102">
        <f>tbl_ArchitectureOffices!D1084</f>
        <v>0</v>
      </c>
      <c r="L1084" s="102">
        <f>tbl_ArchitectureOffices!C1084</f>
        <v>0</v>
      </c>
      <c r="M1084" s="102">
        <f t="shared" si="48"/>
        <v>0</v>
      </c>
      <c r="N1084" s="102" t="str">
        <f>tbl_Companys!D1084</f>
        <v xml:space="preserve">Stiftelsen Østfoldforskning </v>
      </c>
      <c r="O1084" s="102">
        <f>tbl_Companys!C1084</f>
        <v>110820</v>
      </c>
      <c r="P1084" s="102" t="str">
        <f t="shared" si="49"/>
        <v>Stiftelsen Østfoldforskning</v>
      </c>
      <c r="Q1084" s="102">
        <f>tbl_ConsultingCompanys!D1084</f>
        <v>0</v>
      </c>
      <c r="R1084" s="102">
        <f>tbl_ConsultingCompanys!C1084</f>
        <v>0</v>
      </c>
      <c r="S1084" s="102">
        <f t="shared" si="50"/>
        <v>0</v>
      </c>
    </row>
    <row r="1085" spans="11:19" x14ac:dyDescent="0.15">
      <c r="K1085" s="102">
        <f>tbl_ArchitectureOffices!D1085</f>
        <v>0</v>
      </c>
      <c r="L1085" s="102">
        <f>tbl_ArchitectureOffices!C1085</f>
        <v>0</v>
      </c>
      <c r="M1085" s="102">
        <f t="shared" si="48"/>
        <v>0</v>
      </c>
      <c r="N1085" s="102" t="str">
        <f>tbl_Companys!D1085</f>
        <v>Stjern AS</v>
      </c>
      <c r="O1085" s="102">
        <f>tbl_Companys!C1085</f>
        <v>110280</v>
      </c>
      <c r="P1085" s="102" t="str">
        <f t="shared" si="49"/>
        <v>Stjern AS</v>
      </c>
      <c r="Q1085" s="102">
        <f>tbl_ConsultingCompanys!D1085</f>
        <v>0</v>
      </c>
      <c r="R1085" s="102">
        <f>tbl_ConsultingCompanys!C1085</f>
        <v>0</v>
      </c>
      <c r="S1085" s="102">
        <f t="shared" si="50"/>
        <v>0</v>
      </c>
    </row>
    <row r="1086" spans="11:19" x14ac:dyDescent="0.15">
      <c r="K1086" s="102">
        <f>tbl_ArchitectureOffices!D1086</f>
        <v>0</v>
      </c>
      <c r="L1086" s="102">
        <f>tbl_ArchitectureOffices!C1086</f>
        <v>0</v>
      </c>
      <c r="M1086" s="102">
        <f t="shared" si="48"/>
        <v>0</v>
      </c>
      <c r="N1086" s="102" t="str">
        <f>tbl_Companys!D1086</f>
        <v xml:space="preserve">Stjern Entreprenør AS Åfjord (SUB-lugarer) </v>
      </c>
      <c r="O1086" s="102">
        <f>tbl_Companys!C1086</f>
        <v>230106</v>
      </c>
      <c r="P1086" s="102" t="str">
        <f t="shared" si="49"/>
        <v>Stjern Entreprenør AS Åfjord (SUB-lugarer)</v>
      </c>
      <c r="Q1086" s="102">
        <f>tbl_ConsultingCompanys!D1086</f>
        <v>0</v>
      </c>
      <c r="R1086" s="102">
        <f>tbl_ConsultingCompanys!C1086</f>
        <v>0</v>
      </c>
      <c r="S1086" s="102">
        <f t="shared" si="50"/>
        <v>0</v>
      </c>
    </row>
    <row r="1087" spans="11:19" x14ac:dyDescent="0.15">
      <c r="K1087" s="102">
        <f>tbl_ArchitectureOffices!D1087</f>
        <v>0</v>
      </c>
      <c r="L1087" s="102">
        <f>tbl_ArchitectureOffices!C1087</f>
        <v>0</v>
      </c>
      <c r="M1087" s="102">
        <f t="shared" si="48"/>
        <v>0</v>
      </c>
      <c r="N1087" s="102" t="str">
        <f>tbl_Companys!D1087</f>
        <v>Stockholm Lighting AB</v>
      </c>
      <c r="O1087" s="102">
        <f>tbl_Companys!C1087</f>
        <v>233808</v>
      </c>
      <c r="P1087" s="102" t="str">
        <f t="shared" si="49"/>
        <v>Stockholm Lighting AB</v>
      </c>
      <c r="Q1087" s="102">
        <f>tbl_ConsultingCompanys!D1087</f>
        <v>0</v>
      </c>
      <c r="R1087" s="102">
        <f>tbl_ConsultingCompanys!C1087</f>
        <v>0</v>
      </c>
      <c r="S1087" s="102">
        <f t="shared" si="50"/>
        <v>0</v>
      </c>
    </row>
    <row r="1088" spans="11:19" x14ac:dyDescent="0.15">
      <c r="K1088" s="102">
        <f>tbl_ArchitectureOffices!D1088</f>
        <v>0</v>
      </c>
      <c r="L1088" s="102">
        <f>tbl_ArchitectureOffices!C1088</f>
        <v>0</v>
      </c>
      <c r="M1088" s="102">
        <f t="shared" si="48"/>
        <v>0</v>
      </c>
      <c r="N1088" s="102" t="str">
        <f>tbl_Companys!D1088</f>
        <v>Stokke Stål AS Fundamenter og betongkonstruksjoner; Dr. Ing. Olav Olsen AS (vindskjermer)</v>
      </c>
      <c r="O1088" s="102">
        <f>tbl_Companys!C1088</f>
        <v>155184</v>
      </c>
      <c r="P1088" s="102" t="str">
        <f t="shared" si="49"/>
        <v>Stokke Stål AS Fundamenter og betongkonstruksjoner; Dr. Ing. Olav Olsen AS (vindskjermer)</v>
      </c>
      <c r="Q1088" s="102">
        <f>tbl_ConsultingCompanys!D1088</f>
        <v>0</v>
      </c>
      <c r="R1088" s="102">
        <f>tbl_ConsultingCompanys!C1088</f>
        <v>0</v>
      </c>
      <c r="S1088" s="102">
        <f t="shared" si="50"/>
        <v>0</v>
      </c>
    </row>
    <row r="1089" spans="11:19" x14ac:dyDescent="0.15">
      <c r="K1089" s="102">
        <f>tbl_ArchitectureOffices!D1089</f>
        <v>0</v>
      </c>
      <c r="L1089" s="102">
        <f>tbl_ArchitectureOffices!C1089</f>
        <v>0</v>
      </c>
      <c r="M1089" s="102">
        <f t="shared" si="48"/>
        <v>0</v>
      </c>
      <c r="N1089" s="102" t="str">
        <f>tbl_Companys!D1089</f>
        <v>Stokke Stål AS Fundamenter og betongkonstruksjoner; Dr. Ing. Olav Olsen AS (vindskjermer)</v>
      </c>
      <c r="O1089" s="102">
        <f>tbl_Companys!C1089</f>
        <v>155187</v>
      </c>
      <c r="P1089" s="102" t="str">
        <f t="shared" si="49"/>
        <v>Stokke Stål AS Fundamenter og betongkonstruksjoner; Dr. Ing. Olav Olsen AS (vindskjermer)</v>
      </c>
      <c r="Q1089" s="102">
        <f>tbl_ConsultingCompanys!D1089</f>
        <v>0</v>
      </c>
      <c r="R1089" s="102">
        <f>tbl_ConsultingCompanys!C1089</f>
        <v>0</v>
      </c>
      <c r="S1089" s="102">
        <f t="shared" si="50"/>
        <v>0</v>
      </c>
    </row>
    <row r="1090" spans="11:19" x14ac:dyDescent="0.15">
      <c r="K1090" s="102">
        <f>tbl_ArchitectureOffices!D1090</f>
        <v>0</v>
      </c>
      <c r="L1090" s="102">
        <f>tbl_ArchitectureOffices!C1090</f>
        <v>0</v>
      </c>
      <c r="M1090" s="102">
        <f t="shared" si="48"/>
        <v>0</v>
      </c>
      <c r="N1090" s="102" t="str">
        <f>tbl_Companys!D1090</f>
        <v>Stoltz Røthing AS</v>
      </c>
      <c r="O1090" s="102">
        <f>tbl_Companys!C1090</f>
        <v>228271</v>
      </c>
      <c r="P1090" s="102" t="str">
        <f t="shared" si="49"/>
        <v>Stoltz Røthing AS</v>
      </c>
      <c r="Q1090" s="102">
        <f>tbl_ConsultingCompanys!D1090</f>
        <v>0</v>
      </c>
      <c r="R1090" s="102">
        <f>tbl_ConsultingCompanys!C1090</f>
        <v>0</v>
      </c>
      <c r="S1090" s="102">
        <f t="shared" si="50"/>
        <v>0</v>
      </c>
    </row>
    <row r="1091" spans="11:19" x14ac:dyDescent="0.15">
      <c r="K1091" s="102">
        <f>tbl_ArchitectureOffices!D1091</f>
        <v>0</v>
      </c>
      <c r="L1091" s="102">
        <f>tbl_ArchitectureOffices!C1091</f>
        <v>0</v>
      </c>
      <c r="M1091" s="102">
        <f t="shared" ref="M1091:M1154" si="51">IFERROR(REPLACE(K1091,FIND(" ",K1091,LEN(K1091)),1,""),K1091)</f>
        <v>0</v>
      </c>
      <c r="N1091" s="102" t="str">
        <f>tbl_Companys!D1091</f>
        <v>Storebrand Livsforsikring v/Storebrand Eiendom AS</v>
      </c>
      <c r="O1091" s="102">
        <f>tbl_Companys!C1091</f>
        <v>202313</v>
      </c>
      <c r="P1091" s="102" t="str">
        <f t="shared" ref="P1091:P1154" si="52">IFERROR(REPLACE(N1091,FIND(" ",N1091,LEN(N1091)),1,""),N1091)</f>
        <v>Storebrand Livsforsikring v/Storebrand Eiendom AS</v>
      </c>
      <c r="Q1091" s="102">
        <f>tbl_ConsultingCompanys!D1091</f>
        <v>0</v>
      </c>
      <c r="R1091" s="102">
        <f>tbl_ConsultingCompanys!C1091</f>
        <v>0</v>
      </c>
      <c r="S1091" s="102">
        <f t="shared" ref="S1091:S1154" si="53">IFERROR(REPLACE(Q1091,FIND(" ",Q1091,LEN(Q1091)),1,""),Q1091)</f>
        <v>0</v>
      </c>
    </row>
    <row r="1092" spans="11:19" x14ac:dyDescent="0.15">
      <c r="K1092" s="102">
        <f>tbl_ArchitectureOffices!D1092</f>
        <v>0</v>
      </c>
      <c r="L1092" s="102">
        <f>tbl_ArchitectureOffices!C1092</f>
        <v>0</v>
      </c>
      <c r="M1092" s="102">
        <f t="shared" si="51"/>
        <v>0</v>
      </c>
      <c r="N1092" s="102" t="str">
        <f>tbl_Companys!D1092</f>
        <v>Stormorken og Hamre AS</v>
      </c>
      <c r="O1092" s="102">
        <f>tbl_Companys!C1092</f>
        <v>214725</v>
      </c>
      <c r="P1092" s="102" t="str">
        <f t="shared" si="52"/>
        <v>Stormorken og Hamre AS</v>
      </c>
      <c r="Q1092" s="102">
        <f>tbl_ConsultingCompanys!D1092</f>
        <v>0</v>
      </c>
      <c r="R1092" s="102">
        <f>tbl_ConsultingCompanys!C1092</f>
        <v>0</v>
      </c>
      <c r="S1092" s="102">
        <f t="shared" si="53"/>
        <v>0</v>
      </c>
    </row>
    <row r="1093" spans="11:19" x14ac:dyDescent="0.15">
      <c r="K1093" s="102">
        <f>tbl_ArchitectureOffices!D1093</f>
        <v>0</v>
      </c>
      <c r="L1093" s="102">
        <f>tbl_ArchitectureOffices!C1093</f>
        <v>0</v>
      </c>
      <c r="M1093" s="102">
        <f t="shared" si="51"/>
        <v>0</v>
      </c>
      <c r="N1093" s="102" t="str">
        <f>tbl_Companys!D1093</f>
        <v>Stor-Oslo Prosjekt AS</v>
      </c>
      <c r="O1093" s="102">
        <f>tbl_Companys!C1093</f>
        <v>246738</v>
      </c>
      <c r="P1093" s="102" t="str">
        <f t="shared" si="52"/>
        <v>Stor-Oslo Prosjekt AS</v>
      </c>
      <c r="Q1093" s="102">
        <f>tbl_ConsultingCompanys!D1093</f>
        <v>0</v>
      </c>
      <c r="R1093" s="102">
        <f>tbl_ConsultingCompanys!C1093</f>
        <v>0</v>
      </c>
      <c r="S1093" s="102">
        <f t="shared" si="53"/>
        <v>0</v>
      </c>
    </row>
    <row r="1094" spans="11:19" x14ac:dyDescent="0.15">
      <c r="K1094" s="102">
        <f>tbl_ArchitectureOffices!D1094</f>
        <v>0</v>
      </c>
      <c r="L1094" s="102">
        <f>tbl_ArchitectureOffices!C1094</f>
        <v>0</v>
      </c>
      <c r="M1094" s="102">
        <f t="shared" si="51"/>
        <v>0</v>
      </c>
      <c r="N1094" s="102" t="str">
        <f>tbl_Companys!D1094</f>
        <v>Stousland Arkitektkontor AS</v>
      </c>
      <c r="O1094" s="102">
        <f>tbl_Companys!C1094</f>
        <v>166478</v>
      </c>
      <c r="P1094" s="102" t="str">
        <f t="shared" si="52"/>
        <v>Stousland Arkitektkontor AS</v>
      </c>
      <c r="Q1094" s="102">
        <f>tbl_ConsultingCompanys!D1094</f>
        <v>0</v>
      </c>
      <c r="R1094" s="102">
        <f>tbl_ConsultingCompanys!C1094</f>
        <v>0</v>
      </c>
      <c r="S1094" s="102">
        <f t="shared" si="53"/>
        <v>0</v>
      </c>
    </row>
    <row r="1095" spans="11:19" x14ac:dyDescent="0.15">
      <c r="K1095" s="102">
        <f>tbl_ArchitectureOffices!D1095</f>
        <v>0</v>
      </c>
      <c r="L1095" s="102">
        <f>tbl_ArchitectureOffices!C1095</f>
        <v>0</v>
      </c>
      <c r="M1095" s="102">
        <f t="shared" si="51"/>
        <v>0</v>
      </c>
      <c r="N1095" s="102" t="str">
        <f>tbl_Companys!D1095</f>
        <v>Strand forskaling (betong)</v>
      </c>
      <c r="O1095" s="102">
        <f>tbl_Companys!C1095</f>
        <v>162878</v>
      </c>
      <c r="P1095" s="102" t="str">
        <f t="shared" si="52"/>
        <v>Strand forskaling (betong)</v>
      </c>
      <c r="Q1095" s="102">
        <f>tbl_ConsultingCompanys!D1095</f>
        <v>0</v>
      </c>
      <c r="R1095" s="102">
        <f>tbl_ConsultingCompanys!C1095</f>
        <v>0</v>
      </c>
      <c r="S1095" s="102">
        <f t="shared" si="53"/>
        <v>0</v>
      </c>
    </row>
    <row r="1096" spans="11:19" x14ac:dyDescent="0.15">
      <c r="K1096" s="102">
        <f>tbl_ArchitectureOffices!D1096</f>
        <v>0</v>
      </c>
      <c r="L1096" s="102">
        <f>tbl_ArchitectureOffices!C1096</f>
        <v>0</v>
      </c>
      <c r="M1096" s="102">
        <f t="shared" si="51"/>
        <v>0</v>
      </c>
      <c r="N1096" s="102" t="str">
        <f>tbl_Companys!D1096</f>
        <v>Straume AS</v>
      </c>
      <c r="O1096" s="102">
        <f>tbl_Companys!C1096</f>
        <v>218046</v>
      </c>
      <c r="P1096" s="102" t="str">
        <f t="shared" si="52"/>
        <v>Straume AS</v>
      </c>
      <c r="Q1096" s="102">
        <f>tbl_ConsultingCompanys!D1096</f>
        <v>0</v>
      </c>
      <c r="R1096" s="102">
        <f>tbl_ConsultingCompanys!C1096</f>
        <v>0</v>
      </c>
      <c r="S1096" s="102">
        <f t="shared" si="53"/>
        <v>0</v>
      </c>
    </row>
    <row r="1097" spans="11:19" x14ac:dyDescent="0.15">
      <c r="K1097" s="102">
        <f>tbl_ArchitectureOffices!D1097</f>
        <v>0</v>
      </c>
      <c r="L1097" s="102">
        <f>tbl_ArchitectureOffices!C1097</f>
        <v>0</v>
      </c>
      <c r="M1097" s="102">
        <f t="shared" si="51"/>
        <v>0</v>
      </c>
      <c r="N1097" s="102" t="str">
        <f>tbl_Companys!D1097</f>
        <v>Streken arkitektgruppe as</v>
      </c>
      <c r="O1097" s="102">
        <f>tbl_Companys!C1097</f>
        <v>166475</v>
      </c>
      <c r="P1097" s="102" t="str">
        <f t="shared" si="52"/>
        <v>Streken arkitektgruppe as</v>
      </c>
      <c r="Q1097" s="102">
        <f>tbl_ConsultingCompanys!D1097</f>
        <v>0</v>
      </c>
      <c r="R1097" s="102">
        <f>tbl_ConsultingCompanys!C1097</f>
        <v>0</v>
      </c>
      <c r="S1097" s="102">
        <f t="shared" si="53"/>
        <v>0</v>
      </c>
    </row>
    <row r="1098" spans="11:19" x14ac:dyDescent="0.15">
      <c r="K1098" s="102">
        <f>tbl_ArchitectureOffices!D1098</f>
        <v>0</v>
      </c>
      <c r="L1098" s="102">
        <f>tbl_ArchitectureOffices!C1098</f>
        <v>0</v>
      </c>
      <c r="M1098" s="102">
        <f t="shared" si="51"/>
        <v>0</v>
      </c>
      <c r="N1098" s="102" t="str">
        <f>tbl_Companys!D1098</f>
        <v>Structura AS</v>
      </c>
      <c r="O1098" s="102">
        <f>tbl_Companys!C1098</f>
        <v>162912</v>
      </c>
      <c r="P1098" s="102" t="str">
        <f t="shared" si="52"/>
        <v>Structura AS</v>
      </c>
      <c r="Q1098" s="102">
        <f>tbl_ConsultingCompanys!D1098</f>
        <v>0</v>
      </c>
      <c r="R1098" s="102">
        <f>tbl_ConsultingCompanys!C1098</f>
        <v>0</v>
      </c>
      <c r="S1098" s="102">
        <f t="shared" si="53"/>
        <v>0</v>
      </c>
    </row>
    <row r="1099" spans="11:19" x14ac:dyDescent="0.15">
      <c r="K1099" s="102">
        <f>tbl_ArchitectureOffices!D1099</f>
        <v>0</v>
      </c>
      <c r="L1099" s="102">
        <f>tbl_ArchitectureOffices!C1099</f>
        <v>0</v>
      </c>
      <c r="M1099" s="102">
        <f t="shared" si="51"/>
        <v>0</v>
      </c>
      <c r="N1099" s="102" t="str">
        <f>tbl_Companys!D1099</f>
        <v>Structura AS (Roberth Nøsen)</v>
      </c>
      <c r="O1099" s="102">
        <f>tbl_Companys!C1099</f>
        <v>162921</v>
      </c>
      <c r="P1099" s="102" t="str">
        <f t="shared" si="52"/>
        <v>Structura AS (Roberth Nøsen)</v>
      </c>
      <c r="Q1099" s="102">
        <f>tbl_ConsultingCompanys!D1099</f>
        <v>0</v>
      </c>
      <c r="R1099" s="102">
        <f>tbl_ConsultingCompanys!C1099</f>
        <v>0</v>
      </c>
      <c r="S1099" s="102">
        <f t="shared" si="53"/>
        <v>0</v>
      </c>
    </row>
    <row r="1100" spans="11:19" x14ac:dyDescent="0.15">
      <c r="K1100" s="102">
        <f>tbl_ArchitectureOffices!D1100</f>
        <v>0</v>
      </c>
      <c r="L1100" s="102">
        <f>tbl_ArchitectureOffices!C1100</f>
        <v>0</v>
      </c>
      <c r="M1100" s="102">
        <f t="shared" si="51"/>
        <v>0</v>
      </c>
      <c r="N1100" s="102" t="str">
        <f>tbl_Companys!D1100</f>
        <v>Strøm Gundersen AS</v>
      </c>
      <c r="O1100" s="102">
        <f>tbl_Companys!C1100</f>
        <v>228043</v>
      </c>
      <c r="P1100" s="102" t="str">
        <f t="shared" si="52"/>
        <v>Strøm Gundersen AS</v>
      </c>
      <c r="Q1100" s="102">
        <f>tbl_ConsultingCompanys!D1100</f>
        <v>0</v>
      </c>
      <c r="R1100" s="102">
        <f>tbl_ConsultingCompanys!C1100</f>
        <v>0</v>
      </c>
      <c r="S1100" s="102">
        <f t="shared" si="53"/>
        <v>0</v>
      </c>
    </row>
    <row r="1101" spans="11:19" x14ac:dyDescent="0.15">
      <c r="K1101" s="102">
        <f>tbl_ArchitectureOffices!D1101</f>
        <v>0</v>
      </c>
      <c r="L1101" s="102">
        <f>tbl_ArchitectureOffices!C1101</f>
        <v>0</v>
      </c>
      <c r="M1101" s="102">
        <f t="shared" si="51"/>
        <v>0</v>
      </c>
      <c r="N1101" s="102" t="str">
        <f>tbl_Companys!D1101</f>
        <v>Studentsamskibnaden i Oslo</v>
      </c>
      <c r="O1101" s="102">
        <f>tbl_Companys!C1101</f>
        <v>160574</v>
      </c>
      <c r="P1101" s="102" t="str">
        <f t="shared" si="52"/>
        <v>Studentsamskibnaden i Oslo</v>
      </c>
      <c r="Q1101" s="102">
        <f>tbl_ConsultingCompanys!D1101</f>
        <v>0</v>
      </c>
      <c r="R1101" s="102">
        <f>tbl_ConsultingCompanys!C1101</f>
        <v>0</v>
      </c>
      <c r="S1101" s="102">
        <f t="shared" si="53"/>
        <v>0</v>
      </c>
    </row>
    <row r="1102" spans="11:19" x14ac:dyDescent="0.15">
      <c r="K1102" s="102">
        <f>tbl_ArchitectureOffices!D1102</f>
        <v>0</v>
      </c>
      <c r="L1102" s="102">
        <f>tbl_ArchitectureOffices!C1102</f>
        <v>0</v>
      </c>
      <c r="M1102" s="102">
        <f t="shared" si="51"/>
        <v>0</v>
      </c>
      <c r="N1102" s="102" t="str">
        <f>tbl_Companys!D1102</f>
        <v>Studentsamskibnaden i Oslo</v>
      </c>
      <c r="O1102" s="102">
        <f>tbl_Companys!C1102</f>
        <v>160604</v>
      </c>
      <c r="P1102" s="102" t="str">
        <f t="shared" si="52"/>
        <v>Studentsamskibnaden i Oslo</v>
      </c>
      <c r="Q1102" s="102">
        <f>tbl_ConsultingCompanys!D1102</f>
        <v>0</v>
      </c>
      <c r="R1102" s="102">
        <f>tbl_ConsultingCompanys!C1102</f>
        <v>0</v>
      </c>
      <c r="S1102" s="102">
        <f t="shared" si="53"/>
        <v>0</v>
      </c>
    </row>
    <row r="1103" spans="11:19" x14ac:dyDescent="0.15">
      <c r="K1103" s="102">
        <f>tbl_ArchitectureOffices!D1103</f>
        <v>0</v>
      </c>
      <c r="L1103" s="102">
        <f>tbl_ArchitectureOffices!C1103</f>
        <v>0</v>
      </c>
      <c r="M1103" s="102">
        <f t="shared" si="51"/>
        <v>0</v>
      </c>
      <c r="N1103" s="102" t="str">
        <f>tbl_Companys!D1103</f>
        <v>Studentsamskipnaden i Trondheim (SiT)</v>
      </c>
      <c r="O1103" s="102">
        <f>tbl_Companys!C1103</f>
        <v>165386</v>
      </c>
      <c r="P1103" s="102" t="str">
        <f t="shared" si="52"/>
        <v>Studentsamskipnaden i Trondheim (SiT)</v>
      </c>
      <c r="Q1103" s="102">
        <f>tbl_ConsultingCompanys!D1103</f>
        <v>0</v>
      </c>
      <c r="R1103" s="102">
        <f>tbl_ConsultingCompanys!C1103</f>
        <v>0</v>
      </c>
      <c r="S1103" s="102">
        <f t="shared" si="53"/>
        <v>0</v>
      </c>
    </row>
    <row r="1104" spans="11:19" x14ac:dyDescent="0.15">
      <c r="K1104" s="102">
        <f>tbl_ArchitectureOffices!D1104</f>
        <v>0</v>
      </c>
      <c r="L1104" s="102">
        <f>tbl_ArchitectureOffices!C1104</f>
        <v>0</v>
      </c>
      <c r="M1104" s="102">
        <f t="shared" si="51"/>
        <v>0</v>
      </c>
      <c r="N1104" s="102" t="str">
        <f>tbl_Companys!D1104</f>
        <v>Studio 4 Arkitekter AS</v>
      </c>
      <c r="O1104" s="102">
        <f>tbl_Companys!C1104</f>
        <v>166470</v>
      </c>
      <c r="P1104" s="102" t="str">
        <f t="shared" si="52"/>
        <v>Studio 4 Arkitekter AS</v>
      </c>
      <c r="Q1104" s="102">
        <f>tbl_ConsultingCompanys!D1104</f>
        <v>0</v>
      </c>
      <c r="R1104" s="102">
        <f>tbl_ConsultingCompanys!C1104</f>
        <v>0</v>
      </c>
      <c r="S1104" s="102">
        <f t="shared" si="53"/>
        <v>0</v>
      </c>
    </row>
    <row r="1105" spans="11:19" x14ac:dyDescent="0.15">
      <c r="K1105" s="102">
        <f>tbl_ArchitectureOffices!D1105</f>
        <v>0</v>
      </c>
      <c r="L1105" s="102">
        <f>tbl_ArchitectureOffices!C1105</f>
        <v>0</v>
      </c>
      <c r="M1105" s="102">
        <f t="shared" si="51"/>
        <v>0</v>
      </c>
      <c r="N1105" s="102" t="str">
        <f>tbl_Companys!D1105</f>
        <v>Studio ludo as</v>
      </c>
      <c r="O1105" s="102">
        <f>tbl_Companys!C1105</f>
        <v>166473</v>
      </c>
      <c r="P1105" s="102" t="str">
        <f t="shared" si="52"/>
        <v>Studio ludo as</v>
      </c>
      <c r="Q1105" s="102">
        <f>tbl_ConsultingCompanys!D1105</f>
        <v>0</v>
      </c>
      <c r="R1105" s="102">
        <f>tbl_ConsultingCompanys!C1105</f>
        <v>0</v>
      </c>
      <c r="S1105" s="102">
        <f t="shared" si="53"/>
        <v>0</v>
      </c>
    </row>
    <row r="1106" spans="11:19" x14ac:dyDescent="0.15">
      <c r="K1106" s="102">
        <f>tbl_ArchitectureOffices!D1106</f>
        <v>0</v>
      </c>
      <c r="L1106" s="102">
        <f>tbl_ArchitectureOffices!C1106</f>
        <v>0</v>
      </c>
      <c r="M1106" s="102">
        <f t="shared" si="51"/>
        <v>0</v>
      </c>
      <c r="N1106" s="102" t="str">
        <f>tbl_Companys!D1106</f>
        <v>Studio Stokke</v>
      </c>
      <c r="O1106" s="102">
        <f>tbl_Companys!C1106</f>
        <v>166471</v>
      </c>
      <c r="P1106" s="102" t="str">
        <f t="shared" si="52"/>
        <v>Studio Stokke</v>
      </c>
      <c r="Q1106" s="102">
        <f>tbl_ConsultingCompanys!D1106</f>
        <v>0</v>
      </c>
      <c r="R1106" s="102">
        <f>tbl_ConsultingCompanys!C1106</f>
        <v>0</v>
      </c>
      <c r="S1106" s="102">
        <f t="shared" si="53"/>
        <v>0</v>
      </c>
    </row>
    <row r="1107" spans="11:19" x14ac:dyDescent="0.15">
      <c r="K1107" s="102">
        <f>tbl_ArchitectureOffices!D1107</f>
        <v>0</v>
      </c>
      <c r="L1107" s="102">
        <f>tbl_ArchitectureOffices!C1107</f>
        <v>0</v>
      </c>
      <c r="M1107" s="102">
        <f t="shared" si="51"/>
        <v>0</v>
      </c>
      <c r="N1107" s="102" t="str">
        <f>tbl_Companys!D1107</f>
        <v>Stærk &amp; Co AS (RIB/RIBr)</v>
      </c>
      <c r="O1107" s="102">
        <f>tbl_Companys!C1107</f>
        <v>160690</v>
      </c>
      <c r="P1107" s="102" t="str">
        <f t="shared" si="52"/>
        <v>Stærk &amp; Co AS (RIB/RIBr)</v>
      </c>
      <c r="Q1107" s="102">
        <f>tbl_ConsultingCompanys!D1107</f>
        <v>0</v>
      </c>
      <c r="R1107" s="102">
        <f>tbl_ConsultingCompanys!C1107</f>
        <v>0</v>
      </c>
      <c r="S1107" s="102">
        <f t="shared" si="53"/>
        <v>0</v>
      </c>
    </row>
    <row r="1108" spans="11:19" x14ac:dyDescent="0.15">
      <c r="K1108" s="102">
        <f>tbl_ArchitectureOffices!D1108</f>
        <v>0</v>
      </c>
      <c r="L1108" s="102">
        <f>tbl_ArchitectureOffices!C1108</f>
        <v>0</v>
      </c>
      <c r="M1108" s="102">
        <f t="shared" si="51"/>
        <v>0</v>
      </c>
      <c r="N1108" s="102" t="str">
        <f>tbl_Companys!D1108</f>
        <v>Støltun</v>
      </c>
      <c r="O1108" s="102">
        <f>tbl_Companys!C1108</f>
        <v>201860</v>
      </c>
      <c r="P1108" s="102" t="str">
        <f t="shared" si="52"/>
        <v>Støltun</v>
      </c>
      <c r="Q1108" s="102">
        <f>tbl_ConsultingCompanys!D1108</f>
        <v>0</v>
      </c>
      <c r="R1108" s="102">
        <f>tbl_ConsultingCompanys!C1108</f>
        <v>0</v>
      </c>
      <c r="S1108" s="102">
        <f t="shared" si="53"/>
        <v>0</v>
      </c>
    </row>
    <row r="1109" spans="11:19" x14ac:dyDescent="0.15">
      <c r="K1109" s="102">
        <f>tbl_ArchitectureOffices!D1109</f>
        <v>0</v>
      </c>
      <c r="L1109" s="102">
        <f>tbl_ArchitectureOffices!C1109</f>
        <v>0</v>
      </c>
      <c r="M1109" s="102">
        <f t="shared" si="51"/>
        <v>0</v>
      </c>
      <c r="N1109" s="102" t="str">
        <f>tbl_Companys!D1109</f>
        <v>Sundt arkitekter</v>
      </c>
      <c r="O1109" s="102">
        <f>tbl_Companys!C1109</f>
        <v>172654</v>
      </c>
      <c r="P1109" s="102" t="str">
        <f t="shared" si="52"/>
        <v>Sundt arkitekter</v>
      </c>
      <c r="Q1109" s="102">
        <f>tbl_ConsultingCompanys!D1109</f>
        <v>0</v>
      </c>
      <c r="R1109" s="102">
        <f>tbl_ConsultingCompanys!C1109</f>
        <v>0</v>
      </c>
      <c r="S1109" s="102">
        <f t="shared" si="53"/>
        <v>0</v>
      </c>
    </row>
    <row r="1110" spans="11:19" x14ac:dyDescent="0.15">
      <c r="K1110" s="102">
        <f>tbl_ArchitectureOffices!D1110</f>
        <v>0</v>
      </c>
      <c r="L1110" s="102">
        <f>tbl_ArchitectureOffices!C1110</f>
        <v>0</v>
      </c>
      <c r="M1110" s="102">
        <f t="shared" si="51"/>
        <v>0</v>
      </c>
      <c r="N1110" s="102" t="str">
        <f>tbl_Companys!D1110</f>
        <v>Svartlamoen boligstiftelse</v>
      </c>
      <c r="O1110" s="102">
        <f>tbl_Companys!C1110</f>
        <v>160586</v>
      </c>
      <c r="P1110" s="102" t="str">
        <f t="shared" si="52"/>
        <v>Svartlamoen boligstiftelse</v>
      </c>
      <c r="Q1110" s="102">
        <f>tbl_ConsultingCompanys!D1110</f>
        <v>0</v>
      </c>
      <c r="R1110" s="102">
        <f>tbl_ConsultingCompanys!C1110</f>
        <v>0</v>
      </c>
      <c r="S1110" s="102">
        <f t="shared" si="53"/>
        <v>0</v>
      </c>
    </row>
    <row r="1111" spans="11:19" x14ac:dyDescent="0.15">
      <c r="K1111" s="102">
        <f>tbl_ArchitectureOffices!D1111</f>
        <v>0</v>
      </c>
      <c r="L1111" s="102">
        <f>tbl_ArchitectureOffices!C1111</f>
        <v>0</v>
      </c>
      <c r="M1111" s="102">
        <f t="shared" si="51"/>
        <v>0</v>
      </c>
      <c r="N1111" s="102" t="str">
        <f>tbl_Companys!D1111</f>
        <v>Svartlamoen boligstiftelse / Trondheim kommune</v>
      </c>
      <c r="O1111" s="102">
        <f>tbl_Companys!C1111</f>
        <v>217121</v>
      </c>
      <c r="P1111" s="102" t="str">
        <f t="shared" si="52"/>
        <v>Svartlamoen boligstiftelse / Trondheim kommune</v>
      </c>
      <c r="Q1111" s="102">
        <f>tbl_ConsultingCompanys!D1111</f>
        <v>0</v>
      </c>
      <c r="R1111" s="102">
        <f>tbl_ConsultingCompanys!C1111</f>
        <v>0</v>
      </c>
      <c r="S1111" s="102">
        <f t="shared" si="53"/>
        <v>0</v>
      </c>
    </row>
    <row r="1112" spans="11:19" x14ac:dyDescent="0.15">
      <c r="K1112" s="102">
        <f>tbl_ArchitectureOffices!D1112</f>
        <v>0</v>
      </c>
      <c r="L1112" s="102">
        <f>tbl_ArchitectureOffices!C1112</f>
        <v>0</v>
      </c>
      <c r="M1112" s="102">
        <f t="shared" si="51"/>
        <v>0</v>
      </c>
      <c r="N1112" s="102" t="str">
        <f>tbl_Companys!D1112</f>
        <v>Svein Aase</v>
      </c>
      <c r="O1112" s="102">
        <f>tbl_Companys!C1112</f>
        <v>172878</v>
      </c>
      <c r="P1112" s="102" t="str">
        <f t="shared" si="52"/>
        <v>Svein Aase</v>
      </c>
      <c r="Q1112" s="102">
        <f>tbl_ConsultingCompanys!D1112</f>
        <v>0</v>
      </c>
      <c r="R1112" s="102">
        <f>tbl_ConsultingCompanys!C1112</f>
        <v>0</v>
      </c>
      <c r="S1112" s="102">
        <f t="shared" si="53"/>
        <v>0</v>
      </c>
    </row>
    <row r="1113" spans="11:19" x14ac:dyDescent="0.15">
      <c r="K1113" s="102">
        <f>tbl_ArchitectureOffices!D1113</f>
        <v>0</v>
      </c>
      <c r="L1113" s="102">
        <f>tbl_ArchitectureOffices!C1113</f>
        <v>0</v>
      </c>
      <c r="M1113" s="102">
        <f t="shared" si="51"/>
        <v>0</v>
      </c>
      <c r="N1113" s="102" t="str">
        <f>tbl_Companys!D1113</f>
        <v>Svein Arne Bøyum</v>
      </c>
      <c r="O1113" s="102">
        <f>tbl_Companys!C1113</f>
        <v>215411</v>
      </c>
      <c r="P1113" s="102" t="str">
        <f t="shared" si="52"/>
        <v>Svein Arne Bøyum</v>
      </c>
      <c r="Q1113" s="102">
        <f>tbl_ConsultingCompanys!D1113</f>
        <v>0</v>
      </c>
      <c r="R1113" s="102">
        <f>tbl_ConsultingCompanys!C1113</f>
        <v>0</v>
      </c>
      <c r="S1113" s="102">
        <f t="shared" si="53"/>
        <v>0</v>
      </c>
    </row>
    <row r="1114" spans="11:19" x14ac:dyDescent="0.15">
      <c r="K1114" s="102">
        <f>tbl_ArchitectureOffices!D1114</f>
        <v>0</v>
      </c>
      <c r="L1114" s="102">
        <f>tbl_ArchitectureOffices!C1114</f>
        <v>0</v>
      </c>
      <c r="M1114" s="102">
        <f t="shared" si="51"/>
        <v>0</v>
      </c>
      <c r="N1114" s="102" t="str">
        <f>tbl_Companys!D1114</f>
        <v>Svein Boasson AS</v>
      </c>
      <c r="O1114" s="102">
        <f>tbl_Companys!C1114</f>
        <v>182797</v>
      </c>
      <c r="P1114" s="102" t="str">
        <f t="shared" si="52"/>
        <v>Svein Boasson AS</v>
      </c>
      <c r="Q1114" s="102">
        <f>tbl_ConsultingCompanys!D1114</f>
        <v>0</v>
      </c>
      <c r="R1114" s="102">
        <f>tbl_ConsultingCompanys!C1114</f>
        <v>0</v>
      </c>
      <c r="S1114" s="102">
        <f t="shared" si="53"/>
        <v>0</v>
      </c>
    </row>
    <row r="1115" spans="11:19" x14ac:dyDescent="0.15">
      <c r="K1115" s="102">
        <f>tbl_ArchitectureOffices!D1115</f>
        <v>0</v>
      </c>
      <c r="L1115" s="102">
        <f>tbl_ArchitectureOffices!C1115</f>
        <v>0</v>
      </c>
      <c r="M1115" s="102">
        <f t="shared" si="51"/>
        <v>0</v>
      </c>
      <c r="N1115" s="102" t="str">
        <f>tbl_Companys!D1115</f>
        <v>Svein Skibnes Arkitektkontor AS</v>
      </c>
      <c r="O1115" s="102">
        <f>tbl_Companys!C1115</f>
        <v>243755</v>
      </c>
      <c r="P1115" s="102" t="str">
        <f t="shared" si="52"/>
        <v>Svein Skibnes Arkitektkontor AS</v>
      </c>
      <c r="Q1115" s="102">
        <f>tbl_ConsultingCompanys!D1115</f>
        <v>0</v>
      </c>
      <c r="R1115" s="102">
        <f>tbl_ConsultingCompanys!C1115</f>
        <v>0</v>
      </c>
      <c r="S1115" s="102">
        <f t="shared" si="53"/>
        <v>0</v>
      </c>
    </row>
    <row r="1116" spans="11:19" x14ac:dyDescent="0.15">
      <c r="K1116" s="102">
        <f>tbl_ArchitectureOffices!D1116</f>
        <v>0</v>
      </c>
      <c r="L1116" s="102">
        <f>tbl_ArchitectureOffices!C1116</f>
        <v>0</v>
      </c>
      <c r="M1116" s="102">
        <f t="shared" si="51"/>
        <v>0</v>
      </c>
      <c r="N1116" s="102" t="str">
        <f>tbl_Companys!D1116</f>
        <v>Svein Søvik AS</v>
      </c>
      <c r="O1116" s="102">
        <f>tbl_Companys!C1116</f>
        <v>101074</v>
      </c>
      <c r="P1116" s="102" t="str">
        <f t="shared" si="52"/>
        <v>Svein Søvik AS</v>
      </c>
      <c r="Q1116" s="102">
        <f>tbl_ConsultingCompanys!D1116</f>
        <v>0</v>
      </c>
      <c r="R1116" s="102">
        <f>tbl_ConsultingCompanys!C1116</f>
        <v>0</v>
      </c>
      <c r="S1116" s="102">
        <f t="shared" si="53"/>
        <v>0</v>
      </c>
    </row>
    <row r="1117" spans="11:19" x14ac:dyDescent="0.15">
      <c r="K1117" s="102">
        <f>tbl_ArchitectureOffices!D1117</f>
        <v>0</v>
      </c>
      <c r="L1117" s="102">
        <f>tbl_ArchitectureOffices!C1117</f>
        <v>0</v>
      </c>
      <c r="M1117" s="102">
        <f t="shared" si="51"/>
        <v>0</v>
      </c>
      <c r="N1117" s="102" t="str">
        <f>tbl_Companys!D1117</f>
        <v>Svein Søvik AS</v>
      </c>
      <c r="O1117" s="102">
        <f>tbl_Companys!C1117</f>
        <v>119844</v>
      </c>
      <c r="P1117" s="102" t="str">
        <f t="shared" si="52"/>
        <v>Svein Søvik AS</v>
      </c>
      <c r="Q1117" s="102">
        <f>tbl_ConsultingCompanys!D1117</f>
        <v>0</v>
      </c>
      <c r="R1117" s="102">
        <f>tbl_ConsultingCompanys!C1117</f>
        <v>0</v>
      </c>
      <c r="S1117" s="102">
        <f t="shared" si="53"/>
        <v>0</v>
      </c>
    </row>
    <row r="1118" spans="11:19" x14ac:dyDescent="0.15">
      <c r="K1118" s="102">
        <f>tbl_ArchitectureOffices!D1118</f>
        <v>0</v>
      </c>
      <c r="L1118" s="102">
        <f>tbl_ArchitectureOffices!C1118</f>
        <v>0</v>
      </c>
      <c r="M1118" s="102">
        <f t="shared" si="51"/>
        <v>0</v>
      </c>
      <c r="N1118" s="102" t="str">
        <f>tbl_Companys!D1118</f>
        <v>Sveio Kommune</v>
      </c>
      <c r="O1118" s="102">
        <f>tbl_Companys!C1118</f>
        <v>158055</v>
      </c>
      <c r="P1118" s="102" t="str">
        <f t="shared" si="52"/>
        <v>Sveio Kommune</v>
      </c>
      <c r="Q1118" s="102">
        <f>tbl_ConsultingCompanys!D1118</f>
        <v>0</v>
      </c>
      <c r="R1118" s="102">
        <f>tbl_ConsultingCompanys!C1118</f>
        <v>0</v>
      </c>
      <c r="S1118" s="102">
        <f t="shared" si="53"/>
        <v>0</v>
      </c>
    </row>
    <row r="1119" spans="11:19" x14ac:dyDescent="0.15">
      <c r="K1119" s="102">
        <f>tbl_ArchitectureOffices!D1119</f>
        <v>0</v>
      </c>
      <c r="L1119" s="102">
        <f>tbl_ArchitectureOffices!C1119</f>
        <v>0</v>
      </c>
      <c r="M1119" s="102">
        <f t="shared" si="51"/>
        <v>0</v>
      </c>
      <c r="N1119" s="102" t="str">
        <f>tbl_Companys!D1119</f>
        <v>Svendby Bygg Consult AS</v>
      </c>
      <c r="O1119" s="102">
        <f>tbl_Companys!C1119</f>
        <v>98697</v>
      </c>
      <c r="P1119" s="102" t="str">
        <f t="shared" si="52"/>
        <v>Svendby Bygg Consult AS</v>
      </c>
      <c r="Q1119" s="102">
        <f>tbl_ConsultingCompanys!D1119</f>
        <v>0</v>
      </c>
      <c r="R1119" s="102">
        <f>tbl_ConsultingCompanys!C1119</f>
        <v>0</v>
      </c>
      <c r="S1119" s="102">
        <f t="shared" si="53"/>
        <v>0</v>
      </c>
    </row>
    <row r="1120" spans="11:19" x14ac:dyDescent="0.15">
      <c r="K1120" s="102">
        <f>tbl_ArchitectureOffices!D1120</f>
        <v>0</v>
      </c>
      <c r="L1120" s="102">
        <f>tbl_ArchitectureOffices!C1120</f>
        <v>0</v>
      </c>
      <c r="M1120" s="102">
        <f t="shared" si="51"/>
        <v>0</v>
      </c>
      <c r="N1120" s="102" t="str">
        <f>tbl_Companys!D1120</f>
        <v>Svenneby sag og høvleri (gulv)</v>
      </c>
      <c r="O1120" s="102">
        <f>tbl_Companys!C1120</f>
        <v>200375</v>
      </c>
      <c r="P1120" s="102" t="str">
        <f t="shared" si="52"/>
        <v>Svenneby sag og høvleri (gulv)</v>
      </c>
      <c r="Q1120" s="102">
        <f>tbl_ConsultingCompanys!D1120</f>
        <v>0</v>
      </c>
      <c r="R1120" s="102">
        <f>tbl_ConsultingCompanys!C1120</f>
        <v>0</v>
      </c>
      <c r="S1120" s="102">
        <f t="shared" si="53"/>
        <v>0</v>
      </c>
    </row>
    <row r="1121" spans="11:19" x14ac:dyDescent="0.15">
      <c r="K1121" s="102">
        <f>tbl_ArchitectureOffices!D1121</f>
        <v>0</v>
      </c>
      <c r="L1121" s="102">
        <f>tbl_ArchitectureOffices!C1121</f>
        <v>0</v>
      </c>
      <c r="M1121" s="102">
        <f t="shared" si="51"/>
        <v>0</v>
      </c>
      <c r="N1121" s="102" t="str">
        <f>tbl_Companys!D1121</f>
        <v>Sweco</v>
      </c>
      <c r="O1121" s="102">
        <f>tbl_Companys!C1121</f>
        <v>218407</v>
      </c>
      <c r="P1121" s="102" t="str">
        <f t="shared" si="52"/>
        <v>Sweco</v>
      </c>
      <c r="Q1121" s="102">
        <f>tbl_ConsultingCompanys!D1121</f>
        <v>0</v>
      </c>
      <c r="R1121" s="102">
        <f>tbl_ConsultingCompanys!C1121</f>
        <v>0</v>
      </c>
      <c r="S1121" s="102">
        <f t="shared" si="53"/>
        <v>0</v>
      </c>
    </row>
    <row r="1122" spans="11:19" x14ac:dyDescent="0.15">
      <c r="K1122" s="102">
        <f>tbl_ArchitectureOffices!D1122</f>
        <v>0</v>
      </c>
      <c r="L1122" s="102">
        <f>tbl_ArchitectureOffices!C1122</f>
        <v>0</v>
      </c>
      <c r="M1122" s="102">
        <f t="shared" si="51"/>
        <v>0</v>
      </c>
      <c r="N1122" s="102" t="str">
        <f>tbl_Companys!D1122</f>
        <v>Swedoor</v>
      </c>
      <c r="O1122" s="102">
        <f>tbl_Companys!C1122</f>
        <v>232351</v>
      </c>
      <c r="P1122" s="102" t="str">
        <f t="shared" si="52"/>
        <v>Swedoor</v>
      </c>
      <c r="Q1122" s="102">
        <f>tbl_ConsultingCompanys!D1122</f>
        <v>0</v>
      </c>
      <c r="R1122" s="102">
        <f>tbl_ConsultingCompanys!C1122</f>
        <v>0</v>
      </c>
      <c r="S1122" s="102">
        <f t="shared" si="53"/>
        <v>0</v>
      </c>
    </row>
    <row r="1123" spans="11:19" x14ac:dyDescent="0.15">
      <c r="K1123" s="102">
        <f>tbl_ArchitectureOffices!D1123</f>
        <v>0</v>
      </c>
      <c r="L1123" s="102">
        <f>tbl_ArchitectureOffices!C1123</f>
        <v>0</v>
      </c>
      <c r="M1123" s="102">
        <f t="shared" si="51"/>
        <v>0</v>
      </c>
      <c r="N1123" s="102" t="str">
        <f>tbl_Companys!D1123</f>
        <v>Sydarkitekter AS</v>
      </c>
      <c r="O1123" s="102">
        <f>tbl_Companys!C1123</f>
        <v>248323</v>
      </c>
      <c r="P1123" s="102" t="str">
        <f t="shared" si="52"/>
        <v>Sydarkitekter AS</v>
      </c>
      <c r="Q1123" s="102">
        <f>tbl_ConsultingCompanys!D1123</f>
        <v>0</v>
      </c>
      <c r="R1123" s="102">
        <f>tbl_ConsultingCompanys!C1123</f>
        <v>0</v>
      </c>
      <c r="S1123" s="102">
        <f t="shared" si="53"/>
        <v>0</v>
      </c>
    </row>
    <row r="1124" spans="11:19" x14ac:dyDescent="0.15">
      <c r="K1124" s="102">
        <f>tbl_ArchitectureOffices!D1124</f>
        <v>0</v>
      </c>
      <c r="L1124" s="102">
        <f>tbl_ArchitectureOffices!C1124</f>
        <v>0</v>
      </c>
      <c r="M1124" s="102">
        <f t="shared" si="51"/>
        <v>0</v>
      </c>
      <c r="N1124" s="102" t="str">
        <f>tbl_Companys!D1124</f>
        <v>System air</v>
      </c>
      <c r="O1124" s="102">
        <f>tbl_Companys!C1124</f>
        <v>119804</v>
      </c>
      <c r="P1124" s="102" t="str">
        <f t="shared" si="52"/>
        <v>System air</v>
      </c>
      <c r="Q1124" s="102">
        <f>tbl_ConsultingCompanys!D1124</f>
        <v>0</v>
      </c>
      <c r="R1124" s="102">
        <f>tbl_ConsultingCompanys!C1124</f>
        <v>0</v>
      </c>
      <c r="S1124" s="102">
        <f t="shared" si="53"/>
        <v>0</v>
      </c>
    </row>
    <row r="1125" spans="11:19" x14ac:dyDescent="0.15">
      <c r="K1125" s="102">
        <f>tbl_ArchitectureOffices!D1125</f>
        <v>0</v>
      </c>
      <c r="L1125" s="102">
        <f>tbl_ArchitectureOffices!C1125</f>
        <v>0</v>
      </c>
      <c r="M1125" s="102">
        <f t="shared" si="51"/>
        <v>0</v>
      </c>
      <c r="N1125" s="102" t="str">
        <f>tbl_Companys!D1125</f>
        <v>Systemair AS</v>
      </c>
      <c r="O1125" s="102">
        <f>tbl_Companys!C1125</f>
        <v>172755</v>
      </c>
      <c r="P1125" s="102" t="str">
        <f t="shared" si="52"/>
        <v>Systemair AS</v>
      </c>
      <c r="Q1125" s="102">
        <f>tbl_ConsultingCompanys!D1125</f>
        <v>0</v>
      </c>
      <c r="R1125" s="102">
        <f>tbl_ConsultingCompanys!C1125</f>
        <v>0</v>
      </c>
      <c r="S1125" s="102">
        <f t="shared" si="53"/>
        <v>0</v>
      </c>
    </row>
    <row r="1126" spans="11:19" x14ac:dyDescent="0.15">
      <c r="K1126" s="102">
        <f>tbl_ArchitectureOffices!D1126</f>
        <v>0</v>
      </c>
      <c r="L1126" s="102">
        <f>tbl_ArchitectureOffices!C1126</f>
        <v>0</v>
      </c>
      <c r="M1126" s="102">
        <f t="shared" si="51"/>
        <v>0</v>
      </c>
      <c r="N1126" s="102" t="str">
        <f>tbl_Companys!D1126</f>
        <v>Systemhus Norge AS</v>
      </c>
      <c r="O1126" s="102">
        <f>tbl_Companys!C1126</f>
        <v>120940</v>
      </c>
      <c r="P1126" s="102" t="str">
        <f t="shared" si="52"/>
        <v>Systemhus Norge AS</v>
      </c>
      <c r="Q1126" s="102">
        <f>tbl_ConsultingCompanys!D1126</f>
        <v>0</v>
      </c>
      <c r="R1126" s="102">
        <f>tbl_ConsultingCompanys!C1126</f>
        <v>0</v>
      </c>
      <c r="S1126" s="102">
        <f t="shared" si="53"/>
        <v>0</v>
      </c>
    </row>
    <row r="1127" spans="11:19" x14ac:dyDescent="0.15">
      <c r="K1127" s="102">
        <f>tbl_ArchitectureOffices!D1127</f>
        <v>0</v>
      </c>
      <c r="L1127" s="102">
        <f>tbl_ArchitectureOffices!C1127</f>
        <v>0</v>
      </c>
      <c r="M1127" s="102">
        <f t="shared" si="51"/>
        <v>0</v>
      </c>
      <c r="N1127" s="102" t="str">
        <f>tbl_Companys!D1127</f>
        <v>Sæther og Gythfeldt AS, Arkitektkontoret</v>
      </c>
      <c r="O1127" s="102">
        <f>tbl_Companys!C1127</f>
        <v>166468</v>
      </c>
      <c r="P1127" s="102" t="str">
        <f t="shared" si="52"/>
        <v>Sæther og Gythfeldt AS, Arkitektkontoret</v>
      </c>
      <c r="Q1127" s="102">
        <f>tbl_ConsultingCompanys!D1127</f>
        <v>0</v>
      </c>
      <c r="R1127" s="102">
        <f>tbl_ConsultingCompanys!C1127</f>
        <v>0</v>
      </c>
      <c r="S1127" s="102">
        <f t="shared" si="53"/>
        <v>0</v>
      </c>
    </row>
    <row r="1128" spans="11:19" x14ac:dyDescent="0.15">
      <c r="K1128" s="102">
        <f>tbl_ArchitectureOffices!D1128</f>
        <v>0</v>
      </c>
      <c r="L1128" s="102">
        <f>tbl_ArchitectureOffices!C1128</f>
        <v>0</v>
      </c>
      <c r="M1128" s="102">
        <f t="shared" si="51"/>
        <v>0</v>
      </c>
      <c r="N1128" s="102" t="str">
        <f>tbl_Companys!D1128</f>
        <v>Søbstad AS</v>
      </c>
      <c r="O1128" s="102">
        <f>tbl_Companys!C1128</f>
        <v>165404</v>
      </c>
      <c r="P1128" s="102" t="str">
        <f t="shared" si="52"/>
        <v>Søbstad AS</v>
      </c>
      <c r="Q1128" s="102">
        <f>tbl_ConsultingCompanys!D1128</f>
        <v>0</v>
      </c>
      <c r="R1128" s="102">
        <f>tbl_ConsultingCompanys!C1128</f>
        <v>0</v>
      </c>
      <c r="S1128" s="102">
        <f t="shared" si="53"/>
        <v>0</v>
      </c>
    </row>
    <row r="1129" spans="11:19" x14ac:dyDescent="0.15">
      <c r="K1129" s="102">
        <f>tbl_ArchitectureOffices!D1129</f>
        <v>0</v>
      </c>
      <c r="L1129" s="102">
        <f>tbl_ArchitectureOffices!C1129</f>
        <v>0</v>
      </c>
      <c r="M1129" s="102">
        <f t="shared" si="51"/>
        <v>0</v>
      </c>
      <c r="N1129" s="102" t="str">
        <f>tbl_Companys!D1129</f>
        <v xml:space="preserve">Sødal, Arkitekt Arne </v>
      </c>
      <c r="O1129" s="102">
        <f>tbl_Companys!C1129</f>
        <v>172896</v>
      </c>
      <c r="P1129" s="102" t="str">
        <f t="shared" si="52"/>
        <v>Sødal, Arkitekt Arne</v>
      </c>
      <c r="Q1129" s="102">
        <f>tbl_ConsultingCompanys!D1129</f>
        <v>0</v>
      </c>
      <c r="R1129" s="102">
        <f>tbl_ConsultingCompanys!C1129</f>
        <v>0</v>
      </c>
      <c r="S1129" s="102">
        <f t="shared" si="53"/>
        <v>0</v>
      </c>
    </row>
    <row r="1130" spans="11:19" x14ac:dyDescent="0.15">
      <c r="K1130" s="102">
        <f>tbl_ArchitectureOffices!D1130</f>
        <v>0</v>
      </c>
      <c r="L1130" s="102">
        <f>tbl_ArchitectureOffices!C1130</f>
        <v>0</v>
      </c>
      <c r="M1130" s="102">
        <f t="shared" si="51"/>
        <v>0</v>
      </c>
      <c r="N1130" s="102" t="str">
        <f>tbl_Companys!D1130</f>
        <v xml:space="preserve">Sør AS, Arkitektkontoret </v>
      </c>
      <c r="O1130" s="102">
        <f>tbl_Companys!C1130</f>
        <v>172596</v>
      </c>
      <c r="P1130" s="102" t="str">
        <f t="shared" si="52"/>
        <v>Sør AS, Arkitektkontoret</v>
      </c>
      <c r="Q1130" s="102">
        <f>tbl_ConsultingCompanys!D1130</f>
        <v>0</v>
      </c>
      <c r="R1130" s="102">
        <f>tbl_ConsultingCompanys!C1130</f>
        <v>0</v>
      </c>
      <c r="S1130" s="102">
        <f t="shared" si="53"/>
        <v>0</v>
      </c>
    </row>
    <row r="1131" spans="11:19" x14ac:dyDescent="0.15">
      <c r="K1131" s="102">
        <f>tbl_ArchitectureOffices!D1131</f>
        <v>0</v>
      </c>
      <c r="L1131" s="102">
        <f>tbl_ArchitectureOffices!C1131</f>
        <v>0</v>
      </c>
      <c r="M1131" s="102">
        <f t="shared" si="51"/>
        <v>0</v>
      </c>
      <c r="N1131" s="102" t="str">
        <f>tbl_Companys!D1131</f>
        <v>Sørli arkitekter as</v>
      </c>
      <c r="O1131" s="102">
        <f>tbl_Companys!C1131</f>
        <v>172893</v>
      </c>
      <c r="P1131" s="102" t="str">
        <f t="shared" si="52"/>
        <v>Sørli arkitekter as</v>
      </c>
      <c r="Q1131" s="102">
        <f>tbl_ConsultingCompanys!D1131</f>
        <v>0</v>
      </c>
      <c r="R1131" s="102">
        <f>tbl_ConsultingCompanys!C1131</f>
        <v>0</v>
      </c>
      <c r="S1131" s="102">
        <f t="shared" si="53"/>
        <v>0</v>
      </c>
    </row>
    <row r="1132" spans="11:19" x14ac:dyDescent="0.15">
      <c r="K1132" s="102">
        <f>tbl_ArchitectureOffices!D1132</f>
        <v>0</v>
      </c>
      <c r="L1132" s="102">
        <f>tbl_ArchitectureOffices!C1132</f>
        <v>0</v>
      </c>
      <c r="M1132" s="102">
        <f t="shared" si="51"/>
        <v>0</v>
      </c>
      <c r="N1132" s="102" t="str">
        <f>tbl_Companys!D1132</f>
        <v>Sørli og Haugstad (Shark) AS Arkitektkontor</v>
      </c>
      <c r="O1132" s="102">
        <f>tbl_Companys!C1132</f>
        <v>166467</v>
      </c>
      <c r="P1132" s="102" t="str">
        <f t="shared" si="52"/>
        <v>Sørli og Haugstad (Shark) AS Arkitektkontor</v>
      </c>
      <c r="Q1132" s="102">
        <f>tbl_ConsultingCompanys!D1132</f>
        <v>0</v>
      </c>
      <c r="R1132" s="102">
        <f>tbl_ConsultingCompanys!C1132</f>
        <v>0</v>
      </c>
      <c r="S1132" s="102">
        <f t="shared" si="53"/>
        <v>0</v>
      </c>
    </row>
    <row r="1133" spans="11:19" x14ac:dyDescent="0.15">
      <c r="K1133" s="102">
        <f>tbl_ArchitectureOffices!D1133</f>
        <v>0</v>
      </c>
      <c r="L1133" s="102">
        <f>tbl_ArchitectureOffices!C1133</f>
        <v>0</v>
      </c>
      <c r="M1133" s="102">
        <f t="shared" si="51"/>
        <v>0</v>
      </c>
      <c r="N1133" s="102" t="str">
        <f>tbl_Companys!D1133</f>
        <v>Sør-Trøndelag fylkeskommune</v>
      </c>
      <c r="O1133" s="102">
        <f>tbl_Companys!C1133</f>
        <v>247323</v>
      </c>
      <c r="P1133" s="102" t="str">
        <f t="shared" si="52"/>
        <v>Sør-Trøndelag fylkeskommune</v>
      </c>
      <c r="Q1133" s="102">
        <f>tbl_ConsultingCompanys!D1133</f>
        <v>0</v>
      </c>
      <c r="R1133" s="102">
        <f>tbl_ConsultingCompanys!C1133</f>
        <v>0</v>
      </c>
      <c r="S1133" s="102">
        <f t="shared" si="53"/>
        <v>0</v>
      </c>
    </row>
    <row r="1134" spans="11:19" x14ac:dyDescent="0.15">
      <c r="K1134" s="102">
        <f>tbl_ArchitectureOffices!D1134</f>
        <v>0</v>
      </c>
      <c r="L1134" s="102">
        <f>tbl_ArchitectureOffices!C1134</f>
        <v>0</v>
      </c>
      <c r="M1134" s="102">
        <f t="shared" si="51"/>
        <v>0</v>
      </c>
      <c r="N1134" s="102" t="str">
        <f>tbl_Companys!D1134</f>
        <v>Sørumgård, Marit</v>
      </c>
      <c r="O1134" s="102">
        <f>tbl_Companys!C1134</f>
        <v>166466</v>
      </c>
      <c r="P1134" s="102" t="str">
        <f t="shared" si="52"/>
        <v>Sørumgård, Marit</v>
      </c>
      <c r="Q1134" s="102">
        <f>tbl_ConsultingCompanys!D1134</f>
        <v>0</v>
      </c>
      <c r="R1134" s="102">
        <f>tbl_ConsultingCompanys!C1134</f>
        <v>0</v>
      </c>
      <c r="S1134" s="102">
        <f t="shared" si="53"/>
        <v>0</v>
      </c>
    </row>
    <row r="1135" spans="11:19" x14ac:dyDescent="0.15">
      <c r="K1135" s="102">
        <f>tbl_ArchitectureOffices!D1135</f>
        <v>0</v>
      </c>
      <c r="L1135" s="102">
        <f>tbl_ArchitectureOffices!C1135</f>
        <v>0</v>
      </c>
      <c r="M1135" s="102">
        <f t="shared" si="51"/>
        <v>0</v>
      </c>
      <c r="N1135" s="102" t="str">
        <f>tbl_Companys!D1135</f>
        <v>T. Johansen Drift AS</v>
      </c>
      <c r="O1135" s="102">
        <f>tbl_Companys!C1135</f>
        <v>247731</v>
      </c>
      <c r="P1135" s="102" t="str">
        <f t="shared" si="52"/>
        <v>T. Johansen Drift AS</v>
      </c>
      <c r="Q1135" s="102">
        <f>tbl_ConsultingCompanys!D1135</f>
        <v>0</v>
      </c>
      <c r="R1135" s="102">
        <f>tbl_ConsultingCompanys!C1135</f>
        <v>0</v>
      </c>
      <c r="S1135" s="102">
        <f t="shared" si="53"/>
        <v>0</v>
      </c>
    </row>
    <row r="1136" spans="11:19" x14ac:dyDescent="0.15">
      <c r="K1136" s="102">
        <f>tbl_ArchitectureOffices!D1136</f>
        <v>0</v>
      </c>
      <c r="L1136" s="102">
        <f>tbl_ArchitectureOffices!C1136</f>
        <v>0</v>
      </c>
      <c r="M1136" s="102">
        <f t="shared" si="51"/>
        <v>0</v>
      </c>
      <c r="N1136" s="102" t="str">
        <f>tbl_Companys!D1136</f>
        <v>Tandberg Arkitekter MNAL</v>
      </c>
      <c r="O1136" s="102">
        <f>tbl_Companys!C1136</f>
        <v>172901</v>
      </c>
      <c r="P1136" s="102" t="str">
        <f t="shared" si="52"/>
        <v>Tandberg Arkitekter MNAL</v>
      </c>
      <c r="Q1136" s="102">
        <f>tbl_ConsultingCompanys!D1136</f>
        <v>0</v>
      </c>
      <c r="R1136" s="102">
        <f>tbl_ConsultingCompanys!C1136</f>
        <v>0</v>
      </c>
      <c r="S1136" s="102">
        <f t="shared" si="53"/>
        <v>0</v>
      </c>
    </row>
    <row r="1137" spans="11:19" x14ac:dyDescent="0.15">
      <c r="K1137" s="102">
        <f>tbl_ArchitectureOffices!D1137</f>
        <v>0</v>
      </c>
      <c r="L1137" s="102">
        <f>tbl_ArchitectureOffices!C1137</f>
        <v>0</v>
      </c>
      <c r="M1137" s="102">
        <f t="shared" si="51"/>
        <v>0</v>
      </c>
      <c r="N1137" s="102" t="str">
        <f>tbl_Companys!D1137</f>
        <v>Tangen Ing. og arkitektkontor</v>
      </c>
      <c r="O1137" s="102">
        <f>tbl_Companys!C1137</f>
        <v>213268</v>
      </c>
      <c r="P1137" s="102" t="str">
        <f t="shared" si="52"/>
        <v>Tangen Ing. og arkitektkontor</v>
      </c>
      <c r="Q1137" s="102">
        <f>tbl_ConsultingCompanys!D1137</f>
        <v>0</v>
      </c>
      <c r="R1137" s="102">
        <f>tbl_ConsultingCompanys!C1137</f>
        <v>0</v>
      </c>
      <c r="S1137" s="102">
        <f t="shared" si="53"/>
        <v>0</v>
      </c>
    </row>
    <row r="1138" spans="11:19" x14ac:dyDescent="0.15">
      <c r="K1138" s="102">
        <f>tbl_ArchitectureOffices!D1138</f>
        <v>0</v>
      </c>
      <c r="L1138" s="102">
        <f>tbl_ArchitectureOffices!C1138</f>
        <v>0</v>
      </c>
      <c r="M1138" s="102">
        <f t="shared" si="51"/>
        <v>0</v>
      </c>
      <c r="N1138" s="102" t="str">
        <f>tbl_Companys!D1138</f>
        <v>TBA Arkitekter</v>
      </c>
      <c r="O1138" s="102">
        <f>tbl_Companys!C1138</f>
        <v>166465</v>
      </c>
      <c r="P1138" s="102" t="str">
        <f t="shared" si="52"/>
        <v>TBA Arkitekter</v>
      </c>
      <c r="Q1138" s="102">
        <f>tbl_ConsultingCompanys!D1138</f>
        <v>0</v>
      </c>
      <c r="R1138" s="102">
        <f>tbl_ConsultingCompanys!C1138</f>
        <v>0</v>
      </c>
      <c r="S1138" s="102">
        <f t="shared" si="53"/>
        <v>0</v>
      </c>
    </row>
    <row r="1139" spans="11:19" x14ac:dyDescent="0.15">
      <c r="K1139" s="102">
        <f>tbl_ArchitectureOffices!D1139</f>
        <v>0</v>
      </c>
      <c r="L1139" s="102">
        <f>tbl_ArchitectureOffices!C1139</f>
        <v>0</v>
      </c>
      <c r="M1139" s="102">
        <f t="shared" si="51"/>
        <v>0</v>
      </c>
      <c r="N1139" s="102" t="str">
        <f>tbl_Companys!D1139</f>
        <v>Team Rør AS (rørlegger)</v>
      </c>
      <c r="O1139" s="102">
        <f>tbl_Companys!C1139</f>
        <v>155704</v>
      </c>
      <c r="P1139" s="102" t="str">
        <f t="shared" si="52"/>
        <v>Team Rør AS (rørlegger)</v>
      </c>
      <c r="Q1139" s="102">
        <f>tbl_ConsultingCompanys!D1139</f>
        <v>0</v>
      </c>
      <c r="R1139" s="102">
        <f>tbl_ConsultingCompanys!C1139</f>
        <v>0</v>
      </c>
      <c r="S1139" s="102">
        <f t="shared" si="53"/>
        <v>0</v>
      </c>
    </row>
    <row r="1140" spans="11:19" x14ac:dyDescent="0.15">
      <c r="K1140" s="102">
        <f>tbl_ArchitectureOffices!D1140</f>
        <v>0</v>
      </c>
      <c r="L1140" s="102">
        <f>tbl_ArchitectureOffices!C1140</f>
        <v>0</v>
      </c>
      <c r="M1140" s="102">
        <f t="shared" si="51"/>
        <v>0</v>
      </c>
      <c r="N1140" s="102" t="str">
        <f>tbl_Companys!D1140</f>
        <v>Team St. Olav ANS</v>
      </c>
      <c r="O1140" s="102">
        <f>tbl_Companys!C1140</f>
        <v>243127</v>
      </c>
      <c r="P1140" s="102" t="str">
        <f t="shared" si="52"/>
        <v>Team St. Olav ANS</v>
      </c>
      <c r="Q1140" s="102">
        <f>tbl_ConsultingCompanys!D1140</f>
        <v>0</v>
      </c>
      <c r="R1140" s="102">
        <f>tbl_ConsultingCompanys!C1140</f>
        <v>0</v>
      </c>
      <c r="S1140" s="102">
        <f t="shared" si="53"/>
        <v>0</v>
      </c>
    </row>
    <row r="1141" spans="11:19" x14ac:dyDescent="0.15">
      <c r="K1141" s="102">
        <f>tbl_ArchitectureOffices!D1141</f>
        <v>0</v>
      </c>
      <c r="L1141" s="102">
        <f>tbl_ArchitectureOffices!C1141</f>
        <v>0</v>
      </c>
      <c r="M1141" s="102">
        <f t="shared" si="51"/>
        <v>0</v>
      </c>
      <c r="N1141" s="102" t="str">
        <f>tbl_Companys!D1141</f>
        <v>Team St. Olav ANS</v>
      </c>
      <c r="O1141" s="102">
        <f>tbl_Companys!C1141</f>
        <v>243128</v>
      </c>
      <c r="P1141" s="102" t="str">
        <f t="shared" si="52"/>
        <v>Team St. Olav ANS</v>
      </c>
      <c r="Q1141" s="102">
        <f>tbl_ConsultingCompanys!D1141</f>
        <v>0</v>
      </c>
      <c r="R1141" s="102">
        <f>tbl_ConsultingCompanys!C1141</f>
        <v>0</v>
      </c>
      <c r="S1141" s="102">
        <f t="shared" si="53"/>
        <v>0</v>
      </c>
    </row>
    <row r="1142" spans="11:19" x14ac:dyDescent="0.15">
      <c r="K1142" s="102">
        <f>tbl_ArchitectureOffices!D1142</f>
        <v>0</v>
      </c>
      <c r="L1142" s="102">
        <f>tbl_ArchitectureOffices!C1142</f>
        <v>0</v>
      </c>
      <c r="M1142" s="102">
        <f t="shared" si="51"/>
        <v>0</v>
      </c>
      <c r="N1142" s="102" t="str">
        <f>tbl_Companys!D1142</f>
        <v>Teaterplassen 1 AS</v>
      </c>
      <c r="O1142" s="102">
        <f>tbl_Companys!C1142</f>
        <v>160689</v>
      </c>
      <c r="P1142" s="102" t="str">
        <f t="shared" si="52"/>
        <v>Teaterplassen 1 AS</v>
      </c>
      <c r="Q1142" s="102">
        <f>tbl_ConsultingCompanys!D1142</f>
        <v>0</v>
      </c>
      <c r="R1142" s="102">
        <f>tbl_ConsultingCompanys!C1142</f>
        <v>0</v>
      </c>
      <c r="S1142" s="102">
        <f t="shared" si="53"/>
        <v>0</v>
      </c>
    </row>
    <row r="1143" spans="11:19" x14ac:dyDescent="0.15">
      <c r="K1143" s="102">
        <f>tbl_ArchitectureOffices!D1143</f>
        <v>0</v>
      </c>
      <c r="L1143" s="102">
        <f>tbl_ArchitectureOffices!C1143</f>
        <v>0</v>
      </c>
      <c r="M1143" s="102">
        <f t="shared" si="51"/>
        <v>0</v>
      </c>
      <c r="N1143" s="102" t="str">
        <f>tbl_Companys!D1143</f>
        <v>Technoconsult AS (Ribr)</v>
      </c>
      <c r="O1143" s="102">
        <f>tbl_Companys!C1143</f>
        <v>162917</v>
      </c>
      <c r="P1143" s="102" t="str">
        <f t="shared" si="52"/>
        <v>Technoconsult AS (Ribr)</v>
      </c>
      <c r="Q1143" s="102">
        <f>tbl_ConsultingCompanys!D1143</f>
        <v>0</v>
      </c>
      <c r="R1143" s="102">
        <f>tbl_ConsultingCompanys!C1143</f>
        <v>0</v>
      </c>
      <c r="S1143" s="102">
        <f t="shared" si="53"/>
        <v>0</v>
      </c>
    </row>
    <row r="1144" spans="11:19" x14ac:dyDescent="0.15">
      <c r="K1144" s="102">
        <f>tbl_ArchitectureOffices!D1144</f>
        <v>0</v>
      </c>
      <c r="L1144" s="102">
        <f>tbl_ArchitectureOffices!C1144</f>
        <v>0</v>
      </c>
      <c r="M1144" s="102">
        <f t="shared" si="51"/>
        <v>0</v>
      </c>
      <c r="N1144" s="102" t="str">
        <f>tbl_Companys!D1144</f>
        <v>Tegn 3 AS</v>
      </c>
      <c r="O1144" s="102">
        <f>tbl_Companys!C1144</f>
        <v>234630</v>
      </c>
      <c r="P1144" s="102" t="str">
        <f t="shared" si="52"/>
        <v>Tegn 3 AS</v>
      </c>
      <c r="Q1144" s="102">
        <f>tbl_ConsultingCompanys!D1144</f>
        <v>0</v>
      </c>
      <c r="R1144" s="102">
        <f>tbl_ConsultingCompanys!C1144</f>
        <v>0</v>
      </c>
      <c r="S1144" s="102">
        <f t="shared" si="53"/>
        <v>0</v>
      </c>
    </row>
    <row r="1145" spans="11:19" x14ac:dyDescent="0.15">
      <c r="K1145" s="102">
        <f>tbl_ArchitectureOffices!D1145</f>
        <v>0</v>
      </c>
      <c r="L1145" s="102">
        <f>tbl_ArchitectureOffices!C1145</f>
        <v>0</v>
      </c>
      <c r="M1145" s="102">
        <f t="shared" si="51"/>
        <v>0</v>
      </c>
      <c r="N1145" s="102" t="str">
        <f>tbl_Companys!D1145</f>
        <v>Tegn arkitektur og design as</v>
      </c>
      <c r="O1145" s="102">
        <f>tbl_Companys!C1145</f>
        <v>166464</v>
      </c>
      <c r="P1145" s="102" t="str">
        <f t="shared" si="52"/>
        <v>Tegn arkitektur og design as</v>
      </c>
      <c r="Q1145" s="102">
        <f>tbl_ConsultingCompanys!D1145</f>
        <v>0</v>
      </c>
      <c r="R1145" s="102">
        <f>tbl_ConsultingCompanys!C1145</f>
        <v>0</v>
      </c>
      <c r="S1145" s="102">
        <f t="shared" si="53"/>
        <v>0</v>
      </c>
    </row>
    <row r="1146" spans="11:19" x14ac:dyDescent="0.15">
      <c r="K1146" s="102">
        <f>tbl_ArchitectureOffices!D1146</f>
        <v>0</v>
      </c>
      <c r="L1146" s="102">
        <f>tbl_ArchitectureOffices!C1146</f>
        <v>0</v>
      </c>
      <c r="M1146" s="102">
        <f t="shared" si="51"/>
        <v>0</v>
      </c>
      <c r="N1146" s="102" t="str">
        <f>tbl_Companys!D1146</f>
        <v>Tegneverket Arkitekter AS</v>
      </c>
      <c r="O1146" s="102">
        <f>tbl_Companys!C1146</f>
        <v>172735</v>
      </c>
      <c r="P1146" s="102" t="str">
        <f t="shared" si="52"/>
        <v>Tegneverket Arkitekter AS</v>
      </c>
      <c r="Q1146" s="102">
        <f>tbl_ConsultingCompanys!D1146</f>
        <v>0</v>
      </c>
      <c r="R1146" s="102">
        <f>tbl_ConsultingCompanys!C1146</f>
        <v>0</v>
      </c>
      <c r="S1146" s="102">
        <f t="shared" si="53"/>
        <v>0</v>
      </c>
    </row>
    <row r="1147" spans="11:19" x14ac:dyDescent="0.15">
      <c r="K1147" s="102">
        <f>tbl_ArchitectureOffices!D1147</f>
        <v>0</v>
      </c>
      <c r="L1147" s="102">
        <f>tbl_ArchitectureOffices!C1147</f>
        <v>0</v>
      </c>
      <c r="M1147" s="102">
        <f t="shared" si="51"/>
        <v>0</v>
      </c>
      <c r="N1147" s="102" t="str">
        <f>tbl_Companys!D1147</f>
        <v>Teiknistofan Trød</v>
      </c>
      <c r="O1147" s="102">
        <f>tbl_Companys!C1147</f>
        <v>166446</v>
      </c>
      <c r="P1147" s="102" t="str">
        <f t="shared" si="52"/>
        <v>Teiknistofan Trød</v>
      </c>
      <c r="Q1147" s="102">
        <f>tbl_ConsultingCompanys!D1147</f>
        <v>0</v>
      </c>
      <c r="R1147" s="102">
        <f>tbl_ConsultingCompanys!C1147</f>
        <v>0</v>
      </c>
      <c r="S1147" s="102">
        <f t="shared" si="53"/>
        <v>0</v>
      </c>
    </row>
    <row r="1148" spans="11:19" x14ac:dyDescent="0.15">
      <c r="K1148" s="102">
        <f>tbl_ArchitectureOffices!D1148</f>
        <v>0</v>
      </c>
      <c r="L1148" s="102">
        <f>tbl_ArchitectureOffices!C1148</f>
        <v>0</v>
      </c>
      <c r="M1148" s="102">
        <f t="shared" si="51"/>
        <v>0</v>
      </c>
      <c r="N1148" s="102" t="str">
        <f>tbl_Companys!D1148</f>
        <v>Teka Eiendom AS</v>
      </c>
      <c r="O1148" s="102">
        <f>tbl_Companys!C1148</f>
        <v>247582</v>
      </c>
      <c r="P1148" s="102" t="str">
        <f t="shared" si="52"/>
        <v>Teka Eiendom AS</v>
      </c>
      <c r="Q1148" s="102">
        <f>tbl_ConsultingCompanys!D1148</f>
        <v>0</v>
      </c>
      <c r="R1148" s="102">
        <f>tbl_ConsultingCompanys!C1148</f>
        <v>0</v>
      </c>
      <c r="S1148" s="102">
        <f t="shared" si="53"/>
        <v>0</v>
      </c>
    </row>
    <row r="1149" spans="11:19" x14ac:dyDescent="0.15">
      <c r="K1149" s="102">
        <f>tbl_ArchitectureOffices!D1149</f>
        <v>0</v>
      </c>
      <c r="L1149" s="102">
        <f>tbl_ArchitectureOffices!C1149</f>
        <v>0</v>
      </c>
      <c r="M1149" s="102">
        <f t="shared" si="51"/>
        <v>0</v>
      </c>
      <c r="N1149" s="102" t="str">
        <f>tbl_Companys!D1149</f>
        <v>Teknisk byrå AS</v>
      </c>
      <c r="O1149" s="102">
        <f>tbl_Companys!C1149</f>
        <v>97933</v>
      </c>
      <c r="P1149" s="102" t="str">
        <f t="shared" si="52"/>
        <v>Teknisk byrå AS</v>
      </c>
      <c r="Q1149" s="102">
        <f>tbl_ConsultingCompanys!D1149</f>
        <v>0</v>
      </c>
      <c r="R1149" s="102">
        <f>tbl_ConsultingCompanys!C1149</f>
        <v>0</v>
      </c>
      <c r="S1149" s="102">
        <f t="shared" si="53"/>
        <v>0</v>
      </c>
    </row>
    <row r="1150" spans="11:19" x14ac:dyDescent="0.15">
      <c r="K1150" s="102">
        <f>tbl_ArchitectureOffices!D1150</f>
        <v>0</v>
      </c>
      <c r="L1150" s="102">
        <f>tbl_ArchitectureOffices!C1150</f>
        <v>0</v>
      </c>
      <c r="M1150" s="102">
        <f t="shared" si="51"/>
        <v>0</v>
      </c>
      <c r="N1150" s="102" t="str">
        <f>tbl_Companys!D1150</f>
        <v>Teknisk Ventilasjon AS</v>
      </c>
      <c r="O1150" s="102">
        <f>tbl_Companys!C1150</f>
        <v>228144</v>
      </c>
      <c r="P1150" s="102" t="str">
        <f t="shared" si="52"/>
        <v>Teknisk Ventilasjon AS</v>
      </c>
      <c r="Q1150" s="102">
        <f>tbl_ConsultingCompanys!D1150</f>
        <v>0</v>
      </c>
      <c r="R1150" s="102">
        <f>tbl_ConsultingCompanys!C1150</f>
        <v>0</v>
      </c>
      <c r="S1150" s="102">
        <f t="shared" si="53"/>
        <v>0</v>
      </c>
    </row>
    <row r="1151" spans="11:19" x14ac:dyDescent="0.15">
      <c r="K1151" s="102">
        <f>tbl_ArchitectureOffices!D1151</f>
        <v>0</v>
      </c>
      <c r="L1151" s="102">
        <f>tbl_ArchitectureOffices!C1151</f>
        <v>0</v>
      </c>
      <c r="M1151" s="102">
        <f t="shared" si="51"/>
        <v>0</v>
      </c>
      <c r="N1151" s="102" t="str">
        <f>tbl_Companys!D1151</f>
        <v xml:space="preserve">Tekno Team AS </v>
      </c>
      <c r="O1151" s="102">
        <f>tbl_Companys!C1151</f>
        <v>165395</v>
      </c>
      <c r="P1151" s="102" t="str">
        <f t="shared" si="52"/>
        <v>Tekno Team AS</v>
      </c>
      <c r="Q1151" s="102">
        <f>tbl_ConsultingCompanys!D1151</f>
        <v>0</v>
      </c>
      <c r="R1151" s="102">
        <f>tbl_ConsultingCompanys!C1151</f>
        <v>0</v>
      </c>
      <c r="S1151" s="102">
        <f t="shared" si="53"/>
        <v>0</v>
      </c>
    </row>
    <row r="1152" spans="11:19" x14ac:dyDescent="0.15">
      <c r="K1152" s="102">
        <f>tbl_ArchitectureOffices!D1152</f>
        <v>0</v>
      </c>
      <c r="L1152" s="102">
        <f>tbl_ArchitectureOffices!C1152</f>
        <v>0</v>
      </c>
      <c r="M1152" s="102">
        <f t="shared" si="51"/>
        <v>0</v>
      </c>
      <c r="N1152" s="102" t="str">
        <f>tbl_Companys!D1152</f>
        <v>Teknobygg AS</v>
      </c>
      <c r="O1152" s="102">
        <f>tbl_Companys!C1152</f>
        <v>178920</v>
      </c>
      <c r="P1152" s="102" t="str">
        <f t="shared" si="52"/>
        <v>Teknobygg AS</v>
      </c>
      <c r="Q1152" s="102">
        <f>tbl_ConsultingCompanys!D1152</f>
        <v>0</v>
      </c>
      <c r="R1152" s="102">
        <f>tbl_ConsultingCompanys!C1152</f>
        <v>0</v>
      </c>
      <c r="S1152" s="102">
        <f t="shared" si="53"/>
        <v>0</v>
      </c>
    </row>
    <row r="1153" spans="11:19" x14ac:dyDescent="0.15">
      <c r="K1153" s="102">
        <f>tbl_ArchitectureOffices!D1153</f>
        <v>0</v>
      </c>
      <c r="L1153" s="102">
        <f>tbl_ArchitectureOffices!C1153</f>
        <v>0</v>
      </c>
      <c r="M1153" s="102">
        <f t="shared" si="51"/>
        <v>0</v>
      </c>
      <c r="N1153" s="102" t="str">
        <f>tbl_Companys!D1153</f>
        <v>Teknoconsult AS</v>
      </c>
      <c r="O1153" s="102">
        <f>tbl_Companys!C1153</f>
        <v>225768</v>
      </c>
      <c r="P1153" s="102" t="str">
        <f t="shared" si="52"/>
        <v>Teknoconsult AS</v>
      </c>
      <c r="Q1153" s="102">
        <f>tbl_ConsultingCompanys!D1153</f>
        <v>0</v>
      </c>
      <c r="R1153" s="102">
        <f>tbl_ConsultingCompanys!C1153</f>
        <v>0</v>
      </c>
      <c r="S1153" s="102">
        <f t="shared" si="53"/>
        <v>0</v>
      </c>
    </row>
    <row r="1154" spans="11:19" x14ac:dyDescent="0.15">
      <c r="K1154" s="102">
        <f>tbl_ArchitectureOffices!D1154</f>
        <v>0</v>
      </c>
      <c r="L1154" s="102">
        <f>tbl_ArchitectureOffices!C1154</f>
        <v>0</v>
      </c>
      <c r="M1154" s="102">
        <f t="shared" si="51"/>
        <v>0</v>
      </c>
      <c r="N1154" s="102" t="str">
        <f>tbl_Companys!D1154</f>
        <v>Telerør</v>
      </c>
      <c r="O1154" s="102">
        <f>tbl_Companys!C1154</f>
        <v>248369</v>
      </c>
      <c r="P1154" s="102" t="str">
        <f t="shared" si="52"/>
        <v>Telerør</v>
      </c>
      <c r="Q1154" s="102">
        <f>tbl_ConsultingCompanys!D1154</f>
        <v>0</v>
      </c>
      <c r="R1154" s="102">
        <f>tbl_ConsultingCompanys!C1154</f>
        <v>0</v>
      </c>
      <c r="S1154" s="102">
        <f t="shared" si="53"/>
        <v>0</v>
      </c>
    </row>
    <row r="1155" spans="11:19" x14ac:dyDescent="0.15">
      <c r="K1155" s="102">
        <f>tbl_ArchitectureOffices!D1155</f>
        <v>0</v>
      </c>
      <c r="L1155" s="102">
        <f>tbl_ArchitectureOffices!C1155</f>
        <v>0</v>
      </c>
      <c r="M1155" s="102">
        <f t="shared" ref="M1155:M1205" si="54">IFERROR(REPLACE(K1155,FIND(" ",K1155,LEN(K1155)),1,""),K1155)</f>
        <v>0</v>
      </c>
      <c r="N1155" s="102" t="str">
        <f>tbl_Companys!D1155</f>
        <v>Telesafe Consulting AS</v>
      </c>
      <c r="O1155" s="102">
        <f>tbl_Companys!C1155</f>
        <v>110462</v>
      </c>
      <c r="P1155" s="102" t="str">
        <f t="shared" ref="P1155:P1218" si="55">IFERROR(REPLACE(N1155,FIND(" ",N1155,LEN(N1155)),1,""),N1155)</f>
        <v>Telesafe Consulting AS</v>
      </c>
      <c r="Q1155" s="102">
        <f>tbl_ConsultingCompanys!D1155</f>
        <v>0</v>
      </c>
      <c r="R1155" s="102">
        <f>tbl_ConsultingCompanys!C1155</f>
        <v>0</v>
      </c>
      <c r="S1155" s="102">
        <f t="shared" ref="S1155:S1218" si="56">IFERROR(REPLACE(Q1155,FIND(" ",Q1155,LEN(Q1155)),1,""),Q1155)</f>
        <v>0</v>
      </c>
    </row>
    <row r="1156" spans="11:19" x14ac:dyDescent="0.15">
      <c r="K1156" s="102">
        <f>tbl_ArchitectureOffices!D1156</f>
        <v>0</v>
      </c>
      <c r="L1156" s="102">
        <f>tbl_ArchitectureOffices!C1156</f>
        <v>0</v>
      </c>
      <c r="M1156" s="102">
        <f t="shared" si="54"/>
        <v>0</v>
      </c>
      <c r="N1156" s="102" t="str">
        <f>tbl_Companys!D1156</f>
        <v>Tempero Energitjenester AS</v>
      </c>
      <c r="O1156" s="102">
        <f>tbl_Companys!C1156</f>
        <v>165394</v>
      </c>
      <c r="P1156" s="102" t="str">
        <f t="shared" si="55"/>
        <v>Tempero Energitjenester AS</v>
      </c>
      <c r="Q1156" s="102">
        <f>tbl_ConsultingCompanys!D1156</f>
        <v>0</v>
      </c>
      <c r="R1156" s="102">
        <f>tbl_ConsultingCompanys!C1156</f>
        <v>0</v>
      </c>
      <c r="S1156" s="102">
        <f t="shared" si="56"/>
        <v>0</v>
      </c>
    </row>
    <row r="1157" spans="11:19" x14ac:dyDescent="0.15">
      <c r="K1157" s="102">
        <f>tbl_ArchitectureOffices!D1157</f>
        <v>0</v>
      </c>
      <c r="L1157" s="102">
        <f>tbl_ArchitectureOffices!C1157</f>
        <v>0</v>
      </c>
      <c r="M1157" s="102">
        <f t="shared" si="54"/>
        <v>0</v>
      </c>
      <c r="N1157" s="102" t="str">
        <f>tbl_Companys!D1157</f>
        <v>Theorells AS</v>
      </c>
      <c r="O1157" s="102">
        <f>tbl_Companys!C1157</f>
        <v>121191</v>
      </c>
      <c r="P1157" s="102" t="str">
        <f t="shared" si="55"/>
        <v>Theorells AS</v>
      </c>
      <c r="Q1157" s="102">
        <f>tbl_ConsultingCompanys!D1157</f>
        <v>0</v>
      </c>
      <c r="R1157" s="102">
        <f>tbl_ConsultingCompanys!C1157</f>
        <v>0</v>
      </c>
      <c r="S1157" s="102">
        <f t="shared" si="56"/>
        <v>0</v>
      </c>
    </row>
    <row r="1158" spans="11:19" x14ac:dyDescent="0.15">
      <c r="K1158" s="102">
        <f>tbl_ArchitectureOffices!D1158</f>
        <v>0</v>
      </c>
      <c r="L1158" s="102">
        <f>tbl_ArchitectureOffices!C1158</f>
        <v>0</v>
      </c>
      <c r="M1158" s="102">
        <f t="shared" si="54"/>
        <v>0</v>
      </c>
      <c r="N1158" s="102" t="str">
        <f>tbl_Companys!D1158</f>
        <v>Thermoplan AS</v>
      </c>
      <c r="O1158" s="102">
        <f>tbl_Companys!C1158</f>
        <v>218396</v>
      </c>
      <c r="P1158" s="102" t="str">
        <f t="shared" si="55"/>
        <v>Thermoplan AS</v>
      </c>
      <c r="Q1158" s="102">
        <f>tbl_ConsultingCompanys!D1158</f>
        <v>0</v>
      </c>
      <c r="R1158" s="102">
        <f>tbl_ConsultingCompanys!C1158</f>
        <v>0</v>
      </c>
      <c r="S1158" s="102">
        <f t="shared" si="56"/>
        <v>0</v>
      </c>
    </row>
    <row r="1159" spans="11:19" x14ac:dyDescent="0.15">
      <c r="K1159" s="102">
        <f>tbl_ArchitectureOffices!D1159</f>
        <v>0</v>
      </c>
      <c r="L1159" s="102">
        <f>tbl_ArchitectureOffices!C1159</f>
        <v>0</v>
      </c>
      <c r="M1159" s="102">
        <f t="shared" si="54"/>
        <v>0</v>
      </c>
      <c r="N1159" s="102" t="str">
        <f>tbl_Companys!D1159</f>
        <v>Thermoplan AS rådgivende ingeniørfirma (VVS)</v>
      </c>
      <c r="O1159" s="102">
        <f>tbl_Companys!C1159</f>
        <v>218402</v>
      </c>
      <c r="P1159" s="102" t="str">
        <f t="shared" si="55"/>
        <v>Thermoplan AS rådgivende ingeniørfirma (VVS)</v>
      </c>
      <c r="Q1159" s="102">
        <f>tbl_ConsultingCompanys!D1159</f>
        <v>0</v>
      </c>
      <c r="R1159" s="102">
        <f>tbl_ConsultingCompanys!C1159</f>
        <v>0</v>
      </c>
      <c r="S1159" s="102">
        <f t="shared" si="56"/>
        <v>0</v>
      </c>
    </row>
    <row r="1160" spans="11:19" x14ac:dyDescent="0.15">
      <c r="K1160" s="102">
        <f>tbl_ArchitectureOffices!D1160</f>
        <v>0</v>
      </c>
      <c r="L1160" s="102">
        <f>tbl_ArchitectureOffices!C1160</f>
        <v>0</v>
      </c>
      <c r="M1160" s="102">
        <f t="shared" si="54"/>
        <v>0</v>
      </c>
      <c r="N1160" s="102" t="str">
        <f>tbl_Companys!D1160</f>
        <v>Thorenfeldt Arkitekter AS</v>
      </c>
      <c r="O1160" s="102">
        <f>tbl_Companys!C1160</f>
        <v>166462</v>
      </c>
      <c r="P1160" s="102" t="str">
        <f t="shared" si="55"/>
        <v>Thorenfeldt Arkitekter AS</v>
      </c>
      <c r="Q1160" s="102">
        <f>tbl_ConsultingCompanys!D1160</f>
        <v>0</v>
      </c>
      <c r="R1160" s="102">
        <f>tbl_ConsultingCompanys!C1160</f>
        <v>0</v>
      </c>
      <c r="S1160" s="102">
        <f t="shared" si="56"/>
        <v>0</v>
      </c>
    </row>
    <row r="1161" spans="11:19" x14ac:dyDescent="0.15">
      <c r="K1161" s="102">
        <f>tbl_ArchitectureOffices!D1161</f>
        <v>0</v>
      </c>
      <c r="L1161" s="102">
        <f>tbl_ArchitectureOffices!C1161</f>
        <v>0</v>
      </c>
      <c r="M1161" s="102">
        <f t="shared" si="54"/>
        <v>0</v>
      </c>
      <c r="N1161" s="102" t="str">
        <f>tbl_Companys!D1161</f>
        <v xml:space="preserve">Thorsnes Arkitekter AS, Thomas </v>
      </c>
      <c r="O1161" s="102">
        <f>tbl_Companys!C1161</f>
        <v>166460</v>
      </c>
      <c r="P1161" s="102" t="str">
        <f t="shared" si="55"/>
        <v>Thorsnes Arkitekter AS, Thomas</v>
      </c>
      <c r="Q1161" s="102">
        <f>tbl_ConsultingCompanys!D1161</f>
        <v>0</v>
      </c>
      <c r="R1161" s="102">
        <f>tbl_ConsultingCompanys!C1161</f>
        <v>0</v>
      </c>
      <c r="S1161" s="102">
        <f t="shared" si="56"/>
        <v>0</v>
      </c>
    </row>
    <row r="1162" spans="11:19" x14ac:dyDescent="0.15">
      <c r="K1162" s="102">
        <f>tbl_ArchitectureOffices!D1162</f>
        <v>0</v>
      </c>
      <c r="L1162" s="102">
        <f>tbl_ArchitectureOffices!C1162</f>
        <v>0</v>
      </c>
      <c r="M1162" s="102">
        <f t="shared" si="54"/>
        <v>0</v>
      </c>
      <c r="N1162" s="102" t="str">
        <f>tbl_Companys!D1162</f>
        <v xml:space="preserve">Thrane AS, Klaus </v>
      </c>
      <c r="O1162" s="102">
        <f>tbl_Companys!C1162</f>
        <v>172676</v>
      </c>
      <c r="P1162" s="102" t="str">
        <f t="shared" si="55"/>
        <v>Thrane AS, Klaus</v>
      </c>
      <c r="Q1162" s="102">
        <f>tbl_ConsultingCompanys!D1162</f>
        <v>0</v>
      </c>
      <c r="R1162" s="102">
        <f>tbl_ConsultingCompanys!C1162</f>
        <v>0</v>
      </c>
      <c r="S1162" s="102">
        <f t="shared" si="56"/>
        <v>0</v>
      </c>
    </row>
    <row r="1163" spans="11:19" x14ac:dyDescent="0.15">
      <c r="K1163" s="102">
        <f>tbl_ArchitectureOffices!D1163</f>
        <v>0</v>
      </c>
      <c r="L1163" s="102">
        <f>tbl_ArchitectureOffices!C1163</f>
        <v>0</v>
      </c>
      <c r="M1163" s="102">
        <f t="shared" si="54"/>
        <v>0</v>
      </c>
      <c r="N1163" s="102" t="str">
        <f>tbl_Companys!D1163</f>
        <v>Thunes Partners AS</v>
      </c>
      <c r="O1163" s="102">
        <f>tbl_Companys!C1163</f>
        <v>110755</v>
      </c>
      <c r="P1163" s="102" t="str">
        <f t="shared" si="55"/>
        <v>Thunes Partners AS</v>
      </c>
      <c r="Q1163" s="102">
        <f>tbl_ConsultingCompanys!D1163</f>
        <v>0</v>
      </c>
      <c r="R1163" s="102">
        <f>tbl_ConsultingCompanys!C1163</f>
        <v>0</v>
      </c>
      <c r="S1163" s="102">
        <f t="shared" si="56"/>
        <v>0</v>
      </c>
    </row>
    <row r="1164" spans="11:19" x14ac:dyDescent="0.15">
      <c r="K1164" s="102">
        <f>tbl_ArchitectureOffices!D1164</f>
        <v>0</v>
      </c>
      <c r="L1164" s="102">
        <f>tbl_ArchitectureOffices!C1164</f>
        <v>0</v>
      </c>
      <c r="M1164" s="102">
        <f t="shared" si="54"/>
        <v>0</v>
      </c>
      <c r="N1164" s="102" t="str">
        <f>tbl_Companys!D1164</f>
        <v>Timber AS</v>
      </c>
      <c r="O1164" s="102">
        <f>tbl_Companys!C1164</f>
        <v>111855</v>
      </c>
      <c r="P1164" s="102" t="str">
        <f t="shared" si="55"/>
        <v>Timber AS</v>
      </c>
      <c r="Q1164" s="102">
        <f>tbl_ConsultingCompanys!D1164</f>
        <v>0</v>
      </c>
      <c r="R1164" s="102">
        <f>tbl_ConsultingCompanys!C1164</f>
        <v>0</v>
      </c>
      <c r="S1164" s="102">
        <f t="shared" si="56"/>
        <v>0</v>
      </c>
    </row>
    <row r="1165" spans="11:19" x14ac:dyDescent="0.15">
      <c r="K1165" s="102">
        <f>tbl_ArchitectureOffices!D1165</f>
        <v>0</v>
      </c>
      <c r="L1165" s="102">
        <f>tbl_ArchitectureOffices!C1165</f>
        <v>0</v>
      </c>
      <c r="M1165" s="102">
        <f t="shared" si="54"/>
        <v>0</v>
      </c>
      <c r="N1165" s="102" t="str">
        <f>tbl_Companys!D1165</f>
        <v>Time kyrkje</v>
      </c>
      <c r="O1165" s="102">
        <f>tbl_Companys!C1165</f>
        <v>230068</v>
      </c>
      <c r="P1165" s="102" t="str">
        <f t="shared" si="55"/>
        <v>Time kyrkje</v>
      </c>
      <c r="Q1165" s="102">
        <f>tbl_ConsultingCompanys!D1165</f>
        <v>0</v>
      </c>
      <c r="R1165" s="102">
        <f>tbl_ConsultingCompanys!C1165</f>
        <v>0</v>
      </c>
      <c r="S1165" s="102">
        <f t="shared" si="56"/>
        <v>0</v>
      </c>
    </row>
    <row r="1166" spans="11:19" x14ac:dyDescent="0.15">
      <c r="K1166" s="102">
        <f>tbl_ArchitectureOffices!D1166</f>
        <v>0</v>
      </c>
      <c r="L1166" s="102">
        <f>tbl_ArchitectureOffices!C1166</f>
        <v>0</v>
      </c>
      <c r="M1166" s="102">
        <f t="shared" si="54"/>
        <v>0</v>
      </c>
      <c r="N1166" s="102" t="str">
        <f>tbl_Companys!D1166</f>
        <v>Time kyrkjelege fellesråd</v>
      </c>
      <c r="O1166" s="102">
        <f>tbl_Companys!C1166</f>
        <v>230118</v>
      </c>
      <c r="P1166" s="102" t="str">
        <f t="shared" si="55"/>
        <v>Time kyrkjelege fellesråd</v>
      </c>
      <c r="Q1166" s="102">
        <f>tbl_ConsultingCompanys!D1166</f>
        <v>0</v>
      </c>
      <c r="R1166" s="102">
        <f>tbl_ConsultingCompanys!C1166</f>
        <v>0</v>
      </c>
      <c r="S1166" s="102">
        <f t="shared" si="56"/>
        <v>0</v>
      </c>
    </row>
    <row r="1167" spans="11:19" x14ac:dyDescent="0.15">
      <c r="K1167" s="102">
        <f>tbl_ArchitectureOffices!D1167</f>
        <v>0</v>
      </c>
      <c r="L1167" s="102">
        <f>tbl_ArchitectureOffices!C1167</f>
        <v>0</v>
      </c>
      <c r="M1167" s="102">
        <f t="shared" si="54"/>
        <v>0</v>
      </c>
      <c r="N1167" s="102" t="str">
        <f>tbl_Companys!D1167</f>
        <v>Tippetue Arkitekter as</v>
      </c>
      <c r="O1167" s="102">
        <f>tbl_Companys!C1167</f>
        <v>172657</v>
      </c>
      <c r="P1167" s="102" t="str">
        <f t="shared" si="55"/>
        <v>Tippetue Arkitekter as</v>
      </c>
      <c r="Q1167" s="102">
        <f>tbl_ConsultingCompanys!D1167</f>
        <v>0</v>
      </c>
      <c r="R1167" s="102">
        <f>tbl_ConsultingCompanys!C1167</f>
        <v>0</v>
      </c>
      <c r="S1167" s="102">
        <f t="shared" si="56"/>
        <v>0</v>
      </c>
    </row>
    <row r="1168" spans="11:19" x14ac:dyDescent="0.15">
      <c r="K1168" s="102">
        <f>tbl_ArchitectureOffices!D1168</f>
        <v>0</v>
      </c>
      <c r="L1168" s="102">
        <f>tbl_ArchitectureOffices!C1168</f>
        <v>0</v>
      </c>
      <c r="M1168" s="102">
        <f t="shared" si="54"/>
        <v>0</v>
      </c>
      <c r="N1168" s="102" t="str">
        <f>tbl_Companys!D1168</f>
        <v>Tjøme arkitektkontor</v>
      </c>
      <c r="O1168" s="102">
        <f>tbl_Companys!C1168</f>
        <v>166459</v>
      </c>
      <c r="P1168" s="102" t="str">
        <f t="shared" si="55"/>
        <v>Tjøme arkitektkontor</v>
      </c>
      <c r="Q1168" s="102">
        <f>tbl_ConsultingCompanys!D1168</f>
        <v>0</v>
      </c>
      <c r="R1168" s="102">
        <f>tbl_ConsultingCompanys!C1168</f>
        <v>0</v>
      </c>
      <c r="S1168" s="102">
        <f t="shared" si="56"/>
        <v>0</v>
      </c>
    </row>
    <row r="1169" spans="11:19" x14ac:dyDescent="0.15">
      <c r="K1169" s="102">
        <f>tbl_ArchitectureOffices!D1169</f>
        <v>0</v>
      </c>
      <c r="L1169" s="102">
        <f>tbl_ArchitectureOffices!C1169</f>
        <v>0</v>
      </c>
      <c r="M1169" s="102">
        <f t="shared" si="54"/>
        <v>0</v>
      </c>
      <c r="N1169" s="102" t="str">
        <f>tbl_Companys!D1169</f>
        <v xml:space="preserve">Tollaas, Inger-Johanne </v>
      </c>
      <c r="O1169" s="102">
        <f>tbl_Companys!C1169</f>
        <v>166458</v>
      </c>
      <c r="P1169" s="102" t="str">
        <f t="shared" si="55"/>
        <v>Tollaas, Inger-Johanne</v>
      </c>
      <c r="Q1169" s="102">
        <f>tbl_ConsultingCompanys!D1169</f>
        <v>0</v>
      </c>
      <c r="R1169" s="102">
        <f>tbl_ConsultingCompanys!C1169</f>
        <v>0</v>
      </c>
      <c r="S1169" s="102">
        <f t="shared" si="56"/>
        <v>0</v>
      </c>
    </row>
    <row r="1170" spans="11:19" x14ac:dyDescent="0.15">
      <c r="K1170" s="102">
        <f>tbl_ArchitectureOffices!D1170</f>
        <v>0</v>
      </c>
      <c r="L1170" s="102">
        <f>tbl_ArchitectureOffices!C1170</f>
        <v>0</v>
      </c>
      <c r="M1170" s="102">
        <f t="shared" si="54"/>
        <v>0</v>
      </c>
      <c r="N1170" s="102" t="str">
        <f>tbl_Companys!D1170</f>
        <v>Tom Edvardsen Arkitekter AS</v>
      </c>
      <c r="O1170" s="102">
        <f>tbl_Companys!C1170</f>
        <v>247051</v>
      </c>
      <c r="P1170" s="102" t="str">
        <f t="shared" si="55"/>
        <v>Tom Edvardsen Arkitekter AS</v>
      </c>
      <c r="Q1170" s="102">
        <f>tbl_ConsultingCompanys!D1170</f>
        <v>0</v>
      </c>
      <c r="R1170" s="102">
        <f>tbl_ConsultingCompanys!C1170</f>
        <v>0</v>
      </c>
      <c r="S1170" s="102">
        <f t="shared" si="56"/>
        <v>0</v>
      </c>
    </row>
    <row r="1171" spans="11:19" x14ac:dyDescent="0.15">
      <c r="K1171" s="102">
        <f>tbl_ArchitectureOffices!D1171</f>
        <v>0</v>
      </c>
      <c r="L1171" s="102">
        <f>tbl_ArchitectureOffices!C1171</f>
        <v>0</v>
      </c>
      <c r="M1171" s="102">
        <f t="shared" si="54"/>
        <v>0</v>
      </c>
      <c r="N1171" s="102" t="str">
        <f>tbl_Companys!D1171</f>
        <v>Tone Ulland Stokke</v>
      </c>
      <c r="O1171" s="102">
        <f>tbl_Companys!C1171</f>
        <v>158056</v>
      </c>
      <c r="P1171" s="102" t="str">
        <f t="shared" si="55"/>
        <v>Tone Ulland Stokke</v>
      </c>
      <c r="Q1171" s="102">
        <f>tbl_ConsultingCompanys!D1171</f>
        <v>0</v>
      </c>
      <c r="R1171" s="102">
        <f>tbl_ConsultingCompanys!C1171</f>
        <v>0</v>
      </c>
      <c r="S1171" s="102">
        <f t="shared" si="56"/>
        <v>0</v>
      </c>
    </row>
    <row r="1172" spans="11:19" x14ac:dyDescent="0.15">
      <c r="K1172" s="102">
        <f>tbl_ArchitectureOffices!D1172</f>
        <v>0</v>
      </c>
      <c r="L1172" s="102">
        <f>tbl_ArchitectureOffices!C1172</f>
        <v>0</v>
      </c>
      <c r="M1172" s="102">
        <f t="shared" si="54"/>
        <v>0</v>
      </c>
      <c r="N1172" s="102" t="str">
        <f>tbl_Companys!D1172</f>
        <v>Topos arkitektur og design as</v>
      </c>
      <c r="O1172" s="102">
        <f>tbl_Companys!C1172</f>
        <v>166454</v>
      </c>
      <c r="P1172" s="102" t="str">
        <f t="shared" si="55"/>
        <v>Topos arkitektur og design as</v>
      </c>
      <c r="Q1172" s="102">
        <f>tbl_ConsultingCompanys!D1172</f>
        <v>0</v>
      </c>
      <c r="R1172" s="102">
        <f>tbl_ConsultingCompanys!C1172</f>
        <v>0</v>
      </c>
      <c r="S1172" s="102">
        <f t="shared" si="56"/>
        <v>0</v>
      </c>
    </row>
    <row r="1173" spans="11:19" x14ac:dyDescent="0.15">
      <c r="K1173" s="102">
        <f>tbl_ArchitectureOffices!D1173</f>
        <v>0</v>
      </c>
      <c r="L1173" s="102">
        <f>tbl_ArchitectureOffices!C1173</f>
        <v>0</v>
      </c>
      <c r="M1173" s="102">
        <f t="shared" si="54"/>
        <v>0</v>
      </c>
      <c r="N1173" s="102" t="str">
        <f>tbl_Companys!D1173</f>
        <v>Tor Entreprenør AS</v>
      </c>
      <c r="O1173" s="102">
        <f>tbl_Companys!C1173</f>
        <v>121317</v>
      </c>
      <c r="P1173" s="102" t="str">
        <f t="shared" si="55"/>
        <v>Tor Entreprenør AS</v>
      </c>
      <c r="Q1173" s="102">
        <f>tbl_ConsultingCompanys!D1173</f>
        <v>0</v>
      </c>
      <c r="R1173" s="102">
        <f>tbl_ConsultingCompanys!C1173</f>
        <v>0</v>
      </c>
      <c r="S1173" s="102">
        <f t="shared" si="56"/>
        <v>0</v>
      </c>
    </row>
    <row r="1174" spans="11:19" x14ac:dyDescent="0.15">
      <c r="K1174" s="102">
        <f>tbl_ArchitectureOffices!D1174</f>
        <v>0</v>
      </c>
      <c r="L1174" s="102">
        <f>tbl_ArchitectureOffices!C1174</f>
        <v>0</v>
      </c>
      <c r="M1174" s="102">
        <f t="shared" si="54"/>
        <v>0</v>
      </c>
      <c r="N1174" s="102" t="str">
        <f>tbl_Companys!D1174</f>
        <v>Tor Helge Dokka</v>
      </c>
      <c r="O1174" s="102">
        <f>tbl_Companys!C1174</f>
        <v>204509</v>
      </c>
      <c r="P1174" s="102" t="str">
        <f t="shared" si="55"/>
        <v>Tor Helge Dokka</v>
      </c>
      <c r="Q1174" s="102">
        <f>tbl_ConsultingCompanys!D1174</f>
        <v>0</v>
      </c>
      <c r="R1174" s="102">
        <f>tbl_ConsultingCompanys!C1174</f>
        <v>0</v>
      </c>
      <c r="S1174" s="102">
        <f t="shared" si="56"/>
        <v>0</v>
      </c>
    </row>
    <row r="1175" spans="11:19" x14ac:dyDescent="0.15">
      <c r="K1175" s="102">
        <f>tbl_ArchitectureOffices!D1175</f>
        <v>0</v>
      </c>
      <c r="L1175" s="102">
        <f>tbl_ArchitectureOffices!C1175</f>
        <v>0</v>
      </c>
      <c r="M1175" s="102">
        <f t="shared" si="54"/>
        <v>0</v>
      </c>
      <c r="N1175" s="102" t="str">
        <f>tbl_Companys!D1175</f>
        <v>Tor Nykvist &amp; sønn AS</v>
      </c>
      <c r="O1175" s="102">
        <f>tbl_Companys!C1175</f>
        <v>110966</v>
      </c>
      <c r="P1175" s="102" t="str">
        <f t="shared" si="55"/>
        <v>Tor Nykvist &amp; sønn AS</v>
      </c>
      <c r="Q1175" s="102">
        <f>tbl_ConsultingCompanys!D1175</f>
        <v>0</v>
      </c>
      <c r="R1175" s="102">
        <f>tbl_ConsultingCompanys!C1175</f>
        <v>0</v>
      </c>
      <c r="S1175" s="102">
        <f t="shared" si="56"/>
        <v>0</v>
      </c>
    </row>
    <row r="1176" spans="11:19" x14ac:dyDescent="0.15">
      <c r="K1176" s="102">
        <f>tbl_ArchitectureOffices!D1176</f>
        <v>0</v>
      </c>
      <c r="L1176" s="102">
        <f>tbl_ArchitectureOffices!C1176</f>
        <v>0</v>
      </c>
      <c r="M1176" s="102">
        <f t="shared" si="54"/>
        <v>0</v>
      </c>
      <c r="N1176" s="102" t="str">
        <f>tbl_Companys!D1176</f>
        <v>Tore Ravndal AS</v>
      </c>
      <c r="O1176" s="102">
        <f>tbl_Companys!C1176</f>
        <v>162863</v>
      </c>
      <c r="P1176" s="102" t="str">
        <f t="shared" si="55"/>
        <v>Tore Ravndal AS</v>
      </c>
      <c r="Q1176" s="102">
        <f>tbl_ConsultingCompanys!D1176</f>
        <v>0</v>
      </c>
      <c r="R1176" s="102">
        <f>tbl_ConsultingCompanys!C1176</f>
        <v>0</v>
      </c>
      <c r="S1176" s="102">
        <f t="shared" si="56"/>
        <v>0</v>
      </c>
    </row>
    <row r="1177" spans="11:19" x14ac:dyDescent="0.15">
      <c r="K1177" s="102">
        <f>tbl_ArchitectureOffices!D1177</f>
        <v>0</v>
      </c>
      <c r="L1177" s="102">
        <f>tbl_ArchitectureOffices!C1177</f>
        <v>0</v>
      </c>
      <c r="M1177" s="102">
        <f t="shared" si="54"/>
        <v>0</v>
      </c>
      <c r="N1177" s="102" t="str">
        <f>tbl_Companys!D1177</f>
        <v>Torleif Holm Glad</v>
      </c>
      <c r="O1177" s="102">
        <f>tbl_Companys!C1177</f>
        <v>243666</v>
      </c>
      <c r="P1177" s="102" t="str">
        <f t="shared" si="55"/>
        <v>Torleif Holm Glad</v>
      </c>
      <c r="Q1177" s="102">
        <f>tbl_ConsultingCompanys!D1177</f>
        <v>0</v>
      </c>
      <c r="R1177" s="102">
        <f>tbl_ConsultingCompanys!C1177</f>
        <v>0</v>
      </c>
      <c r="S1177" s="102">
        <f t="shared" si="56"/>
        <v>0</v>
      </c>
    </row>
    <row r="1178" spans="11:19" x14ac:dyDescent="0.15">
      <c r="K1178" s="102">
        <f>tbl_ArchitectureOffices!D1178</f>
        <v>0</v>
      </c>
      <c r="L1178" s="102">
        <f>tbl_ArchitectureOffices!C1178</f>
        <v>0</v>
      </c>
      <c r="M1178" s="102">
        <f t="shared" si="54"/>
        <v>0</v>
      </c>
      <c r="N1178" s="102" t="str">
        <f>tbl_Companys!D1178</f>
        <v xml:space="preserve">Tornes, Sivilarkitekt MNAL Anne Britt </v>
      </c>
      <c r="O1178" s="102">
        <f>tbl_Companys!C1178</f>
        <v>166452</v>
      </c>
      <c r="P1178" s="102" t="str">
        <f t="shared" si="55"/>
        <v>Tornes, Sivilarkitekt MNAL Anne Britt</v>
      </c>
      <c r="Q1178" s="102">
        <f>tbl_ConsultingCompanys!D1178</f>
        <v>0</v>
      </c>
      <c r="R1178" s="102">
        <f>tbl_ConsultingCompanys!C1178</f>
        <v>0</v>
      </c>
      <c r="S1178" s="102">
        <f t="shared" si="56"/>
        <v>0</v>
      </c>
    </row>
    <row r="1179" spans="11:19" x14ac:dyDescent="0.15">
      <c r="K1179" s="102">
        <f>tbl_ArchitectureOffices!D1179</f>
        <v>0</v>
      </c>
      <c r="L1179" s="102">
        <f>tbl_ArchitectureOffices!C1179</f>
        <v>0</v>
      </c>
      <c r="M1179" s="102">
        <f t="shared" si="54"/>
        <v>0</v>
      </c>
      <c r="N1179" s="102" t="str">
        <f>tbl_Companys!D1179</f>
        <v>Torp AS Arkitekter MNAL, Niels</v>
      </c>
      <c r="O1179" s="102">
        <f>tbl_Companys!C1179</f>
        <v>166451</v>
      </c>
      <c r="P1179" s="102" t="str">
        <f t="shared" si="55"/>
        <v>Torp AS Arkitekter MNAL, Niels</v>
      </c>
      <c r="Q1179" s="102">
        <f>tbl_ConsultingCompanys!D1179</f>
        <v>0</v>
      </c>
      <c r="R1179" s="102">
        <f>tbl_ConsultingCompanys!C1179</f>
        <v>0</v>
      </c>
      <c r="S1179" s="102">
        <f t="shared" si="56"/>
        <v>0</v>
      </c>
    </row>
    <row r="1180" spans="11:19" x14ac:dyDescent="0.15">
      <c r="K1180" s="102">
        <f>tbl_ArchitectureOffices!D1180</f>
        <v>0</v>
      </c>
      <c r="L1180" s="102">
        <f>tbl_ArchitectureOffices!C1180</f>
        <v>0</v>
      </c>
      <c r="M1180" s="102">
        <f t="shared" si="54"/>
        <v>0</v>
      </c>
      <c r="N1180" s="102" t="str">
        <f>tbl_Companys!D1180</f>
        <v>Torsteinsrud-Smith Arkitekter</v>
      </c>
      <c r="O1180" s="102">
        <f>tbl_Companys!C1180</f>
        <v>166450</v>
      </c>
      <c r="P1180" s="102" t="str">
        <f t="shared" si="55"/>
        <v>Torsteinsrud-Smith Arkitekter</v>
      </c>
      <c r="Q1180" s="102">
        <f>tbl_ConsultingCompanys!D1180</f>
        <v>0</v>
      </c>
      <c r="R1180" s="102">
        <f>tbl_ConsultingCompanys!C1180</f>
        <v>0</v>
      </c>
      <c r="S1180" s="102">
        <f t="shared" si="56"/>
        <v>0</v>
      </c>
    </row>
    <row r="1181" spans="11:19" x14ac:dyDescent="0.15">
      <c r="K1181" s="102">
        <f>tbl_ArchitectureOffices!D1181</f>
        <v>0</v>
      </c>
      <c r="L1181" s="102">
        <f>tbl_ArchitectureOffices!C1181</f>
        <v>0</v>
      </c>
      <c r="M1181" s="102">
        <f t="shared" si="54"/>
        <v>0</v>
      </c>
      <c r="N1181" s="102" t="str">
        <f>tbl_Companys!D1181</f>
        <v>TRAFO arkitektur</v>
      </c>
      <c r="O1181" s="102">
        <f>tbl_Companys!C1181</f>
        <v>210075</v>
      </c>
      <c r="P1181" s="102" t="str">
        <f t="shared" si="55"/>
        <v>TRAFO arkitektur</v>
      </c>
      <c r="Q1181" s="102">
        <f>tbl_ConsultingCompanys!D1181</f>
        <v>0</v>
      </c>
      <c r="R1181" s="102">
        <f>tbl_ConsultingCompanys!C1181</f>
        <v>0</v>
      </c>
      <c r="S1181" s="102">
        <f t="shared" si="56"/>
        <v>0</v>
      </c>
    </row>
    <row r="1182" spans="11:19" x14ac:dyDescent="0.15">
      <c r="K1182" s="102">
        <f>tbl_ArchitectureOffices!D1182</f>
        <v>0</v>
      </c>
      <c r="L1182" s="102">
        <f>tbl_ArchitectureOffices!C1182</f>
        <v>0</v>
      </c>
      <c r="M1182" s="102">
        <f t="shared" si="54"/>
        <v>0</v>
      </c>
      <c r="N1182" s="102" t="str">
        <f>tbl_Companys!D1182</f>
        <v>Trebyggeriet AS</v>
      </c>
      <c r="O1182" s="102">
        <f>tbl_Companys!C1182</f>
        <v>163046</v>
      </c>
      <c r="P1182" s="102" t="str">
        <f t="shared" si="55"/>
        <v>Trebyggeriet AS</v>
      </c>
      <c r="Q1182" s="102">
        <f>tbl_ConsultingCompanys!D1182</f>
        <v>0</v>
      </c>
      <c r="R1182" s="102">
        <f>tbl_ConsultingCompanys!C1182</f>
        <v>0</v>
      </c>
      <c r="S1182" s="102">
        <f t="shared" si="56"/>
        <v>0</v>
      </c>
    </row>
    <row r="1183" spans="11:19" x14ac:dyDescent="0.15">
      <c r="K1183" s="102">
        <f>tbl_ArchitectureOffices!D1183</f>
        <v>0</v>
      </c>
      <c r="L1183" s="102">
        <f>tbl_ArchitectureOffices!C1183</f>
        <v>0</v>
      </c>
      <c r="M1183" s="102">
        <f t="shared" si="54"/>
        <v>0</v>
      </c>
      <c r="N1183" s="102" t="str">
        <f>tbl_Companys!D1183</f>
        <v>TreSenteret</v>
      </c>
      <c r="O1183" s="102">
        <f>tbl_Companys!C1183</f>
        <v>178177</v>
      </c>
      <c r="P1183" s="102" t="str">
        <f t="shared" si="55"/>
        <v>TreSenteret</v>
      </c>
      <c r="Q1183" s="102">
        <f>tbl_ConsultingCompanys!D1183</f>
        <v>0</v>
      </c>
      <c r="R1183" s="102">
        <f>tbl_ConsultingCompanys!C1183</f>
        <v>0</v>
      </c>
      <c r="S1183" s="102">
        <f t="shared" si="56"/>
        <v>0</v>
      </c>
    </row>
    <row r="1184" spans="11:19" x14ac:dyDescent="0.15">
      <c r="K1184" s="102">
        <f>tbl_ArchitectureOffices!D1184</f>
        <v>0</v>
      </c>
      <c r="L1184" s="102">
        <f>tbl_ArchitectureOffices!C1184</f>
        <v>0</v>
      </c>
      <c r="M1184" s="102">
        <f t="shared" si="54"/>
        <v>0</v>
      </c>
      <c r="N1184" s="102" t="str">
        <f>tbl_Companys!D1184</f>
        <v>Treteknisk Institutt, rådgivingstjenesten</v>
      </c>
      <c r="O1184" s="102">
        <f>tbl_Companys!C1184</f>
        <v>247318</v>
      </c>
      <c r="P1184" s="102" t="str">
        <f t="shared" si="55"/>
        <v>Treteknisk Institutt, rådgivingstjenesten</v>
      </c>
      <c r="Q1184" s="102">
        <f>tbl_ConsultingCompanys!D1184</f>
        <v>0</v>
      </c>
      <c r="R1184" s="102">
        <f>tbl_ConsultingCompanys!C1184</f>
        <v>0</v>
      </c>
      <c r="S1184" s="102">
        <f t="shared" si="56"/>
        <v>0</v>
      </c>
    </row>
    <row r="1185" spans="11:19" x14ac:dyDescent="0.15">
      <c r="K1185" s="102">
        <f>tbl_ArchitectureOffices!D1185</f>
        <v>0</v>
      </c>
      <c r="L1185" s="102">
        <f>tbl_ArchitectureOffices!C1185</f>
        <v>0</v>
      </c>
      <c r="M1185" s="102">
        <f t="shared" si="54"/>
        <v>0</v>
      </c>
      <c r="N1185" s="102" t="str">
        <f>tbl_Companys!D1185</f>
        <v>Trifolia Landskpasarkitekter</v>
      </c>
      <c r="O1185" s="102">
        <f>tbl_Companys!C1185</f>
        <v>214751</v>
      </c>
      <c r="P1185" s="102" t="str">
        <f t="shared" si="55"/>
        <v>Trifolia Landskpasarkitekter</v>
      </c>
      <c r="Q1185" s="102">
        <f>tbl_ConsultingCompanys!D1185</f>
        <v>0</v>
      </c>
      <c r="R1185" s="102">
        <f>tbl_ConsultingCompanys!C1185</f>
        <v>0</v>
      </c>
      <c r="S1185" s="102">
        <f t="shared" si="56"/>
        <v>0</v>
      </c>
    </row>
    <row r="1186" spans="11:19" x14ac:dyDescent="0.15">
      <c r="K1186" s="102">
        <f>tbl_ArchitectureOffices!D1186</f>
        <v>0</v>
      </c>
      <c r="L1186" s="102">
        <f>tbl_ArchitectureOffices!C1186</f>
        <v>0</v>
      </c>
      <c r="M1186" s="102">
        <f t="shared" si="54"/>
        <v>0</v>
      </c>
      <c r="N1186" s="102" t="str">
        <f>tbl_Companys!D1186</f>
        <v>Trio Entreprenør</v>
      </c>
      <c r="O1186" s="102">
        <f>tbl_Companys!C1186</f>
        <v>213751</v>
      </c>
      <c r="P1186" s="102" t="str">
        <f t="shared" si="55"/>
        <v>Trio Entreprenør</v>
      </c>
      <c r="Q1186" s="102">
        <f>tbl_ConsultingCompanys!D1186</f>
        <v>0</v>
      </c>
      <c r="R1186" s="102">
        <f>tbl_ConsultingCompanys!C1186</f>
        <v>0</v>
      </c>
      <c r="S1186" s="102">
        <f t="shared" si="56"/>
        <v>0</v>
      </c>
    </row>
    <row r="1187" spans="11:19" x14ac:dyDescent="0.15">
      <c r="K1187" s="102">
        <f>tbl_ArchitectureOffices!D1187</f>
        <v>0</v>
      </c>
      <c r="L1187" s="102">
        <f>tbl_ArchitectureOffices!C1187</f>
        <v>0</v>
      </c>
      <c r="M1187" s="102">
        <f t="shared" si="54"/>
        <v>0</v>
      </c>
      <c r="N1187" s="102" t="str">
        <f>tbl_Companys!D1187</f>
        <v>Troll Næring as</v>
      </c>
      <c r="O1187" s="102">
        <f>tbl_Companys!C1187</f>
        <v>224101</v>
      </c>
      <c r="P1187" s="102" t="str">
        <f t="shared" si="55"/>
        <v>Troll Næring as</v>
      </c>
      <c r="Q1187" s="102">
        <f>tbl_ConsultingCompanys!D1187</f>
        <v>0</v>
      </c>
      <c r="R1187" s="102">
        <f>tbl_ConsultingCompanys!C1187</f>
        <v>0</v>
      </c>
      <c r="S1187" s="102">
        <f t="shared" si="56"/>
        <v>0</v>
      </c>
    </row>
    <row r="1188" spans="11:19" x14ac:dyDescent="0.15">
      <c r="K1188" s="102">
        <f>tbl_ArchitectureOffices!D1188</f>
        <v>0</v>
      </c>
      <c r="L1188" s="102">
        <f>tbl_ArchitectureOffices!C1188</f>
        <v>0</v>
      </c>
      <c r="M1188" s="102">
        <f t="shared" si="54"/>
        <v>0</v>
      </c>
      <c r="N1188" s="102" t="str">
        <f>tbl_Companys!D1188</f>
        <v>Trollvegg Arkitektstudio AS</v>
      </c>
      <c r="O1188" s="102">
        <f>tbl_Companys!C1188</f>
        <v>173041</v>
      </c>
      <c r="P1188" s="102" t="str">
        <f t="shared" si="55"/>
        <v>Trollvegg Arkitektstudio AS</v>
      </c>
      <c r="Q1188" s="102">
        <f>tbl_ConsultingCompanys!D1188</f>
        <v>0</v>
      </c>
      <c r="R1188" s="102">
        <f>tbl_ConsultingCompanys!C1188</f>
        <v>0</v>
      </c>
      <c r="S1188" s="102">
        <f t="shared" si="56"/>
        <v>0</v>
      </c>
    </row>
    <row r="1189" spans="11:19" x14ac:dyDescent="0.15">
      <c r="K1189" s="102">
        <f>tbl_ArchitectureOffices!D1189</f>
        <v>0</v>
      </c>
      <c r="L1189" s="102">
        <f>tbl_ArchitectureOffices!C1189</f>
        <v>0</v>
      </c>
      <c r="M1189" s="102">
        <f t="shared" si="54"/>
        <v>0</v>
      </c>
      <c r="N1189" s="102" t="str">
        <f>tbl_Companys!D1189</f>
        <v>Tromsø kommune</v>
      </c>
      <c r="O1189" s="102">
        <f>tbl_Companys!C1189</f>
        <v>221240</v>
      </c>
      <c r="P1189" s="102" t="str">
        <f t="shared" si="55"/>
        <v>Tromsø kommune</v>
      </c>
      <c r="Q1189" s="102">
        <f>tbl_ConsultingCompanys!D1189</f>
        <v>0</v>
      </c>
      <c r="R1189" s="102">
        <f>tbl_ConsultingCompanys!C1189</f>
        <v>0</v>
      </c>
      <c r="S1189" s="102">
        <f t="shared" si="56"/>
        <v>0</v>
      </c>
    </row>
    <row r="1190" spans="11:19" x14ac:dyDescent="0.15">
      <c r="K1190" s="102">
        <f>tbl_ArchitectureOffices!D1190</f>
        <v>0</v>
      </c>
      <c r="L1190" s="102">
        <f>tbl_ArchitectureOffices!C1190</f>
        <v>0</v>
      </c>
      <c r="M1190" s="102">
        <f t="shared" si="54"/>
        <v>0</v>
      </c>
      <c r="N1190" s="102" t="str">
        <f>tbl_Companys!D1190</f>
        <v>Tromsø kommune Eiendom</v>
      </c>
      <c r="O1190" s="102">
        <f>tbl_Companys!C1190</f>
        <v>217112</v>
      </c>
      <c r="P1190" s="102" t="str">
        <f t="shared" si="55"/>
        <v>Tromsø kommune Eiendom</v>
      </c>
      <c r="Q1190" s="102">
        <f>tbl_ConsultingCompanys!D1190</f>
        <v>0</v>
      </c>
      <c r="R1190" s="102">
        <f>tbl_ConsultingCompanys!C1190</f>
        <v>0</v>
      </c>
      <c r="S1190" s="102">
        <f t="shared" si="56"/>
        <v>0</v>
      </c>
    </row>
    <row r="1191" spans="11:19" x14ac:dyDescent="0.15">
      <c r="K1191" s="102">
        <f>tbl_ArchitectureOffices!D1191</f>
        <v>0</v>
      </c>
      <c r="L1191" s="102">
        <f>tbl_ArchitectureOffices!C1191</f>
        <v>0</v>
      </c>
      <c r="M1191" s="102">
        <f t="shared" si="54"/>
        <v>0</v>
      </c>
      <c r="N1191" s="102" t="str">
        <f>tbl_Companys!D1191</f>
        <v>Trond Wickman AS</v>
      </c>
      <c r="O1191" s="102">
        <f>tbl_Companys!C1191</f>
        <v>166299</v>
      </c>
      <c r="P1191" s="102" t="str">
        <f t="shared" si="55"/>
        <v>Trond Wickman AS</v>
      </c>
      <c r="Q1191" s="102">
        <f>tbl_ConsultingCompanys!D1191</f>
        <v>0</v>
      </c>
      <c r="R1191" s="102">
        <f>tbl_ConsultingCompanys!C1191</f>
        <v>0</v>
      </c>
      <c r="S1191" s="102">
        <f t="shared" si="56"/>
        <v>0</v>
      </c>
    </row>
    <row r="1192" spans="11:19" x14ac:dyDescent="0.15">
      <c r="K1192" s="102">
        <f>tbl_ArchitectureOffices!D1192</f>
        <v>0</v>
      </c>
      <c r="L1192" s="102">
        <f>tbl_ArchitectureOffices!C1192</f>
        <v>0</v>
      </c>
      <c r="M1192" s="102">
        <f t="shared" si="54"/>
        <v>0</v>
      </c>
      <c r="N1192" s="102" t="str">
        <f>tbl_Companys!D1192</f>
        <v>Trond Wickman as (RIE)</v>
      </c>
      <c r="O1192" s="102">
        <f>tbl_Companys!C1192</f>
        <v>215427</v>
      </c>
      <c r="P1192" s="102" t="str">
        <f t="shared" si="55"/>
        <v>Trond Wickman as (RIE)</v>
      </c>
      <c r="Q1192" s="102">
        <f>tbl_ConsultingCompanys!D1192</f>
        <v>0</v>
      </c>
      <c r="R1192" s="102">
        <f>tbl_ConsultingCompanys!C1192</f>
        <v>0</v>
      </c>
      <c r="S1192" s="102">
        <f t="shared" si="56"/>
        <v>0</v>
      </c>
    </row>
    <row r="1193" spans="11:19" x14ac:dyDescent="0.15">
      <c r="K1193" s="102">
        <f>tbl_ArchitectureOffices!D1193</f>
        <v>0</v>
      </c>
      <c r="L1193" s="102">
        <f>tbl_ArchitectureOffices!C1193</f>
        <v>0</v>
      </c>
      <c r="M1193" s="102">
        <f t="shared" si="54"/>
        <v>0</v>
      </c>
      <c r="N1193" s="102" t="str">
        <f>tbl_Companys!D1193</f>
        <v>Trondheim byteknikk</v>
      </c>
      <c r="O1193" s="102">
        <f>tbl_Companys!C1193</f>
        <v>165405</v>
      </c>
      <c r="P1193" s="102" t="str">
        <f t="shared" si="55"/>
        <v>Trondheim byteknikk</v>
      </c>
      <c r="Q1193" s="102">
        <f>tbl_ConsultingCompanys!D1193</f>
        <v>0</v>
      </c>
      <c r="R1193" s="102">
        <f>tbl_ConsultingCompanys!C1193</f>
        <v>0</v>
      </c>
      <c r="S1193" s="102">
        <f t="shared" si="56"/>
        <v>0</v>
      </c>
    </row>
    <row r="1194" spans="11:19" x14ac:dyDescent="0.15">
      <c r="K1194" s="102">
        <f>tbl_ArchitectureOffices!D1194</f>
        <v>0</v>
      </c>
      <c r="L1194" s="102">
        <f>tbl_ArchitectureOffices!C1194</f>
        <v>0</v>
      </c>
      <c r="M1194" s="102">
        <f t="shared" si="54"/>
        <v>0</v>
      </c>
      <c r="N1194" s="102" t="str">
        <f>tbl_Companys!D1194</f>
        <v>Trondheim kommune</v>
      </c>
      <c r="O1194" s="102">
        <f>tbl_Companys!C1194</f>
        <v>178147</v>
      </c>
      <c r="P1194" s="102" t="str">
        <f t="shared" si="55"/>
        <v>Trondheim kommune</v>
      </c>
      <c r="Q1194" s="102">
        <f>tbl_ConsultingCompanys!D1194</f>
        <v>0</v>
      </c>
      <c r="R1194" s="102">
        <f>tbl_ConsultingCompanys!C1194</f>
        <v>0</v>
      </c>
      <c r="S1194" s="102">
        <f t="shared" si="56"/>
        <v>0</v>
      </c>
    </row>
    <row r="1195" spans="11:19" x14ac:dyDescent="0.15">
      <c r="K1195" s="102">
        <f>tbl_ArchitectureOffices!D1195</f>
        <v>0</v>
      </c>
      <c r="L1195" s="102">
        <f>tbl_ArchitectureOffices!C1195</f>
        <v>0</v>
      </c>
      <c r="M1195" s="102">
        <f t="shared" si="54"/>
        <v>0</v>
      </c>
      <c r="N1195" s="102" t="str">
        <f>tbl_Companys!D1195</f>
        <v>Trondheim kommune</v>
      </c>
      <c r="O1195" s="102">
        <f>tbl_Companys!C1195</f>
        <v>213052</v>
      </c>
      <c r="P1195" s="102" t="str">
        <f t="shared" si="55"/>
        <v>Trondheim kommune</v>
      </c>
      <c r="Q1195" s="102">
        <f>tbl_ConsultingCompanys!D1195</f>
        <v>0</v>
      </c>
      <c r="R1195" s="102">
        <f>tbl_ConsultingCompanys!C1195</f>
        <v>0</v>
      </c>
      <c r="S1195" s="102">
        <f t="shared" si="56"/>
        <v>0</v>
      </c>
    </row>
    <row r="1196" spans="11:19" x14ac:dyDescent="0.15">
      <c r="K1196" s="102">
        <f>tbl_ArchitectureOffices!D1196</f>
        <v>0</v>
      </c>
      <c r="L1196" s="102">
        <f>tbl_ArchitectureOffices!C1196</f>
        <v>0</v>
      </c>
      <c r="M1196" s="102">
        <f t="shared" si="54"/>
        <v>0</v>
      </c>
      <c r="N1196" s="102" t="str">
        <f>tbl_Companys!D1196</f>
        <v>Trondheim kommune v/ Trondheim eiendom</v>
      </c>
      <c r="O1196" s="102">
        <f>tbl_Companys!C1196</f>
        <v>160601</v>
      </c>
      <c r="P1196" s="102" t="str">
        <f t="shared" si="55"/>
        <v>Trondheim kommune v/ Trondheim eiendom</v>
      </c>
      <c r="Q1196" s="102">
        <f>tbl_ConsultingCompanys!D1196</f>
        <v>0</v>
      </c>
      <c r="R1196" s="102">
        <f>tbl_ConsultingCompanys!C1196</f>
        <v>0</v>
      </c>
      <c r="S1196" s="102">
        <f t="shared" si="56"/>
        <v>0</v>
      </c>
    </row>
    <row r="1197" spans="11:19" x14ac:dyDescent="0.15">
      <c r="K1197" s="102">
        <f>tbl_ArchitectureOffices!D1197</f>
        <v>0</v>
      </c>
      <c r="L1197" s="102">
        <f>tbl_ArchitectureOffices!C1197</f>
        <v>0</v>
      </c>
      <c r="M1197" s="102">
        <f t="shared" si="54"/>
        <v>0</v>
      </c>
      <c r="N1197" s="102" t="str">
        <f>tbl_Companys!D1197</f>
        <v>Tronrud Entreprenør AS</v>
      </c>
      <c r="O1197" s="102">
        <f>tbl_Companys!C1197</f>
        <v>178579</v>
      </c>
      <c r="P1197" s="102" t="str">
        <f t="shared" si="55"/>
        <v>Tronrud Entreprenør AS</v>
      </c>
      <c r="Q1197" s="102">
        <f>tbl_ConsultingCompanys!D1197</f>
        <v>0</v>
      </c>
      <c r="R1197" s="102">
        <f>tbl_ConsultingCompanys!C1197</f>
        <v>0</v>
      </c>
      <c r="S1197" s="102">
        <f t="shared" si="56"/>
        <v>0</v>
      </c>
    </row>
    <row r="1198" spans="11:19" x14ac:dyDescent="0.15">
      <c r="K1198" s="102">
        <f>tbl_ArchitectureOffices!D1198</f>
        <v>0</v>
      </c>
      <c r="L1198" s="102">
        <f>tbl_ArchitectureOffices!C1198</f>
        <v>0</v>
      </c>
      <c r="M1198" s="102">
        <f t="shared" si="54"/>
        <v>0</v>
      </c>
      <c r="N1198" s="102" t="str">
        <f>tbl_Companys!D1198</f>
        <v>Trygve Leiksett (SMN Kvartalet)</v>
      </c>
      <c r="O1198" s="102">
        <f>tbl_Companys!C1198</f>
        <v>178934</v>
      </c>
      <c r="P1198" s="102" t="str">
        <f t="shared" si="55"/>
        <v>Trygve Leiksett (SMN Kvartalet)</v>
      </c>
      <c r="Q1198" s="102">
        <f>tbl_ConsultingCompanys!D1198</f>
        <v>0</v>
      </c>
      <c r="R1198" s="102">
        <f>tbl_ConsultingCompanys!C1198</f>
        <v>0</v>
      </c>
      <c r="S1198" s="102">
        <f t="shared" si="56"/>
        <v>0</v>
      </c>
    </row>
    <row r="1199" spans="11:19" x14ac:dyDescent="0.15">
      <c r="K1199" s="102">
        <f>tbl_ArchitectureOffices!D1199</f>
        <v>0</v>
      </c>
      <c r="L1199" s="102">
        <f>tbl_ArchitectureOffices!C1199</f>
        <v>0</v>
      </c>
      <c r="M1199" s="102">
        <f t="shared" si="54"/>
        <v>0</v>
      </c>
      <c r="N1199" s="102" t="str">
        <f>tbl_Companys!D1199</f>
        <v>Trønderplan</v>
      </c>
      <c r="O1199" s="102">
        <f>tbl_Companys!C1199</f>
        <v>236737</v>
      </c>
      <c r="P1199" s="102" t="str">
        <f t="shared" si="55"/>
        <v>Trønderplan</v>
      </c>
      <c r="Q1199" s="102">
        <f>tbl_ConsultingCompanys!D1199</f>
        <v>0</v>
      </c>
      <c r="R1199" s="102">
        <f>tbl_ConsultingCompanys!C1199</f>
        <v>0</v>
      </c>
      <c r="S1199" s="102">
        <f t="shared" si="56"/>
        <v>0</v>
      </c>
    </row>
    <row r="1200" spans="11:19" x14ac:dyDescent="0.15">
      <c r="K1200" s="102">
        <f>tbl_ArchitectureOffices!D1200</f>
        <v>0</v>
      </c>
      <c r="L1200" s="102">
        <f>tbl_ArchitectureOffices!C1200</f>
        <v>0</v>
      </c>
      <c r="M1200" s="102">
        <f t="shared" si="54"/>
        <v>0</v>
      </c>
      <c r="N1200" s="102" t="str">
        <f>tbl_Companys!D1200</f>
        <v>Tunge AS Mesterhus</v>
      </c>
      <c r="O1200" s="102">
        <f>tbl_Companys!C1200</f>
        <v>155708</v>
      </c>
      <c r="P1200" s="102" t="str">
        <f t="shared" si="55"/>
        <v>Tunge AS Mesterhus</v>
      </c>
      <c r="Q1200" s="102">
        <f>tbl_ConsultingCompanys!D1200</f>
        <v>0</v>
      </c>
      <c r="R1200" s="102">
        <f>tbl_ConsultingCompanys!C1200</f>
        <v>0</v>
      </c>
      <c r="S1200" s="102">
        <f t="shared" si="56"/>
        <v>0</v>
      </c>
    </row>
    <row r="1201" spans="11:19" x14ac:dyDescent="0.15">
      <c r="K1201" s="102">
        <f>tbl_ArchitectureOffices!D1201</f>
        <v>0</v>
      </c>
      <c r="L1201" s="102">
        <f>tbl_ArchitectureOffices!C1201</f>
        <v>0</v>
      </c>
      <c r="M1201" s="102">
        <f t="shared" si="54"/>
        <v>0</v>
      </c>
      <c r="N1201" s="102" t="str">
        <f>tbl_Companys!D1201</f>
        <v>Tunge Maskin AS</v>
      </c>
      <c r="O1201" s="102">
        <f>tbl_Companys!C1201</f>
        <v>155838</v>
      </c>
      <c r="P1201" s="102" t="str">
        <f t="shared" si="55"/>
        <v>Tunge Maskin AS</v>
      </c>
      <c r="Q1201" s="102">
        <f>tbl_ConsultingCompanys!D1201</f>
        <v>0</v>
      </c>
      <c r="R1201" s="102">
        <f>tbl_ConsultingCompanys!C1201</f>
        <v>0</v>
      </c>
      <c r="S1201" s="102">
        <f t="shared" si="56"/>
        <v>0</v>
      </c>
    </row>
    <row r="1202" spans="11:19" x14ac:dyDescent="0.15">
      <c r="K1202" s="102">
        <f>tbl_ArchitectureOffices!D1202</f>
        <v>0</v>
      </c>
      <c r="L1202" s="102">
        <f>tbl_ArchitectureOffices!C1202</f>
        <v>0</v>
      </c>
      <c r="M1202" s="102">
        <f t="shared" si="54"/>
        <v>0</v>
      </c>
      <c r="N1202" s="102" t="str">
        <f>tbl_Companys!D1202</f>
        <v>Tupelo a+d</v>
      </c>
      <c r="O1202" s="102">
        <f>tbl_Companys!C1202</f>
        <v>166445</v>
      </c>
      <c r="P1202" s="102" t="str">
        <f t="shared" si="55"/>
        <v>Tupelo a+d</v>
      </c>
      <c r="Q1202" s="102">
        <f>tbl_ConsultingCompanys!D1202</f>
        <v>0</v>
      </c>
      <c r="R1202" s="102">
        <f>tbl_ConsultingCompanys!C1202</f>
        <v>0</v>
      </c>
      <c r="S1202" s="102">
        <f t="shared" si="56"/>
        <v>0</v>
      </c>
    </row>
    <row r="1203" spans="11:19" x14ac:dyDescent="0.15">
      <c r="K1203" s="102">
        <f>tbl_ArchitectureOffices!D1203</f>
        <v>0</v>
      </c>
      <c r="L1203" s="102">
        <f>tbl_ArchitectureOffices!C1203</f>
        <v>0</v>
      </c>
      <c r="M1203" s="102">
        <f t="shared" si="54"/>
        <v>0</v>
      </c>
      <c r="N1203" s="102" t="str">
        <f>tbl_Companys!D1203</f>
        <v>Tveit as, Arkitektkontoret Nils</v>
      </c>
      <c r="O1203" s="102">
        <f>tbl_Companys!C1203</f>
        <v>173194</v>
      </c>
      <c r="P1203" s="102" t="str">
        <f t="shared" si="55"/>
        <v>Tveit as, Arkitektkontoret Nils</v>
      </c>
      <c r="Q1203" s="102">
        <f>tbl_ConsultingCompanys!D1203</f>
        <v>0</v>
      </c>
      <c r="R1203" s="102">
        <f>tbl_ConsultingCompanys!C1203</f>
        <v>0</v>
      </c>
      <c r="S1203" s="102">
        <f t="shared" si="56"/>
        <v>0</v>
      </c>
    </row>
    <row r="1204" spans="11:19" x14ac:dyDescent="0.15">
      <c r="K1204" s="102">
        <f>tbl_ArchitectureOffices!D1204</f>
        <v>0</v>
      </c>
      <c r="L1204" s="102">
        <f>tbl_ArchitectureOffices!C1204</f>
        <v>0</v>
      </c>
      <c r="M1204" s="102">
        <f t="shared" si="54"/>
        <v>0</v>
      </c>
      <c r="N1204" s="102" t="str">
        <f>tbl_Companys!D1204</f>
        <v>TYIN tegnestue Arkitekter AS</v>
      </c>
      <c r="O1204" s="102">
        <f>tbl_Companys!C1204</f>
        <v>216543</v>
      </c>
      <c r="P1204" s="102" t="str">
        <f t="shared" si="55"/>
        <v>TYIN tegnestue Arkitekter AS</v>
      </c>
      <c r="Q1204" s="102">
        <f>tbl_ConsultingCompanys!D1204</f>
        <v>0</v>
      </c>
      <c r="R1204" s="102">
        <f>tbl_ConsultingCompanys!C1204</f>
        <v>0</v>
      </c>
      <c r="S1204" s="102">
        <f t="shared" si="56"/>
        <v>0</v>
      </c>
    </row>
    <row r="1205" spans="11:19" x14ac:dyDescent="0.15">
      <c r="K1205" s="102">
        <f>tbl_ArchitectureOffices!D1205</f>
        <v>0</v>
      </c>
      <c r="L1205" s="102">
        <f>tbl_ArchitectureOffices!C1205</f>
        <v>0</v>
      </c>
      <c r="M1205" s="102">
        <f t="shared" si="54"/>
        <v>0</v>
      </c>
      <c r="N1205" s="102" t="str">
        <f>tbl_Companys!D1205</f>
        <v>Tysseland Arkitektur AS</v>
      </c>
      <c r="O1205" s="102">
        <f>tbl_Companys!C1205</f>
        <v>171156</v>
      </c>
      <c r="P1205" s="102" t="str">
        <f t="shared" si="55"/>
        <v>Tysseland Arkitektur AS</v>
      </c>
      <c r="Q1205" s="102">
        <f>tbl_ConsultingCompanys!D1205</f>
        <v>0</v>
      </c>
      <c r="R1205" s="102">
        <f>tbl_ConsultingCompanys!C1205</f>
        <v>0</v>
      </c>
      <c r="S1205" s="102">
        <f t="shared" si="56"/>
        <v>0</v>
      </c>
    </row>
    <row r="1206" spans="11:19" x14ac:dyDescent="0.15">
      <c r="K1206" s="102">
        <f>tbl_ArchitectureOffices!D1206</f>
        <v>0</v>
      </c>
      <c r="L1206" s="102">
        <f>tbl_ArchitectureOffices!C1206</f>
        <v>0</v>
      </c>
      <c r="M1206" s="102">
        <f t="shared" ref="M1206:M1269" si="57">IFERROR(REPLACE(K1206,FIND(" ",K1206,LEN(K1206)),1,""),K1206)</f>
        <v>0</v>
      </c>
      <c r="N1206" s="102" t="str">
        <f>tbl_Companys!D1206</f>
        <v>Tømrer-Tomas AS (byggeleder)</v>
      </c>
      <c r="O1206" s="102">
        <f>tbl_Companys!C1206</f>
        <v>207498</v>
      </c>
      <c r="P1206" s="102" t="str">
        <f t="shared" si="55"/>
        <v>Tømrer-Tomas AS (byggeleder)</v>
      </c>
      <c r="Q1206" s="102">
        <f>tbl_ConsultingCompanys!D1206</f>
        <v>0</v>
      </c>
      <c r="R1206" s="102">
        <f>tbl_ConsultingCompanys!C1206</f>
        <v>0</v>
      </c>
      <c r="S1206" s="102">
        <f t="shared" si="56"/>
        <v>0</v>
      </c>
    </row>
    <row r="1207" spans="11:19" x14ac:dyDescent="0.15">
      <c r="K1207" s="102">
        <f>tbl_ArchitectureOffices!D1207</f>
        <v>0</v>
      </c>
      <c r="L1207" s="102">
        <f>tbl_ArchitectureOffices!C1207</f>
        <v>0</v>
      </c>
      <c r="M1207" s="102">
        <f t="shared" si="57"/>
        <v>0</v>
      </c>
      <c r="N1207" s="102" t="str">
        <f>tbl_Companys!D1207</f>
        <v>Tønsberg kommunale eiendom KF</v>
      </c>
      <c r="O1207" s="102">
        <f>tbl_Companys!C1207</f>
        <v>213757</v>
      </c>
      <c r="P1207" s="102" t="str">
        <f t="shared" si="55"/>
        <v>Tønsberg kommunale eiendom KF</v>
      </c>
      <c r="Q1207" s="102">
        <f>tbl_ConsultingCompanys!D1207</f>
        <v>0</v>
      </c>
      <c r="R1207" s="102">
        <f>tbl_ConsultingCompanys!C1207</f>
        <v>0</v>
      </c>
      <c r="S1207" s="102">
        <f t="shared" si="56"/>
        <v>0</v>
      </c>
    </row>
    <row r="1208" spans="11:19" x14ac:dyDescent="0.15">
      <c r="K1208" s="102">
        <f>tbl_ArchitectureOffices!D1208</f>
        <v>0</v>
      </c>
      <c r="L1208" s="102">
        <f>tbl_ArchitectureOffices!C1208</f>
        <v>0</v>
      </c>
      <c r="M1208" s="102">
        <f t="shared" si="57"/>
        <v>0</v>
      </c>
      <c r="N1208" s="102" t="str">
        <f>tbl_Companys!D1208</f>
        <v>Ulsteinvik kommune</v>
      </c>
      <c r="O1208" s="102">
        <f>tbl_Companys!C1208</f>
        <v>157538</v>
      </c>
      <c r="P1208" s="102" t="str">
        <f t="shared" si="55"/>
        <v>Ulsteinvik kommune</v>
      </c>
      <c r="Q1208" s="102">
        <f>tbl_ConsultingCompanys!D1208</f>
        <v>0</v>
      </c>
      <c r="R1208" s="102">
        <f>tbl_ConsultingCompanys!C1208</f>
        <v>0</v>
      </c>
      <c r="S1208" s="102">
        <f t="shared" si="56"/>
        <v>0</v>
      </c>
    </row>
    <row r="1209" spans="11:19" x14ac:dyDescent="0.15">
      <c r="K1209" s="102">
        <f>tbl_ArchitectureOffices!D1209</f>
        <v>0</v>
      </c>
      <c r="L1209" s="102">
        <f>tbl_ArchitectureOffices!C1209</f>
        <v>0</v>
      </c>
      <c r="M1209" s="102">
        <f t="shared" si="57"/>
        <v>0</v>
      </c>
      <c r="N1209" s="102" t="str">
        <f>tbl_Companys!D1209</f>
        <v>Undervisningsbygg Oslo KF</v>
      </c>
      <c r="O1209" s="102">
        <f>tbl_Companys!C1209</f>
        <v>225258</v>
      </c>
      <c r="P1209" s="102" t="str">
        <f t="shared" si="55"/>
        <v>Undervisningsbygg Oslo KF</v>
      </c>
      <c r="Q1209" s="102">
        <f>tbl_ConsultingCompanys!D1209</f>
        <v>0</v>
      </c>
      <c r="R1209" s="102">
        <f>tbl_ConsultingCompanys!C1209</f>
        <v>0</v>
      </c>
      <c r="S1209" s="102">
        <f t="shared" si="56"/>
        <v>0</v>
      </c>
    </row>
    <row r="1210" spans="11:19" x14ac:dyDescent="0.15">
      <c r="K1210" s="102">
        <f>tbl_ArchitectureOffices!D1210</f>
        <v>0</v>
      </c>
      <c r="L1210" s="102">
        <f>tbl_ArchitectureOffices!C1210</f>
        <v>0</v>
      </c>
      <c r="M1210" s="102">
        <f t="shared" si="57"/>
        <v>0</v>
      </c>
      <c r="N1210" s="102" t="str">
        <f>tbl_Companys!D1210</f>
        <v>Unico AS</v>
      </c>
      <c r="O1210" s="102">
        <f>tbl_Companys!C1210</f>
        <v>119773</v>
      </c>
      <c r="P1210" s="102" t="str">
        <f t="shared" si="55"/>
        <v>Unico AS</v>
      </c>
      <c r="Q1210" s="102">
        <f>tbl_ConsultingCompanys!D1210</f>
        <v>0</v>
      </c>
      <c r="R1210" s="102">
        <f>tbl_ConsultingCompanys!C1210</f>
        <v>0</v>
      </c>
      <c r="S1210" s="102">
        <f t="shared" si="56"/>
        <v>0</v>
      </c>
    </row>
    <row r="1211" spans="11:19" x14ac:dyDescent="0.15">
      <c r="K1211" s="102">
        <f>tbl_ArchitectureOffices!D1211</f>
        <v>0</v>
      </c>
      <c r="L1211" s="102">
        <f>tbl_ArchitectureOffices!C1211</f>
        <v>0</v>
      </c>
      <c r="M1211" s="102">
        <f t="shared" si="57"/>
        <v>0</v>
      </c>
      <c r="N1211" s="102" t="str">
        <f>tbl_Companys!D1211</f>
        <v>Unison Elektro AS (elektro)</v>
      </c>
      <c r="O1211" s="102">
        <f>tbl_Companys!C1211</f>
        <v>155705</v>
      </c>
      <c r="P1211" s="102" t="str">
        <f t="shared" si="55"/>
        <v>Unison Elektro AS (elektro)</v>
      </c>
      <c r="Q1211" s="102">
        <f>tbl_ConsultingCompanys!D1211</f>
        <v>0</v>
      </c>
      <c r="R1211" s="102">
        <f>tbl_ConsultingCompanys!C1211</f>
        <v>0</v>
      </c>
      <c r="S1211" s="102">
        <f t="shared" si="56"/>
        <v>0</v>
      </c>
    </row>
    <row r="1212" spans="11:19" x14ac:dyDescent="0.15">
      <c r="K1212" s="102">
        <f>tbl_ArchitectureOffices!D1212</f>
        <v>0</v>
      </c>
      <c r="L1212" s="102">
        <f>tbl_ArchitectureOffices!C1212</f>
        <v>0</v>
      </c>
      <c r="M1212" s="102">
        <f t="shared" si="57"/>
        <v>0</v>
      </c>
      <c r="N1212" s="102" t="str">
        <f>tbl_Companys!D1212</f>
        <v>Universell Utforming AS</v>
      </c>
      <c r="O1212" s="102">
        <f>tbl_Companys!C1212</f>
        <v>245581</v>
      </c>
      <c r="P1212" s="102" t="str">
        <f t="shared" si="55"/>
        <v>Universell Utforming AS</v>
      </c>
      <c r="Q1212" s="102">
        <f>tbl_ConsultingCompanys!D1212</f>
        <v>0</v>
      </c>
      <c r="R1212" s="102">
        <f>tbl_ConsultingCompanys!C1212</f>
        <v>0</v>
      </c>
      <c r="S1212" s="102">
        <f t="shared" si="56"/>
        <v>0</v>
      </c>
    </row>
    <row r="1213" spans="11:19" x14ac:dyDescent="0.15">
      <c r="K1213" s="102">
        <f>tbl_ArchitectureOffices!D1213</f>
        <v>0</v>
      </c>
      <c r="L1213" s="102">
        <f>tbl_ArchitectureOffices!C1213</f>
        <v>0</v>
      </c>
      <c r="M1213" s="102">
        <f t="shared" si="57"/>
        <v>0</v>
      </c>
      <c r="N1213" s="102" t="str">
        <f>tbl_Companys!D1213</f>
        <v>Urban Rabbe arkitekter as</v>
      </c>
      <c r="O1213" s="102">
        <f>tbl_Companys!C1213</f>
        <v>166442</v>
      </c>
      <c r="P1213" s="102" t="str">
        <f t="shared" si="55"/>
        <v>Urban Rabbe arkitekter as</v>
      </c>
      <c r="Q1213" s="102">
        <f>tbl_ConsultingCompanys!D1213</f>
        <v>0</v>
      </c>
      <c r="R1213" s="102">
        <f>tbl_ConsultingCompanys!C1213</f>
        <v>0</v>
      </c>
      <c r="S1213" s="102">
        <f t="shared" si="56"/>
        <v>0</v>
      </c>
    </row>
    <row r="1214" spans="11:19" x14ac:dyDescent="0.15">
      <c r="K1214" s="102">
        <f>tbl_ArchitectureOffices!D1214</f>
        <v>0</v>
      </c>
      <c r="L1214" s="102">
        <f>tbl_ArchitectureOffices!C1214</f>
        <v>0</v>
      </c>
      <c r="M1214" s="102">
        <f t="shared" si="57"/>
        <v>0</v>
      </c>
      <c r="N1214" s="102" t="str">
        <f>tbl_Companys!D1214</f>
        <v>Urd Klima Sandnes AS (ventilasjon)</v>
      </c>
      <c r="O1214" s="102">
        <f>tbl_Companys!C1214</f>
        <v>162873</v>
      </c>
      <c r="P1214" s="102" t="str">
        <f t="shared" si="55"/>
        <v>Urd Klima Sandnes AS (ventilasjon)</v>
      </c>
      <c r="Q1214" s="102">
        <f>tbl_ConsultingCompanys!D1214</f>
        <v>0</v>
      </c>
      <c r="R1214" s="102">
        <f>tbl_ConsultingCompanys!C1214</f>
        <v>0</v>
      </c>
      <c r="S1214" s="102">
        <f t="shared" si="56"/>
        <v>0</v>
      </c>
    </row>
    <row r="1215" spans="11:19" x14ac:dyDescent="0.15">
      <c r="K1215" s="102">
        <f>tbl_ArchitectureOffices!D1215</f>
        <v>0</v>
      </c>
      <c r="L1215" s="102">
        <f>tbl_ArchitectureOffices!C1215</f>
        <v>0</v>
      </c>
      <c r="M1215" s="102">
        <f t="shared" si="57"/>
        <v>0</v>
      </c>
      <c r="N1215" s="102" t="str">
        <f>tbl_Companys!D1215</f>
        <v>USBL (Stig Paugaard)</v>
      </c>
      <c r="O1215" s="102">
        <f>tbl_Companys!C1215</f>
        <v>191298</v>
      </c>
      <c r="P1215" s="102" t="str">
        <f t="shared" si="55"/>
        <v>USBL (Stig Paugaard)</v>
      </c>
      <c r="Q1215" s="102">
        <f>tbl_ConsultingCompanys!D1215</f>
        <v>0</v>
      </c>
      <c r="R1215" s="102">
        <f>tbl_ConsultingCompanys!C1215</f>
        <v>0</v>
      </c>
      <c r="S1215" s="102">
        <f t="shared" si="56"/>
        <v>0</v>
      </c>
    </row>
    <row r="1216" spans="11:19" x14ac:dyDescent="0.15">
      <c r="K1216" s="102">
        <f>tbl_ArchitectureOffices!D1216</f>
        <v>0</v>
      </c>
      <c r="L1216" s="102">
        <f>tbl_ArchitectureOffices!C1216</f>
        <v>0</v>
      </c>
      <c r="M1216" s="102">
        <f t="shared" si="57"/>
        <v>0</v>
      </c>
      <c r="N1216" s="102" t="str">
        <f>tbl_Companys!D1216</f>
        <v>Ustad, Sivilarkitekt MNAL Atle</v>
      </c>
      <c r="O1216" s="102">
        <f>tbl_Companys!C1216</f>
        <v>166440</v>
      </c>
      <c r="P1216" s="102" t="str">
        <f t="shared" si="55"/>
        <v>Ustad, Sivilarkitekt MNAL Atle</v>
      </c>
      <c r="Q1216" s="102">
        <f>tbl_ConsultingCompanys!D1216</f>
        <v>0</v>
      </c>
      <c r="R1216" s="102">
        <f>tbl_ConsultingCompanys!C1216</f>
        <v>0</v>
      </c>
      <c r="S1216" s="102">
        <f t="shared" si="56"/>
        <v>0</v>
      </c>
    </row>
    <row r="1217" spans="11:19" x14ac:dyDescent="0.15">
      <c r="K1217" s="102">
        <f>tbl_ArchitectureOffices!D1217</f>
        <v>0</v>
      </c>
      <c r="L1217" s="102">
        <f>tbl_ArchitectureOffices!C1217</f>
        <v>0</v>
      </c>
      <c r="M1217" s="102">
        <f t="shared" si="57"/>
        <v>0</v>
      </c>
      <c r="N1217" s="102" t="str">
        <f>tbl_Companys!D1217</f>
        <v>Utdanningsforbundet</v>
      </c>
      <c r="O1217" s="102">
        <f>tbl_Companys!C1217</f>
        <v>202685</v>
      </c>
      <c r="P1217" s="102" t="str">
        <f t="shared" si="55"/>
        <v>Utdanningsforbundet</v>
      </c>
      <c r="Q1217" s="102">
        <f>tbl_ConsultingCompanys!D1217</f>
        <v>0</v>
      </c>
      <c r="R1217" s="102">
        <f>tbl_ConsultingCompanys!C1217</f>
        <v>0</v>
      </c>
      <c r="S1217" s="102">
        <f t="shared" si="56"/>
        <v>0</v>
      </c>
    </row>
    <row r="1218" spans="11:19" x14ac:dyDescent="0.15">
      <c r="K1218" s="102">
        <f>tbl_ArchitectureOffices!D1218</f>
        <v>0</v>
      </c>
      <c r="L1218" s="102">
        <f>tbl_ArchitectureOffices!C1218</f>
        <v>0</v>
      </c>
      <c r="M1218" s="102">
        <f t="shared" si="57"/>
        <v>0</v>
      </c>
      <c r="N1218" s="102" t="str">
        <f>tbl_Companys!D1218</f>
        <v>Utstillingsplassen Eiendom</v>
      </c>
      <c r="O1218" s="102">
        <f>tbl_Companys!C1218</f>
        <v>228617</v>
      </c>
      <c r="P1218" s="102" t="str">
        <f t="shared" si="55"/>
        <v>Utstillingsplassen Eiendom</v>
      </c>
      <c r="Q1218" s="102">
        <f>tbl_ConsultingCompanys!D1218</f>
        <v>0</v>
      </c>
      <c r="R1218" s="102">
        <f>tbl_ConsultingCompanys!C1218</f>
        <v>0</v>
      </c>
      <c r="S1218" s="102">
        <f t="shared" si="56"/>
        <v>0</v>
      </c>
    </row>
    <row r="1219" spans="11:19" x14ac:dyDescent="0.15">
      <c r="K1219" s="102">
        <f>tbl_ArchitectureOffices!D1219</f>
        <v>0</v>
      </c>
      <c r="L1219" s="102">
        <f>tbl_ArchitectureOffices!C1219</f>
        <v>0</v>
      </c>
      <c r="M1219" s="102">
        <f t="shared" si="57"/>
        <v>0</v>
      </c>
      <c r="N1219" s="102" t="str">
        <f>tbl_Companys!D1219</f>
        <v>Varde byggadministrasjon AS</v>
      </c>
      <c r="O1219" s="102">
        <f>tbl_Companys!C1219</f>
        <v>172761</v>
      </c>
      <c r="P1219" s="102" t="str">
        <f t="shared" ref="P1219:P1282" si="58">IFERROR(REPLACE(N1219,FIND(" ",N1219,LEN(N1219)),1,""),N1219)</f>
        <v>Varde byggadministrasjon AS</v>
      </c>
      <c r="Q1219" s="102">
        <f>tbl_ConsultingCompanys!D1219</f>
        <v>0</v>
      </c>
      <c r="R1219" s="102">
        <f>tbl_ConsultingCompanys!C1219</f>
        <v>0</v>
      </c>
      <c r="S1219" s="102">
        <f t="shared" ref="S1219:S1282" si="59">IFERROR(REPLACE(Q1219,FIND(" ",Q1219,LEN(Q1219)),1,""),Q1219)</f>
        <v>0</v>
      </c>
    </row>
    <row r="1220" spans="11:19" x14ac:dyDescent="0.15">
      <c r="K1220" s="102">
        <f>tbl_ArchitectureOffices!D1220</f>
        <v>0</v>
      </c>
      <c r="L1220" s="102">
        <f>tbl_ArchitectureOffices!C1220</f>
        <v>0</v>
      </c>
      <c r="M1220" s="102">
        <f t="shared" si="57"/>
        <v>0</v>
      </c>
      <c r="N1220" s="102" t="str">
        <f>tbl_Companys!D1220</f>
        <v>Various Architects AS</v>
      </c>
      <c r="O1220" s="102">
        <f>tbl_Companys!C1220</f>
        <v>172894</v>
      </c>
      <c r="P1220" s="102" t="str">
        <f t="shared" si="58"/>
        <v>Various Architects AS</v>
      </c>
      <c r="Q1220" s="102">
        <f>tbl_ConsultingCompanys!D1220</f>
        <v>0</v>
      </c>
      <c r="R1220" s="102">
        <f>tbl_ConsultingCompanys!C1220</f>
        <v>0</v>
      </c>
      <c r="S1220" s="102">
        <f t="shared" si="59"/>
        <v>0</v>
      </c>
    </row>
    <row r="1221" spans="11:19" x14ac:dyDescent="0.15">
      <c r="K1221" s="102">
        <f>tbl_ArchitectureOffices!D1221</f>
        <v>0</v>
      </c>
      <c r="L1221" s="102">
        <f>tbl_ArchitectureOffices!C1221</f>
        <v>0</v>
      </c>
      <c r="M1221" s="102">
        <f t="shared" si="57"/>
        <v>0</v>
      </c>
      <c r="N1221" s="102" t="str">
        <f>tbl_Companys!D1221</f>
        <v xml:space="preserve">VAR-prosjekt AS, Bærum </v>
      </c>
      <c r="O1221" s="102">
        <f>tbl_Companys!C1221</f>
        <v>120021</v>
      </c>
      <c r="P1221" s="102" t="str">
        <f t="shared" si="58"/>
        <v>VAR-prosjekt AS, Bærum</v>
      </c>
      <c r="Q1221" s="102">
        <f>tbl_ConsultingCompanys!D1221</f>
        <v>0</v>
      </c>
      <c r="R1221" s="102">
        <f>tbl_ConsultingCompanys!C1221</f>
        <v>0</v>
      </c>
      <c r="S1221" s="102">
        <f t="shared" si="59"/>
        <v>0</v>
      </c>
    </row>
    <row r="1222" spans="11:19" x14ac:dyDescent="0.15">
      <c r="K1222" s="102">
        <f>tbl_ArchitectureOffices!D1222</f>
        <v>0</v>
      </c>
      <c r="L1222" s="102">
        <f>tbl_ArchitectureOffices!C1222</f>
        <v>0</v>
      </c>
      <c r="M1222" s="102">
        <f t="shared" si="57"/>
        <v>0</v>
      </c>
      <c r="N1222" s="102" t="str">
        <f>tbl_Companys!D1222</f>
        <v>Vatne sivilarkitekt MNAL NPA, Kjell</v>
      </c>
      <c r="O1222" s="102">
        <f>tbl_Companys!C1222</f>
        <v>166438</v>
      </c>
      <c r="P1222" s="102" t="str">
        <f t="shared" si="58"/>
        <v>Vatne sivilarkitekt MNAL NPA, Kjell</v>
      </c>
      <c r="Q1222" s="102">
        <f>tbl_ConsultingCompanys!D1222</f>
        <v>0</v>
      </c>
      <c r="R1222" s="102">
        <f>tbl_ConsultingCompanys!C1222</f>
        <v>0</v>
      </c>
      <c r="S1222" s="102">
        <f t="shared" si="59"/>
        <v>0</v>
      </c>
    </row>
    <row r="1223" spans="11:19" x14ac:dyDescent="0.15">
      <c r="K1223" s="102">
        <f>tbl_ArchitectureOffices!D1223</f>
        <v>0</v>
      </c>
      <c r="L1223" s="102">
        <f>tbl_ArchitectureOffices!C1223</f>
        <v>0</v>
      </c>
      <c r="M1223" s="102">
        <f t="shared" si="57"/>
        <v>0</v>
      </c>
      <c r="N1223" s="102" t="str">
        <f>tbl_Companys!D1223</f>
        <v>VEF Entreprenør</v>
      </c>
      <c r="O1223" s="102">
        <f>tbl_Companys!C1223</f>
        <v>231291</v>
      </c>
      <c r="P1223" s="102" t="str">
        <f t="shared" si="58"/>
        <v>VEF Entreprenør</v>
      </c>
      <c r="Q1223" s="102">
        <f>tbl_ConsultingCompanys!D1223</f>
        <v>0</v>
      </c>
      <c r="R1223" s="102">
        <f>tbl_ConsultingCompanys!C1223</f>
        <v>0</v>
      </c>
      <c r="S1223" s="102">
        <f t="shared" si="59"/>
        <v>0</v>
      </c>
    </row>
    <row r="1224" spans="11:19" x14ac:dyDescent="0.15">
      <c r="K1224" s="102">
        <f>tbl_ArchitectureOffices!D1224</f>
        <v>0</v>
      </c>
      <c r="L1224" s="102">
        <f>tbl_ArchitectureOffices!C1224</f>
        <v>0</v>
      </c>
      <c r="M1224" s="102">
        <f t="shared" si="57"/>
        <v>0</v>
      </c>
      <c r="N1224" s="102" t="str">
        <f>tbl_Companys!D1224</f>
        <v>Veg Tech AB (sedumstaket)</v>
      </c>
      <c r="O1224" s="102">
        <f>tbl_Companys!C1224</f>
        <v>155181</v>
      </c>
      <c r="P1224" s="102" t="str">
        <f t="shared" si="58"/>
        <v>Veg Tech AB (sedumstaket)</v>
      </c>
      <c r="Q1224" s="102">
        <f>tbl_ConsultingCompanys!D1224</f>
        <v>0</v>
      </c>
      <c r="R1224" s="102">
        <f>tbl_ConsultingCompanys!C1224</f>
        <v>0</v>
      </c>
      <c r="S1224" s="102">
        <f t="shared" si="59"/>
        <v>0</v>
      </c>
    </row>
    <row r="1225" spans="11:19" x14ac:dyDescent="0.15">
      <c r="K1225" s="102">
        <f>tbl_ArchitectureOffices!D1225</f>
        <v>0</v>
      </c>
      <c r="L1225" s="102">
        <f>tbl_ArchitectureOffices!C1225</f>
        <v>0</v>
      </c>
      <c r="M1225" s="102">
        <f t="shared" si="57"/>
        <v>0</v>
      </c>
      <c r="N1225" s="102" t="str">
        <f>tbl_Companys!D1225</f>
        <v>Veg Tech AB (sedumstaket)</v>
      </c>
      <c r="O1225" s="102">
        <f>tbl_Companys!C1225</f>
        <v>155182</v>
      </c>
      <c r="P1225" s="102" t="str">
        <f t="shared" si="58"/>
        <v>Veg Tech AB (sedumstaket)</v>
      </c>
      <c r="Q1225" s="102">
        <f>tbl_ConsultingCompanys!D1225</f>
        <v>0</v>
      </c>
      <c r="R1225" s="102">
        <f>tbl_ConsultingCompanys!C1225</f>
        <v>0</v>
      </c>
      <c r="S1225" s="102">
        <f t="shared" si="59"/>
        <v>0</v>
      </c>
    </row>
    <row r="1226" spans="11:19" x14ac:dyDescent="0.15">
      <c r="K1226" s="102">
        <f>tbl_ArchitectureOffices!D1226</f>
        <v>0</v>
      </c>
      <c r="L1226" s="102">
        <f>tbl_ArchitectureOffices!C1226</f>
        <v>0</v>
      </c>
      <c r="M1226" s="102">
        <f t="shared" si="57"/>
        <v>0</v>
      </c>
      <c r="N1226" s="102" t="str">
        <f>tbl_Companys!D1226</f>
        <v>Veidekke ASA</v>
      </c>
      <c r="O1226" s="102">
        <f>tbl_Companys!C1226</f>
        <v>103003</v>
      </c>
      <c r="P1226" s="102" t="str">
        <f t="shared" si="58"/>
        <v>Veidekke ASA</v>
      </c>
      <c r="Q1226" s="102">
        <f>tbl_ConsultingCompanys!D1226</f>
        <v>0</v>
      </c>
      <c r="R1226" s="102">
        <f>tbl_ConsultingCompanys!C1226</f>
        <v>0</v>
      </c>
      <c r="S1226" s="102">
        <f t="shared" si="59"/>
        <v>0</v>
      </c>
    </row>
    <row r="1227" spans="11:19" x14ac:dyDescent="0.15">
      <c r="K1227" s="102">
        <f>tbl_ArchitectureOffices!D1227</f>
        <v>0</v>
      </c>
      <c r="L1227" s="102">
        <f>tbl_ArchitectureOffices!C1227</f>
        <v>0</v>
      </c>
      <c r="M1227" s="102">
        <f t="shared" si="57"/>
        <v>0</v>
      </c>
      <c r="N1227" s="102" t="str">
        <f>tbl_Companys!D1227</f>
        <v>Veidekke Eiedom AS</v>
      </c>
      <c r="O1227" s="102">
        <f>tbl_Companys!C1227</f>
        <v>164235</v>
      </c>
      <c r="P1227" s="102" t="str">
        <f t="shared" si="58"/>
        <v>Veidekke Eiedom AS</v>
      </c>
      <c r="Q1227" s="102">
        <f>tbl_ConsultingCompanys!D1227</f>
        <v>0</v>
      </c>
      <c r="R1227" s="102">
        <f>tbl_ConsultingCompanys!C1227</f>
        <v>0</v>
      </c>
      <c r="S1227" s="102">
        <f t="shared" si="59"/>
        <v>0</v>
      </c>
    </row>
    <row r="1228" spans="11:19" x14ac:dyDescent="0.15">
      <c r="K1228" s="102">
        <f>tbl_ArchitectureOffices!D1228</f>
        <v>0</v>
      </c>
      <c r="L1228" s="102">
        <f>tbl_ArchitectureOffices!C1228</f>
        <v>0</v>
      </c>
      <c r="M1228" s="102">
        <f t="shared" si="57"/>
        <v>0</v>
      </c>
      <c r="N1228" s="102" t="str">
        <f>tbl_Companys!D1228</f>
        <v>Veidekke entreprenør AS</v>
      </c>
      <c r="O1228" s="102">
        <f>tbl_Companys!C1228</f>
        <v>165881</v>
      </c>
      <c r="P1228" s="102" t="str">
        <f t="shared" si="58"/>
        <v>Veidekke entreprenør AS</v>
      </c>
      <c r="Q1228" s="102">
        <f>tbl_ConsultingCompanys!D1228</f>
        <v>0</v>
      </c>
      <c r="R1228" s="102">
        <f>tbl_ConsultingCompanys!C1228</f>
        <v>0</v>
      </c>
      <c r="S1228" s="102">
        <f t="shared" si="59"/>
        <v>0</v>
      </c>
    </row>
    <row r="1229" spans="11:19" x14ac:dyDescent="0.15">
      <c r="K1229" s="102">
        <f>tbl_ArchitectureOffices!D1229</f>
        <v>0</v>
      </c>
      <c r="L1229" s="102">
        <f>tbl_ArchitectureOffices!C1229</f>
        <v>0</v>
      </c>
      <c r="M1229" s="102">
        <f t="shared" si="57"/>
        <v>0</v>
      </c>
      <c r="N1229" s="102" t="str">
        <f>tbl_Companys!D1229</f>
        <v>Velux Norge AS (takvinduer)</v>
      </c>
      <c r="O1229" s="102">
        <f>tbl_Companys!C1229</f>
        <v>162875</v>
      </c>
      <c r="P1229" s="102" t="str">
        <f t="shared" si="58"/>
        <v>Velux Norge AS (takvinduer)</v>
      </c>
      <c r="Q1229" s="102">
        <f>tbl_ConsultingCompanys!D1229</f>
        <v>0</v>
      </c>
      <c r="R1229" s="102">
        <f>tbl_ConsultingCompanys!C1229</f>
        <v>0</v>
      </c>
      <c r="S1229" s="102">
        <f t="shared" si="59"/>
        <v>0</v>
      </c>
    </row>
    <row r="1230" spans="11:19" x14ac:dyDescent="0.15">
      <c r="K1230" s="102">
        <f>tbl_ArchitectureOffices!D1230</f>
        <v>0</v>
      </c>
      <c r="L1230" s="102">
        <f>tbl_ArchitectureOffices!C1230</f>
        <v>0</v>
      </c>
      <c r="M1230" s="102">
        <f t="shared" si="57"/>
        <v>0</v>
      </c>
      <c r="N1230" s="102" t="str">
        <f>tbl_Companys!D1230</f>
        <v>Vennesla kommune</v>
      </c>
      <c r="O1230" s="102">
        <f>tbl_Companys!C1230</f>
        <v>231289</v>
      </c>
      <c r="P1230" s="102" t="str">
        <f t="shared" si="58"/>
        <v>Vennesla kommune</v>
      </c>
      <c r="Q1230" s="102">
        <f>tbl_ConsultingCompanys!D1230</f>
        <v>0</v>
      </c>
      <c r="R1230" s="102">
        <f>tbl_ConsultingCompanys!C1230</f>
        <v>0</v>
      </c>
      <c r="S1230" s="102">
        <f t="shared" si="59"/>
        <v>0</v>
      </c>
    </row>
    <row r="1231" spans="11:19" x14ac:dyDescent="0.15">
      <c r="K1231" s="102">
        <f>tbl_ArchitectureOffices!D1231</f>
        <v>0</v>
      </c>
      <c r="L1231" s="102">
        <f>tbl_ArchitectureOffices!C1231</f>
        <v>0</v>
      </c>
      <c r="M1231" s="102">
        <f t="shared" si="57"/>
        <v>0</v>
      </c>
      <c r="N1231" s="102" t="str">
        <f>tbl_Companys!D1231</f>
        <v>Verte landskap - arkitektur as</v>
      </c>
      <c r="O1231" s="102">
        <f>tbl_Companys!C1231</f>
        <v>191305</v>
      </c>
      <c r="P1231" s="102" t="str">
        <f t="shared" si="58"/>
        <v>Verte landskap - arkitektur as</v>
      </c>
      <c r="Q1231" s="102">
        <f>tbl_ConsultingCompanys!D1231</f>
        <v>0</v>
      </c>
      <c r="R1231" s="102">
        <f>tbl_ConsultingCompanys!C1231</f>
        <v>0</v>
      </c>
      <c r="S1231" s="102">
        <f t="shared" si="59"/>
        <v>0</v>
      </c>
    </row>
    <row r="1232" spans="11:19" x14ac:dyDescent="0.15">
      <c r="K1232" s="102">
        <f>tbl_ArchitectureOffices!D1232</f>
        <v>0</v>
      </c>
      <c r="L1232" s="102">
        <f>tbl_ArchitectureOffices!C1232</f>
        <v>0</v>
      </c>
      <c r="M1232" s="102">
        <f t="shared" si="57"/>
        <v>0</v>
      </c>
      <c r="N1232" s="102" t="str">
        <f>tbl_Companys!D1232</f>
        <v xml:space="preserve">Vest AS, Arkitektkontoret </v>
      </c>
      <c r="O1232" s="102">
        <f>tbl_Companys!C1232</f>
        <v>166437</v>
      </c>
      <c r="P1232" s="102" t="str">
        <f t="shared" si="58"/>
        <v>Vest AS, Arkitektkontoret</v>
      </c>
      <c r="Q1232" s="102">
        <f>tbl_ConsultingCompanys!D1232</f>
        <v>0</v>
      </c>
      <c r="R1232" s="102">
        <f>tbl_ConsultingCompanys!C1232</f>
        <v>0</v>
      </c>
      <c r="S1232" s="102">
        <f t="shared" si="59"/>
        <v>0</v>
      </c>
    </row>
    <row r="1233" spans="11:19" x14ac:dyDescent="0.15">
      <c r="K1233" s="102">
        <f>tbl_ArchitectureOffices!D1233</f>
        <v>0</v>
      </c>
      <c r="L1233" s="102">
        <f>tbl_ArchitectureOffices!C1233</f>
        <v>0</v>
      </c>
      <c r="M1233" s="102">
        <f t="shared" si="57"/>
        <v>0</v>
      </c>
      <c r="N1233" s="102" t="str">
        <f>tbl_Companys!D1233</f>
        <v>Vest Consult (VVS)</v>
      </c>
      <c r="O1233" s="102">
        <f>tbl_Companys!C1233</f>
        <v>101065</v>
      </c>
      <c r="P1233" s="102" t="str">
        <f t="shared" si="58"/>
        <v>Vest Consult (VVS)</v>
      </c>
      <c r="Q1233" s="102">
        <f>tbl_ConsultingCompanys!D1233</f>
        <v>0</v>
      </c>
      <c r="R1233" s="102">
        <f>tbl_ConsultingCompanys!C1233</f>
        <v>0</v>
      </c>
      <c r="S1233" s="102">
        <f t="shared" si="59"/>
        <v>0</v>
      </c>
    </row>
    <row r="1234" spans="11:19" x14ac:dyDescent="0.15">
      <c r="K1234" s="102">
        <f>tbl_ArchitectureOffices!D1234</f>
        <v>0</v>
      </c>
      <c r="L1234" s="102">
        <f>tbl_ArchitectureOffices!C1234</f>
        <v>0</v>
      </c>
      <c r="M1234" s="102">
        <f t="shared" si="57"/>
        <v>0</v>
      </c>
      <c r="N1234" s="102" t="str">
        <f>tbl_Companys!D1234</f>
        <v>Vestafjell as (grunn og betong)</v>
      </c>
      <c r="O1234" s="102">
        <f>tbl_Companys!C1234</f>
        <v>218406</v>
      </c>
      <c r="P1234" s="102" t="str">
        <f t="shared" si="58"/>
        <v>Vestafjell as (grunn og betong)</v>
      </c>
      <c r="Q1234" s="102">
        <f>tbl_ConsultingCompanys!D1234</f>
        <v>0</v>
      </c>
      <c r="R1234" s="102">
        <f>tbl_ConsultingCompanys!C1234</f>
        <v>0</v>
      </c>
      <c r="S1234" s="102">
        <f t="shared" si="59"/>
        <v>0</v>
      </c>
    </row>
    <row r="1235" spans="11:19" x14ac:dyDescent="0.15">
      <c r="K1235" s="102">
        <f>tbl_ArchitectureOffices!D1235</f>
        <v>0</v>
      </c>
      <c r="L1235" s="102">
        <f>tbl_ArchitectureOffices!C1235</f>
        <v>0</v>
      </c>
      <c r="M1235" s="102">
        <f t="shared" si="57"/>
        <v>0</v>
      </c>
      <c r="N1235" s="102" t="str">
        <f>tbl_Companys!D1235</f>
        <v xml:space="preserve">Vesterlid, Arkitekt MNAL Arne </v>
      </c>
      <c r="O1235" s="102">
        <f>tbl_Companys!C1235</f>
        <v>166436</v>
      </c>
      <c r="P1235" s="102" t="str">
        <f t="shared" si="58"/>
        <v>Vesterlid, Arkitekt MNAL Arne</v>
      </c>
      <c r="Q1235" s="102">
        <f>tbl_ConsultingCompanys!D1235</f>
        <v>0</v>
      </c>
      <c r="R1235" s="102">
        <f>tbl_ConsultingCompanys!C1235</f>
        <v>0</v>
      </c>
      <c r="S1235" s="102">
        <f t="shared" si="59"/>
        <v>0</v>
      </c>
    </row>
    <row r="1236" spans="11:19" x14ac:dyDescent="0.15">
      <c r="K1236" s="102">
        <f>tbl_ArchitectureOffices!D1236</f>
        <v>0</v>
      </c>
      <c r="L1236" s="102">
        <f>tbl_ArchitectureOffices!C1236</f>
        <v>0</v>
      </c>
      <c r="M1236" s="102">
        <f t="shared" si="57"/>
        <v>0</v>
      </c>
      <c r="N1236" s="102" t="str">
        <f>tbl_Companys!D1236</f>
        <v>Via Nova AS</v>
      </c>
      <c r="O1236" s="102">
        <f>tbl_Companys!C1236</f>
        <v>97856</v>
      </c>
      <c r="P1236" s="102" t="str">
        <f t="shared" si="58"/>
        <v>Via Nova AS</v>
      </c>
      <c r="Q1236" s="102">
        <f>tbl_ConsultingCompanys!D1236</f>
        <v>0</v>
      </c>
      <c r="R1236" s="102">
        <f>tbl_ConsultingCompanys!C1236</f>
        <v>0</v>
      </c>
      <c r="S1236" s="102">
        <f t="shared" si="59"/>
        <v>0</v>
      </c>
    </row>
    <row r="1237" spans="11:19" x14ac:dyDescent="0.15">
      <c r="K1237" s="102">
        <f>tbl_ArchitectureOffices!D1237</f>
        <v>0</v>
      </c>
      <c r="L1237" s="102">
        <f>tbl_ArchitectureOffices!C1237</f>
        <v>0</v>
      </c>
      <c r="M1237" s="102">
        <f t="shared" si="57"/>
        <v>0</v>
      </c>
      <c r="N1237" s="102" t="str">
        <f>tbl_Companys!D1237</f>
        <v>Vikanes Bungum Arkitekter AS</v>
      </c>
      <c r="O1237" s="102">
        <f>tbl_Companys!C1237</f>
        <v>166431</v>
      </c>
      <c r="P1237" s="102" t="str">
        <f t="shared" si="58"/>
        <v>Vikanes Bungum Arkitekter AS</v>
      </c>
      <c r="Q1237" s="102">
        <f>tbl_ConsultingCompanys!D1237</f>
        <v>0</v>
      </c>
      <c r="R1237" s="102">
        <f>tbl_ConsultingCompanys!C1237</f>
        <v>0</v>
      </c>
      <c r="S1237" s="102">
        <f t="shared" si="59"/>
        <v>0</v>
      </c>
    </row>
    <row r="1238" spans="11:19" x14ac:dyDescent="0.15">
      <c r="K1238" s="102">
        <f>tbl_ArchitectureOffices!D1238</f>
        <v>0</v>
      </c>
      <c r="L1238" s="102">
        <f>tbl_ArchitectureOffices!C1238</f>
        <v>0</v>
      </c>
      <c r="M1238" s="102">
        <f t="shared" si="57"/>
        <v>0</v>
      </c>
      <c r="N1238" s="102" t="str">
        <f>tbl_Companys!D1238</f>
        <v>Viken skog</v>
      </c>
      <c r="O1238" s="102">
        <f>tbl_Companys!C1238</f>
        <v>243864</v>
      </c>
      <c r="P1238" s="102" t="str">
        <f t="shared" si="58"/>
        <v>Viken skog</v>
      </c>
      <c r="Q1238" s="102">
        <f>tbl_ConsultingCompanys!D1238</f>
        <v>0</v>
      </c>
      <c r="R1238" s="102">
        <f>tbl_ConsultingCompanys!C1238</f>
        <v>0</v>
      </c>
      <c r="S1238" s="102">
        <f t="shared" si="59"/>
        <v>0</v>
      </c>
    </row>
    <row r="1239" spans="11:19" x14ac:dyDescent="0.15">
      <c r="K1239" s="102">
        <f>tbl_ArchitectureOffices!D1239</f>
        <v>0</v>
      </c>
      <c r="L1239" s="102">
        <f>tbl_ArchitectureOffices!C1239</f>
        <v>0</v>
      </c>
      <c r="M1239" s="102">
        <f t="shared" si="57"/>
        <v>0</v>
      </c>
      <c r="N1239" s="102" t="str">
        <f>tbl_Companys!D1239</f>
        <v>Vindveggen Arkitekter AS</v>
      </c>
      <c r="O1239" s="102">
        <f>tbl_Companys!C1239</f>
        <v>172783</v>
      </c>
      <c r="P1239" s="102" t="str">
        <f t="shared" si="58"/>
        <v>Vindveggen Arkitekter AS</v>
      </c>
      <c r="Q1239" s="102">
        <f>tbl_ConsultingCompanys!D1239</f>
        <v>0</v>
      </c>
      <c r="R1239" s="102">
        <f>tbl_ConsultingCompanys!C1239</f>
        <v>0</v>
      </c>
      <c r="S1239" s="102">
        <f t="shared" si="59"/>
        <v>0</v>
      </c>
    </row>
    <row r="1240" spans="11:19" x14ac:dyDescent="0.15">
      <c r="K1240" s="102">
        <f>tbl_ArchitectureOffices!D1240</f>
        <v>0</v>
      </c>
      <c r="L1240" s="102">
        <f>tbl_ArchitectureOffices!C1240</f>
        <v>0</v>
      </c>
      <c r="M1240" s="102">
        <f t="shared" si="57"/>
        <v>0</v>
      </c>
      <c r="N1240" s="102" t="str">
        <f>tbl_Companys!D1240</f>
        <v>Vindveggen, Martin Glomnes</v>
      </c>
      <c r="O1240" s="102">
        <f>tbl_Companys!C1240</f>
        <v>166430</v>
      </c>
      <c r="P1240" s="102" t="str">
        <f t="shared" si="58"/>
        <v>Vindveggen, Martin Glomnes</v>
      </c>
      <c r="Q1240" s="102">
        <f>tbl_ConsultingCompanys!D1240</f>
        <v>0</v>
      </c>
      <c r="R1240" s="102">
        <f>tbl_ConsultingCompanys!C1240</f>
        <v>0</v>
      </c>
      <c r="S1240" s="102">
        <f t="shared" si="59"/>
        <v>0</v>
      </c>
    </row>
    <row r="1241" spans="11:19" x14ac:dyDescent="0.15">
      <c r="K1241" s="102">
        <f>tbl_ArchitectureOffices!D1241</f>
        <v>0</v>
      </c>
      <c r="L1241" s="102">
        <f>tbl_ArchitectureOffices!C1241</f>
        <v>0</v>
      </c>
      <c r="M1241" s="102">
        <f t="shared" si="57"/>
        <v>0</v>
      </c>
      <c r="N1241" s="102" t="str">
        <f>tbl_Companys!D1241</f>
        <v>Vink Plast AS (Vindskjermer)</v>
      </c>
      <c r="O1241" s="102">
        <f>tbl_Companys!C1241</f>
        <v>155183</v>
      </c>
      <c r="P1241" s="102" t="str">
        <f t="shared" si="58"/>
        <v>Vink Plast AS (Vindskjermer)</v>
      </c>
      <c r="Q1241" s="102">
        <f>tbl_ConsultingCompanys!D1241</f>
        <v>0</v>
      </c>
      <c r="R1241" s="102">
        <f>tbl_ConsultingCompanys!C1241</f>
        <v>0</v>
      </c>
      <c r="S1241" s="102">
        <f t="shared" si="59"/>
        <v>0</v>
      </c>
    </row>
    <row r="1242" spans="11:19" x14ac:dyDescent="0.15">
      <c r="K1242" s="102">
        <f>tbl_ArchitectureOffices!D1242</f>
        <v>0</v>
      </c>
      <c r="L1242" s="102">
        <f>tbl_ArchitectureOffices!C1242</f>
        <v>0</v>
      </c>
      <c r="M1242" s="102">
        <f t="shared" si="57"/>
        <v>0</v>
      </c>
      <c r="N1242" s="102" t="str">
        <f>tbl_Companys!D1242</f>
        <v>Vink Plast AS (Vindskjermer)</v>
      </c>
      <c r="O1242" s="102">
        <f>tbl_Companys!C1242</f>
        <v>155185</v>
      </c>
      <c r="P1242" s="102" t="str">
        <f t="shared" si="58"/>
        <v>Vink Plast AS (Vindskjermer)</v>
      </c>
      <c r="Q1242" s="102">
        <f>tbl_ConsultingCompanys!D1242</f>
        <v>0</v>
      </c>
      <c r="R1242" s="102">
        <f>tbl_ConsultingCompanys!C1242</f>
        <v>0</v>
      </c>
      <c r="S1242" s="102">
        <f t="shared" si="59"/>
        <v>0</v>
      </c>
    </row>
    <row r="1243" spans="11:19" x14ac:dyDescent="0.15">
      <c r="K1243" s="102">
        <f>tbl_ArchitectureOffices!D1243</f>
        <v>0</v>
      </c>
      <c r="L1243" s="102">
        <f>tbl_ArchitectureOffices!C1243</f>
        <v>0</v>
      </c>
      <c r="M1243" s="102">
        <f t="shared" si="57"/>
        <v>0</v>
      </c>
      <c r="N1243" s="102" t="str">
        <f>tbl_Companys!D1243</f>
        <v>Vintervoll AS</v>
      </c>
      <c r="O1243" s="102">
        <f>tbl_Companys!C1243</f>
        <v>225765</v>
      </c>
      <c r="P1243" s="102" t="str">
        <f t="shared" si="58"/>
        <v>Vintervoll AS</v>
      </c>
      <c r="Q1243" s="102">
        <f>tbl_ConsultingCompanys!D1243</f>
        <v>0</v>
      </c>
      <c r="R1243" s="102">
        <f>tbl_ConsultingCompanys!C1243</f>
        <v>0</v>
      </c>
      <c r="S1243" s="102">
        <f t="shared" si="59"/>
        <v>0</v>
      </c>
    </row>
    <row r="1244" spans="11:19" x14ac:dyDescent="0.15">
      <c r="K1244" s="102">
        <f>tbl_ArchitectureOffices!D1244</f>
        <v>0</v>
      </c>
      <c r="L1244" s="102">
        <f>tbl_ArchitectureOffices!C1244</f>
        <v>0</v>
      </c>
      <c r="M1244" s="102">
        <f t="shared" si="57"/>
        <v>0</v>
      </c>
      <c r="N1244" s="102" t="str">
        <f>tbl_Companys!D1244</f>
        <v>Vis-à-vis</v>
      </c>
      <c r="O1244" s="102">
        <f>tbl_Companys!C1244</f>
        <v>172683</v>
      </c>
      <c r="P1244" s="102" t="str">
        <f t="shared" si="58"/>
        <v>Vis-à-vis</v>
      </c>
      <c r="Q1244" s="102">
        <f>tbl_ConsultingCompanys!D1244</f>
        <v>0</v>
      </c>
      <c r="R1244" s="102">
        <f>tbl_ConsultingCompanys!C1244</f>
        <v>0</v>
      </c>
      <c r="S1244" s="102">
        <f t="shared" si="59"/>
        <v>0</v>
      </c>
    </row>
    <row r="1245" spans="11:19" x14ac:dyDescent="0.15">
      <c r="K1245" s="102">
        <f>tbl_ArchitectureOffices!D1245</f>
        <v>0</v>
      </c>
      <c r="L1245" s="102">
        <f>tbl_ArchitectureOffices!C1245</f>
        <v>0</v>
      </c>
      <c r="M1245" s="102">
        <f t="shared" si="57"/>
        <v>0</v>
      </c>
      <c r="N1245" s="102" t="str">
        <f>tbl_Companys!D1245</f>
        <v>Vision Bygg AS</v>
      </c>
      <c r="O1245" s="102">
        <f>tbl_Companys!C1245</f>
        <v>245834</v>
      </c>
      <c r="P1245" s="102" t="str">
        <f t="shared" si="58"/>
        <v>Vision Bygg AS</v>
      </c>
      <c r="Q1245" s="102">
        <f>tbl_ConsultingCompanys!D1245</f>
        <v>0</v>
      </c>
      <c r="R1245" s="102">
        <f>tbl_ConsultingCompanys!C1245</f>
        <v>0</v>
      </c>
      <c r="S1245" s="102">
        <f t="shared" si="59"/>
        <v>0</v>
      </c>
    </row>
    <row r="1246" spans="11:19" x14ac:dyDescent="0.15">
      <c r="K1246" s="102">
        <f>tbl_ArchitectureOffices!D1246</f>
        <v>0</v>
      </c>
      <c r="L1246" s="102">
        <f>tbl_ArchitectureOffices!C1246</f>
        <v>0</v>
      </c>
      <c r="M1246" s="102">
        <f t="shared" si="57"/>
        <v>0</v>
      </c>
      <c r="N1246" s="102" t="str">
        <f>tbl_Companys!D1246</f>
        <v>Vulkan arkitekter as</v>
      </c>
      <c r="O1246" s="102">
        <f>tbl_Companys!C1246</f>
        <v>166428</v>
      </c>
      <c r="P1246" s="102" t="str">
        <f t="shared" si="58"/>
        <v>Vulkan arkitekter as</v>
      </c>
      <c r="Q1246" s="102">
        <f>tbl_ConsultingCompanys!D1246</f>
        <v>0</v>
      </c>
      <c r="R1246" s="102">
        <f>tbl_ConsultingCompanys!C1246</f>
        <v>0</v>
      </c>
      <c r="S1246" s="102">
        <f t="shared" si="59"/>
        <v>0</v>
      </c>
    </row>
    <row r="1247" spans="11:19" x14ac:dyDescent="0.15">
      <c r="K1247" s="102">
        <f>tbl_ArchitectureOffices!D1247</f>
        <v>0</v>
      </c>
      <c r="L1247" s="102">
        <f>tbl_ArchitectureOffices!C1247</f>
        <v>0</v>
      </c>
      <c r="M1247" s="102">
        <f t="shared" si="57"/>
        <v>0</v>
      </c>
      <c r="N1247" s="102" t="str">
        <f>tbl_Companys!D1247</f>
        <v>VVS Norplan AS</v>
      </c>
      <c r="O1247" s="102">
        <f>tbl_Companys!C1247</f>
        <v>178154</v>
      </c>
      <c r="P1247" s="102" t="str">
        <f t="shared" si="58"/>
        <v>VVS Norplan AS</v>
      </c>
      <c r="Q1247" s="102">
        <f>tbl_ConsultingCompanys!D1247</f>
        <v>0</v>
      </c>
      <c r="R1247" s="102">
        <f>tbl_ConsultingCompanys!C1247</f>
        <v>0</v>
      </c>
      <c r="S1247" s="102">
        <f t="shared" si="59"/>
        <v>0</v>
      </c>
    </row>
    <row r="1248" spans="11:19" x14ac:dyDescent="0.15">
      <c r="K1248" s="102">
        <f>tbl_ArchitectureOffices!D1248</f>
        <v>0</v>
      </c>
      <c r="L1248" s="102">
        <f>tbl_ArchitectureOffices!C1248</f>
        <v>0</v>
      </c>
      <c r="M1248" s="102">
        <f t="shared" si="57"/>
        <v>0</v>
      </c>
      <c r="N1248" s="102" t="str">
        <f>tbl_Companys!D1248</f>
        <v>VY as arkitektur</v>
      </c>
      <c r="O1248" s="102">
        <f>tbl_Companys!C1248</f>
        <v>166628</v>
      </c>
      <c r="P1248" s="102" t="str">
        <f t="shared" si="58"/>
        <v>VY as arkitektur</v>
      </c>
      <c r="Q1248" s="102">
        <f>tbl_ConsultingCompanys!D1248</f>
        <v>0</v>
      </c>
      <c r="R1248" s="102">
        <f>tbl_ConsultingCompanys!C1248</f>
        <v>0</v>
      </c>
      <c r="S1248" s="102">
        <f t="shared" si="59"/>
        <v>0</v>
      </c>
    </row>
    <row r="1249" spans="11:19" x14ac:dyDescent="0.15">
      <c r="K1249" s="102">
        <f>tbl_ArchitectureOffices!D1249</f>
        <v>0</v>
      </c>
      <c r="L1249" s="102">
        <f>tbl_ArchitectureOffices!C1249</f>
        <v>0</v>
      </c>
      <c r="M1249" s="102">
        <f t="shared" si="57"/>
        <v>0</v>
      </c>
      <c r="N1249" s="102" t="str">
        <f>tbl_Companys!D1249</f>
        <v>Wegger &amp; Kvalsvik AS (totalentreprenør)</v>
      </c>
      <c r="O1249" s="102">
        <f>tbl_Companys!C1249</f>
        <v>215020</v>
      </c>
      <c r="P1249" s="102" t="str">
        <f t="shared" si="58"/>
        <v>Wegger &amp; Kvalsvik AS (totalentreprenør)</v>
      </c>
      <c r="Q1249" s="102">
        <f>tbl_ConsultingCompanys!D1249</f>
        <v>0</v>
      </c>
      <c r="R1249" s="102">
        <f>tbl_ConsultingCompanys!C1249</f>
        <v>0</v>
      </c>
      <c r="S1249" s="102">
        <f t="shared" si="59"/>
        <v>0</v>
      </c>
    </row>
    <row r="1250" spans="11:19" x14ac:dyDescent="0.15">
      <c r="K1250" s="102">
        <f>tbl_ArchitectureOffices!D1250</f>
        <v>0</v>
      </c>
      <c r="L1250" s="102">
        <f>tbl_ArchitectureOffices!C1250</f>
        <v>0</v>
      </c>
      <c r="M1250" s="102">
        <f t="shared" si="57"/>
        <v>0</v>
      </c>
      <c r="N1250" s="102" t="str">
        <f>tbl_Companys!D1250</f>
        <v xml:space="preserve">Wendt AS, Arkitektkontoret Gjertrud </v>
      </c>
      <c r="O1250" s="102">
        <f>tbl_Companys!C1250</f>
        <v>172730</v>
      </c>
      <c r="P1250" s="102" t="str">
        <f t="shared" si="58"/>
        <v>Wendt AS, Arkitektkontoret Gjertrud</v>
      </c>
      <c r="Q1250" s="102">
        <f>tbl_ConsultingCompanys!D1250</f>
        <v>0</v>
      </c>
      <c r="R1250" s="102">
        <f>tbl_ConsultingCompanys!C1250</f>
        <v>0</v>
      </c>
      <c r="S1250" s="102">
        <f t="shared" si="59"/>
        <v>0</v>
      </c>
    </row>
    <row r="1251" spans="11:19" x14ac:dyDescent="0.15">
      <c r="K1251" s="102">
        <f>tbl_ArchitectureOffices!D1251</f>
        <v>0</v>
      </c>
      <c r="L1251" s="102">
        <f>tbl_ArchitectureOffices!C1251</f>
        <v>0</v>
      </c>
      <c r="M1251" s="102">
        <f t="shared" si="57"/>
        <v>0</v>
      </c>
      <c r="N1251" s="102" t="str">
        <f>tbl_Companys!D1251</f>
        <v xml:space="preserve">Westad &amp; Brusletto as, Arkitektkontoret </v>
      </c>
      <c r="O1251" s="102">
        <f>tbl_Companys!C1251</f>
        <v>166425</v>
      </c>
      <c r="P1251" s="102" t="str">
        <f t="shared" si="58"/>
        <v>Westad &amp; Brusletto as, Arkitektkontoret</v>
      </c>
      <c r="Q1251" s="102">
        <f>tbl_ConsultingCompanys!D1251</f>
        <v>0</v>
      </c>
      <c r="R1251" s="102">
        <f>tbl_ConsultingCompanys!C1251</f>
        <v>0</v>
      </c>
      <c r="S1251" s="102">
        <f t="shared" si="59"/>
        <v>0</v>
      </c>
    </row>
    <row r="1252" spans="11:19" x14ac:dyDescent="0.15">
      <c r="K1252" s="102">
        <f>tbl_ArchitectureOffices!D1252</f>
        <v>0</v>
      </c>
      <c r="L1252" s="102">
        <f>tbl_ArchitectureOffices!C1252</f>
        <v>0</v>
      </c>
      <c r="M1252" s="102">
        <f t="shared" si="57"/>
        <v>0</v>
      </c>
      <c r="N1252" s="102" t="str">
        <f>tbl_Companys!D1252</f>
        <v>Wiberg arkitektur &amp; plan</v>
      </c>
      <c r="O1252" s="102">
        <f>tbl_Companys!C1252</f>
        <v>228272</v>
      </c>
      <c r="P1252" s="102" t="str">
        <f t="shared" si="58"/>
        <v>Wiberg arkitektur &amp; plan</v>
      </c>
      <c r="Q1252" s="102">
        <f>tbl_ConsultingCompanys!D1252</f>
        <v>0</v>
      </c>
      <c r="R1252" s="102">
        <f>tbl_ConsultingCompanys!C1252</f>
        <v>0</v>
      </c>
      <c r="S1252" s="102">
        <f t="shared" si="59"/>
        <v>0</v>
      </c>
    </row>
    <row r="1253" spans="11:19" x14ac:dyDescent="0.15">
      <c r="K1253" s="102">
        <f>tbl_ArchitectureOffices!D1253</f>
        <v>0</v>
      </c>
      <c r="L1253" s="102">
        <f>tbl_ArchitectureOffices!C1253</f>
        <v>0</v>
      </c>
      <c r="M1253" s="102">
        <f t="shared" si="57"/>
        <v>0</v>
      </c>
      <c r="N1253" s="102" t="str">
        <f>tbl_Companys!D1253</f>
        <v>Wiberg AS Arkitektur &amp; plan</v>
      </c>
      <c r="O1253" s="102">
        <f>tbl_Companys!C1253</f>
        <v>228511</v>
      </c>
      <c r="P1253" s="102" t="str">
        <f t="shared" si="58"/>
        <v>Wiberg AS Arkitektur &amp; plan</v>
      </c>
      <c r="Q1253" s="102">
        <f>tbl_ConsultingCompanys!D1253</f>
        <v>0</v>
      </c>
      <c r="R1253" s="102">
        <f>tbl_ConsultingCompanys!C1253</f>
        <v>0</v>
      </c>
      <c r="S1253" s="102">
        <f t="shared" si="59"/>
        <v>0</v>
      </c>
    </row>
    <row r="1254" spans="11:19" x14ac:dyDescent="0.15">
      <c r="K1254" s="102">
        <f>tbl_ArchitectureOffices!D1254</f>
        <v>0</v>
      </c>
      <c r="L1254" s="102">
        <f>tbl_ArchitectureOffices!C1254</f>
        <v>0</v>
      </c>
      <c r="M1254" s="102">
        <f t="shared" si="57"/>
        <v>0</v>
      </c>
      <c r="N1254" s="102" t="str">
        <f>tbl_Companys!D1254</f>
        <v>Will Arentz AS</v>
      </c>
      <c r="O1254" s="102">
        <f>tbl_Companys!C1254</f>
        <v>103206</v>
      </c>
      <c r="P1254" s="102" t="str">
        <f t="shared" si="58"/>
        <v>Will Arentz AS</v>
      </c>
      <c r="Q1254" s="102">
        <f>tbl_ConsultingCompanys!D1254</f>
        <v>0</v>
      </c>
      <c r="R1254" s="102">
        <f>tbl_ConsultingCompanys!C1254</f>
        <v>0</v>
      </c>
      <c r="S1254" s="102">
        <f t="shared" si="59"/>
        <v>0</v>
      </c>
    </row>
    <row r="1255" spans="11:19" x14ac:dyDescent="0.15">
      <c r="K1255" s="102">
        <f>tbl_ArchitectureOffices!D1255</f>
        <v>0</v>
      </c>
      <c r="L1255" s="102">
        <f>tbl_ArchitectureOffices!C1255</f>
        <v>0</v>
      </c>
      <c r="M1255" s="102">
        <f t="shared" si="57"/>
        <v>0</v>
      </c>
      <c r="N1255" s="102" t="str">
        <f>tbl_Companys!D1255</f>
        <v xml:space="preserve">Will Arentz, Rådgivende ingeniører </v>
      </c>
      <c r="O1255" s="102">
        <f>tbl_Companys!C1255</f>
        <v>164237</v>
      </c>
      <c r="P1255" s="102" t="str">
        <f t="shared" si="58"/>
        <v>Will Arentz, Rådgivende ingeniører</v>
      </c>
      <c r="Q1255" s="102">
        <f>tbl_ConsultingCompanys!D1255</f>
        <v>0</v>
      </c>
      <c r="R1255" s="102">
        <f>tbl_ConsultingCompanys!C1255</f>
        <v>0</v>
      </c>
      <c r="S1255" s="102">
        <f t="shared" si="59"/>
        <v>0</v>
      </c>
    </row>
    <row r="1256" spans="11:19" x14ac:dyDescent="0.15">
      <c r="K1256" s="102">
        <f>tbl_ArchitectureOffices!D1256</f>
        <v>0</v>
      </c>
      <c r="L1256" s="102">
        <f>tbl_ArchitectureOffices!C1256</f>
        <v>0</v>
      </c>
      <c r="M1256" s="102">
        <f t="shared" si="57"/>
        <v>0</v>
      </c>
      <c r="N1256" s="102" t="str">
        <f>tbl_Companys!D1256</f>
        <v>WOOD arkitektur+design</v>
      </c>
      <c r="O1256" s="102">
        <f>tbl_Companys!C1256</f>
        <v>207151</v>
      </c>
      <c r="P1256" s="102" t="str">
        <f t="shared" si="58"/>
        <v>WOOD arkitektur+design</v>
      </c>
      <c r="Q1256" s="102">
        <f>tbl_ConsultingCompanys!D1256</f>
        <v>0</v>
      </c>
      <c r="R1256" s="102">
        <f>tbl_ConsultingCompanys!C1256</f>
        <v>0</v>
      </c>
      <c r="S1256" s="102">
        <f t="shared" si="59"/>
        <v>0</v>
      </c>
    </row>
    <row r="1257" spans="11:19" x14ac:dyDescent="0.15">
      <c r="K1257" s="102">
        <f>tbl_ArchitectureOffices!D1257</f>
        <v>0</v>
      </c>
      <c r="L1257" s="102">
        <f>tbl_ArchitectureOffices!C1257</f>
        <v>0</v>
      </c>
      <c r="M1257" s="102">
        <f t="shared" si="57"/>
        <v>0</v>
      </c>
      <c r="N1257" s="102" t="str">
        <f>tbl_Companys!D1257</f>
        <v>Wörle Sparowitz Ingenieure (statikk)</v>
      </c>
      <c r="O1257" s="102">
        <f>tbl_Companys!C1257</f>
        <v>172575</v>
      </c>
      <c r="P1257" s="102" t="str">
        <f t="shared" si="58"/>
        <v>Wörle Sparowitz Ingenieure (statikk)</v>
      </c>
      <c r="Q1257" s="102">
        <f>tbl_ConsultingCompanys!D1257</f>
        <v>0</v>
      </c>
      <c r="R1257" s="102">
        <f>tbl_ConsultingCompanys!C1257</f>
        <v>0</v>
      </c>
      <c r="S1257" s="102">
        <f t="shared" si="59"/>
        <v>0</v>
      </c>
    </row>
    <row r="1258" spans="11:19" x14ac:dyDescent="0.15">
      <c r="K1258" s="102">
        <f>tbl_ArchitectureOffices!D1258</f>
        <v>0</v>
      </c>
      <c r="L1258" s="102">
        <f>tbl_ArchitectureOffices!C1258</f>
        <v>0</v>
      </c>
      <c r="M1258" s="102">
        <f t="shared" si="57"/>
        <v>0</v>
      </c>
      <c r="N1258" s="102" t="str">
        <f>tbl_Companys!D1258</f>
        <v>YIT</v>
      </c>
      <c r="O1258" s="102">
        <f>tbl_Companys!C1258</f>
        <v>178922</v>
      </c>
      <c r="P1258" s="102" t="str">
        <f t="shared" si="58"/>
        <v>YIT</v>
      </c>
      <c r="Q1258" s="102">
        <f>tbl_ConsultingCompanys!D1258</f>
        <v>0</v>
      </c>
      <c r="R1258" s="102">
        <f>tbl_ConsultingCompanys!C1258</f>
        <v>0</v>
      </c>
      <c r="S1258" s="102">
        <f t="shared" si="59"/>
        <v>0</v>
      </c>
    </row>
    <row r="1259" spans="11:19" x14ac:dyDescent="0.15">
      <c r="K1259" s="102">
        <f>tbl_ArchitectureOffices!D1259</f>
        <v>0</v>
      </c>
      <c r="L1259" s="102">
        <f>tbl_ArchitectureOffices!C1259</f>
        <v>0</v>
      </c>
      <c r="M1259" s="102">
        <f t="shared" si="57"/>
        <v>0</v>
      </c>
      <c r="N1259" s="102" t="str">
        <f>tbl_Companys!D1259</f>
        <v>YIT (tekniske løsninger)</v>
      </c>
      <c r="O1259" s="102">
        <f>tbl_Companys!C1259</f>
        <v>158235</v>
      </c>
      <c r="P1259" s="102" t="str">
        <f t="shared" si="58"/>
        <v>YIT (tekniske løsninger)</v>
      </c>
      <c r="Q1259" s="102">
        <f>tbl_ConsultingCompanys!D1259</f>
        <v>0</v>
      </c>
      <c r="R1259" s="102">
        <f>tbl_ConsultingCompanys!C1259</f>
        <v>0</v>
      </c>
      <c r="S1259" s="102">
        <f t="shared" si="59"/>
        <v>0</v>
      </c>
    </row>
    <row r="1260" spans="11:19" x14ac:dyDescent="0.15">
      <c r="K1260" s="102">
        <f>tbl_ArchitectureOffices!D1260</f>
        <v>0</v>
      </c>
      <c r="L1260" s="102">
        <f>tbl_ArchitectureOffices!C1260</f>
        <v>0</v>
      </c>
      <c r="M1260" s="102">
        <f t="shared" si="57"/>
        <v>0</v>
      </c>
      <c r="N1260" s="102" t="str">
        <f>tbl_Companys!D1260</f>
        <v>YIT (ventilasjon, EL)</v>
      </c>
      <c r="O1260" s="102">
        <f>tbl_Companys!C1260</f>
        <v>157872</v>
      </c>
      <c r="P1260" s="102" t="str">
        <f t="shared" si="58"/>
        <v>YIT (ventilasjon, EL)</v>
      </c>
      <c r="Q1260" s="102">
        <f>tbl_ConsultingCompanys!D1260</f>
        <v>0</v>
      </c>
      <c r="R1260" s="102">
        <f>tbl_ConsultingCompanys!C1260</f>
        <v>0</v>
      </c>
      <c r="S1260" s="102">
        <f t="shared" si="59"/>
        <v>0</v>
      </c>
    </row>
    <row r="1261" spans="11:19" x14ac:dyDescent="0.15">
      <c r="K1261" s="102">
        <f>tbl_ArchitectureOffices!D1261</f>
        <v>0</v>
      </c>
      <c r="L1261" s="102">
        <f>tbl_ArchitectureOffices!C1261</f>
        <v>0</v>
      </c>
      <c r="M1261" s="102">
        <f t="shared" si="57"/>
        <v>0</v>
      </c>
      <c r="N1261" s="102" t="str">
        <f>tbl_Companys!D1261</f>
        <v>YIT, Gard Olsen (Elektro)</v>
      </c>
      <c r="O1261" s="102">
        <f>tbl_Companys!C1261</f>
        <v>158193</v>
      </c>
      <c r="P1261" s="102" t="str">
        <f t="shared" si="58"/>
        <v>YIT, Gard Olsen (Elektro)</v>
      </c>
      <c r="Q1261" s="102">
        <f>tbl_ConsultingCompanys!D1261</f>
        <v>0</v>
      </c>
      <c r="R1261" s="102">
        <f>tbl_ConsultingCompanys!C1261</f>
        <v>0</v>
      </c>
      <c r="S1261" s="102">
        <f t="shared" si="59"/>
        <v>0</v>
      </c>
    </row>
    <row r="1262" spans="11:19" x14ac:dyDescent="0.15">
      <c r="K1262" s="102">
        <f>tbl_ArchitectureOffices!D1262</f>
        <v>0</v>
      </c>
      <c r="L1262" s="102">
        <f>tbl_ArchitectureOffices!C1262</f>
        <v>0</v>
      </c>
      <c r="M1262" s="102">
        <f t="shared" si="57"/>
        <v>0</v>
      </c>
      <c r="N1262" s="102" t="str">
        <f>tbl_Companys!D1262</f>
        <v>YIT/Optimo Prosjekt</v>
      </c>
      <c r="O1262" s="102">
        <f>tbl_Companys!C1262</f>
        <v>236448</v>
      </c>
      <c r="P1262" s="102" t="str">
        <f t="shared" si="58"/>
        <v>YIT/Optimo Prosjekt</v>
      </c>
      <c r="Q1262" s="102">
        <f>tbl_ConsultingCompanys!D1262</f>
        <v>0</v>
      </c>
      <c r="R1262" s="102">
        <f>tbl_ConsultingCompanys!C1262</f>
        <v>0</v>
      </c>
      <c r="S1262" s="102">
        <f t="shared" si="59"/>
        <v>0</v>
      </c>
    </row>
    <row r="1263" spans="11:19" x14ac:dyDescent="0.15">
      <c r="K1263" s="102">
        <f>tbl_ArchitectureOffices!D1263</f>
        <v>0</v>
      </c>
      <c r="L1263" s="102">
        <f>tbl_ArchitectureOffices!C1263</f>
        <v>0</v>
      </c>
      <c r="M1263" s="102">
        <f t="shared" si="57"/>
        <v>0</v>
      </c>
      <c r="N1263" s="102" t="str">
        <f>tbl_Companys!D1263</f>
        <v>Yran, Petter  &amp; Bjørn Storbraaten Architects AS</v>
      </c>
      <c r="O1263" s="102">
        <f>tbl_Companys!C1263</f>
        <v>166414</v>
      </c>
      <c r="P1263" s="102" t="str">
        <f t="shared" si="58"/>
        <v>Yran, Petter  &amp; Bjørn Storbraaten Architects AS</v>
      </c>
      <c r="Q1263" s="102">
        <f>tbl_ConsultingCompanys!D1263</f>
        <v>0</v>
      </c>
      <c r="R1263" s="102">
        <f>tbl_ConsultingCompanys!C1263</f>
        <v>0</v>
      </c>
      <c r="S1263" s="102">
        <f t="shared" si="59"/>
        <v>0</v>
      </c>
    </row>
    <row r="1264" spans="11:19" x14ac:dyDescent="0.15">
      <c r="K1264" s="102">
        <f>tbl_ArchitectureOffices!D1264</f>
        <v>0</v>
      </c>
      <c r="L1264" s="102">
        <f>tbl_ArchitectureOffices!C1264</f>
        <v>0</v>
      </c>
      <c r="M1264" s="102">
        <f t="shared" si="57"/>
        <v>0</v>
      </c>
      <c r="N1264" s="102" t="str">
        <f>tbl_Companys!D1264</f>
        <v>Zen Resort &amp; Spa, Norge</v>
      </c>
      <c r="O1264" s="102">
        <f>tbl_Companys!C1264</f>
        <v>178577</v>
      </c>
      <c r="P1264" s="102" t="str">
        <f t="shared" si="58"/>
        <v>Zen Resort &amp; Spa, Norge</v>
      </c>
      <c r="Q1264" s="102">
        <f>tbl_ConsultingCompanys!D1264</f>
        <v>0</v>
      </c>
      <c r="R1264" s="102">
        <f>tbl_ConsultingCompanys!C1264</f>
        <v>0</v>
      </c>
      <c r="S1264" s="102">
        <f t="shared" si="59"/>
        <v>0</v>
      </c>
    </row>
    <row r="1265" spans="11:19" x14ac:dyDescent="0.15">
      <c r="K1265" s="102">
        <f>tbl_ArchitectureOffices!D1265</f>
        <v>0</v>
      </c>
      <c r="L1265" s="102">
        <f>tbl_ArchitectureOffices!C1265</f>
        <v>0</v>
      </c>
      <c r="M1265" s="102">
        <f t="shared" si="57"/>
        <v>0</v>
      </c>
      <c r="N1265" s="102" t="str">
        <f>tbl_Companys!D1265</f>
        <v>Zinc AS</v>
      </c>
      <c r="O1265" s="102">
        <f>tbl_Companys!C1265</f>
        <v>230397</v>
      </c>
      <c r="P1265" s="102" t="str">
        <f t="shared" si="58"/>
        <v>Zinc AS</v>
      </c>
      <c r="Q1265" s="102">
        <f>tbl_ConsultingCompanys!D1265</f>
        <v>0</v>
      </c>
      <c r="R1265" s="102">
        <f>tbl_ConsultingCompanys!C1265</f>
        <v>0</v>
      </c>
      <c r="S1265" s="102">
        <f t="shared" si="59"/>
        <v>0</v>
      </c>
    </row>
    <row r="1266" spans="11:19" x14ac:dyDescent="0.15">
      <c r="K1266" s="102">
        <f>tbl_ArchitectureOffices!D1266</f>
        <v>0</v>
      </c>
      <c r="L1266" s="102">
        <f>tbl_ArchitectureOffices!C1266</f>
        <v>0</v>
      </c>
      <c r="M1266" s="102">
        <f t="shared" si="57"/>
        <v>0</v>
      </c>
      <c r="N1266" s="102" t="str">
        <f>tbl_Companys!D1266</f>
        <v>Øivin Vestre</v>
      </c>
      <c r="O1266" s="102">
        <f>tbl_Companys!C1266</f>
        <v>192373</v>
      </c>
      <c r="P1266" s="102" t="str">
        <f t="shared" si="58"/>
        <v>Øivin Vestre</v>
      </c>
      <c r="Q1266" s="102">
        <f>tbl_ConsultingCompanys!D1266</f>
        <v>0</v>
      </c>
      <c r="R1266" s="102">
        <f>tbl_ConsultingCompanys!C1266</f>
        <v>0</v>
      </c>
      <c r="S1266" s="102">
        <f t="shared" si="59"/>
        <v>0</v>
      </c>
    </row>
    <row r="1267" spans="11:19" x14ac:dyDescent="0.15">
      <c r="K1267" s="102">
        <f>tbl_ArchitectureOffices!D1267</f>
        <v>0</v>
      </c>
      <c r="L1267" s="102">
        <f>tbl_ArchitectureOffices!C1267</f>
        <v>0</v>
      </c>
      <c r="M1267" s="102">
        <f t="shared" si="57"/>
        <v>0</v>
      </c>
      <c r="N1267" s="102" t="str">
        <f>tbl_Companys!D1267</f>
        <v>ØKAW AS Arkitekter MNAL</v>
      </c>
      <c r="O1267" s="102">
        <f>tbl_Companys!C1267</f>
        <v>166405</v>
      </c>
      <c r="P1267" s="102" t="str">
        <f t="shared" si="58"/>
        <v>ØKAW AS Arkitekter MNAL</v>
      </c>
      <c r="Q1267" s="102">
        <f>tbl_ConsultingCompanys!D1267</f>
        <v>0</v>
      </c>
      <c r="R1267" s="102">
        <f>tbl_ConsultingCompanys!C1267</f>
        <v>0</v>
      </c>
      <c r="S1267" s="102">
        <f t="shared" si="59"/>
        <v>0</v>
      </c>
    </row>
    <row r="1268" spans="11:19" x14ac:dyDescent="0.15">
      <c r="K1268" s="102">
        <f>tbl_ArchitectureOffices!D1268</f>
        <v>0</v>
      </c>
      <c r="L1268" s="102">
        <f>tbl_ArchitectureOffices!C1268</f>
        <v>0</v>
      </c>
      <c r="M1268" s="102">
        <f t="shared" si="57"/>
        <v>0</v>
      </c>
      <c r="N1268" s="102" t="str">
        <f>tbl_Companys!D1268</f>
        <v>Økologisk håndverksbedrift / NJH</v>
      </c>
      <c r="O1268" s="102">
        <f>tbl_Companys!C1268</f>
        <v>112306</v>
      </c>
      <c r="P1268" s="102" t="str">
        <f t="shared" si="58"/>
        <v>Økologisk håndverksbedrift / NJH</v>
      </c>
      <c r="Q1268" s="102">
        <f>tbl_ConsultingCompanys!D1268</f>
        <v>0</v>
      </c>
      <c r="R1268" s="102">
        <f>tbl_ConsultingCompanys!C1268</f>
        <v>0</v>
      </c>
      <c r="S1268" s="102">
        <f t="shared" si="59"/>
        <v>0</v>
      </c>
    </row>
    <row r="1269" spans="11:19" x14ac:dyDescent="0.15">
      <c r="K1269" s="102">
        <f>tbl_ArchitectureOffices!D1269</f>
        <v>0</v>
      </c>
      <c r="L1269" s="102">
        <f>tbl_ArchitectureOffices!C1269</f>
        <v>0</v>
      </c>
      <c r="M1269" s="102">
        <f t="shared" si="57"/>
        <v>0</v>
      </c>
      <c r="N1269" s="102" t="str">
        <f>tbl_Companys!D1269</f>
        <v>Øren Consult</v>
      </c>
      <c r="O1269" s="102">
        <f>tbl_Companys!C1269</f>
        <v>172587</v>
      </c>
      <c r="P1269" s="102" t="str">
        <f t="shared" si="58"/>
        <v>Øren Consult</v>
      </c>
      <c r="Q1269" s="102">
        <f>tbl_ConsultingCompanys!D1269</f>
        <v>0</v>
      </c>
      <c r="R1269" s="102">
        <f>tbl_ConsultingCompanys!C1269</f>
        <v>0</v>
      </c>
      <c r="S1269" s="102">
        <f t="shared" si="59"/>
        <v>0</v>
      </c>
    </row>
    <row r="1270" spans="11:19" x14ac:dyDescent="0.15">
      <c r="K1270" s="102">
        <f>tbl_ArchitectureOffices!D1270</f>
        <v>0</v>
      </c>
      <c r="L1270" s="102">
        <f>tbl_ArchitectureOffices!C1270</f>
        <v>0</v>
      </c>
      <c r="M1270" s="102">
        <f t="shared" ref="M1270:M1333" si="60">IFERROR(REPLACE(K1270,FIND(" ",K1270,LEN(K1270)),1,""),K1270)</f>
        <v>0</v>
      </c>
      <c r="N1270" s="102" t="str">
        <f>tbl_Companys!D1270</f>
        <v>Østengen og Bergo Landskapsarkitekter AS</v>
      </c>
      <c r="O1270" s="102">
        <f>tbl_Companys!C1270</f>
        <v>245624</v>
      </c>
      <c r="P1270" s="102" t="str">
        <f t="shared" si="58"/>
        <v>Østengen og Bergo Landskapsarkitekter AS</v>
      </c>
      <c r="Q1270" s="102">
        <f>tbl_ConsultingCompanys!D1270</f>
        <v>0</v>
      </c>
      <c r="R1270" s="102">
        <f>tbl_ConsultingCompanys!C1270</f>
        <v>0</v>
      </c>
      <c r="S1270" s="102">
        <f t="shared" si="59"/>
        <v>0</v>
      </c>
    </row>
    <row r="1271" spans="11:19" x14ac:dyDescent="0.15">
      <c r="K1271" s="102">
        <f>tbl_ArchitectureOffices!D1271</f>
        <v>0</v>
      </c>
      <c r="L1271" s="102">
        <f>tbl_ArchitectureOffices!C1271</f>
        <v>0</v>
      </c>
      <c r="M1271" s="102">
        <f t="shared" si="60"/>
        <v>0</v>
      </c>
      <c r="N1271" s="102" t="str">
        <f>tbl_Companys!D1271</f>
        <v>Østgaard Arkitekter AS</v>
      </c>
      <c r="O1271" s="102">
        <f>tbl_Companys!C1271</f>
        <v>166402</v>
      </c>
      <c r="P1271" s="102" t="str">
        <f t="shared" si="58"/>
        <v>Østgaard Arkitekter AS</v>
      </c>
      <c r="Q1271" s="102">
        <f>tbl_ConsultingCompanys!D1271</f>
        <v>0</v>
      </c>
      <c r="R1271" s="102">
        <f>tbl_ConsultingCompanys!C1271</f>
        <v>0</v>
      </c>
      <c r="S1271" s="102">
        <f t="shared" si="59"/>
        <v>0</v>
      </c>
    </row>
    <row r="1272" spans="11:19" x14ac:dyDescent="0.15">
      <c r="K1272" s="102">
        <f>tbl_ArchitectureOffices!D1272</f>
        <v>0</v>
      </c>
      <c r="L1272" s="102">
        <f>tbl_ArchitectureOffices!C1272</f>
        <v>0</v>
      </c>
      <c r="M1272" s="102">
        <f t="shared" si="60"/>
        <v>0</v>
      </c>
      <c r="N1272" s="102" t="str">
        <f>tbl_Companys!D1272</f>
        <v>Øvre Romerike Prosjektering AS</v>
      </c>
      <c r="O1272" s="102">
        <f>tbl_Companys!C1272</f>
        <v>103255</v>
      </c>
      <c r="P1272" s="102" t="str">
        <f t="shared" si="58"/>
        <v>Øvre Romerike Prosjektering AS</v>
      </c>
      <c r="Q1272" s="102">
        <f>tbl_ConsultingCompanys!D1272</f>
        <v>0</v>
      </c>
      <c r="R1272" s="102">
        <f>tbl_ConsultingCompanys!C1272</f>
        <v>0</v>
      </c>
      <c r="S1272" s="102">
        <f t="shared" si="59"/>
        <v>0</v>
      </c>
    </row>
    <row r="1273" spans="11:19" x14ac:dyDescent="0.15">
      <c r="K1273" s="102">
        <f>tbl_ArchitectureOffices!D1273</f>
        <v>0</v>
      </c>
      <c r="L1273" s="102">
        <f>tbl_ArchitectureOffices!C1273</f>
        <v>0</v>
      </c>
      <c r="M1273" s="102">
        <f t="shared" si="60"/>
        <v>0</v>
      </c>
      <c r="N1273" s="102" t="str">
        <f>tbl_Companys!D1273</f>
        <v>Øye arkitektkontor as, Georg</v>
      </c>
      <c r="O1273" s="102">
        <f>tbl_Companys!C1273</f>
        <v>166398</v>
      </c>
      <c r="P1273" s="102" t="str">
        <f t="shared" si="58"/>
        <v>Øye arkitektkontor as, Georg</v>
      </c>
      <c r="Q1273" s="102">
        <f>tbl_ConsultingCompanys!D1273</f>
        <v>0</v>
      </c>
      <c r="R1273" s="102">
        <f>tbl_ConsultingCompanys!C1273</f>
        <v>0</v>
      </c>
      <c r="S1273" s="102">
        <f t="shared" si="59"/>
        <v>0</v>
      </c>
    </row>
    <row r="1274" spans="11:19" x14ac:dyDescent="0.15">
      <c r="K1274" s="102">
        <f>tbl_ArchitectureOffices!D1274</f>
        <v>0</v>
      </c>
      <c r="L1274" s="102">
        <f>tbl_ArchitectureOffices!C1274</f>
        <v>0</v>
      </c>
      <c r="M1274" s="102">
        <f t="shared" si="60"/>
        <v>0</v>
      </c>
      <c r="N1274" s="102" t="str">
        <f>tbl_Companys!D1274</f>
        <v>Øystein Thommesen AS</v>
      </c>
      <c r="O1274" s="102">
        <f>tbl_Companys!C1274</f>
        <v>244635</v>
      </c>
      <c r="P1274" s="102" t="str">
        <f t="shared" si="58"/>
        <v>Øystein Thommesen AS</v>
      </c>
      <c r="Q1274" s="102">
        <f>tbl_ConsultingCompanys!D1274</f>
        <v>0</v>
      </c>
      <c r="R1274" s="102">
        <f>tbl_ConsultingCompanys!C1274</f>
        <v>0</v>
      </c>
      <c r="S1274" s="102">
        <f t="shared" si="59"/>
        <v>0</v>
      </c>
    </row>
    <row r="1275" spans="11:19" x14ac:dyDescent="0.15">
      <c r="K1275" s="102">
        <f>tbl_ArchitectureOffices!D1275</f>
        <v>0</v>
      </c>
      <c r="L1275" s="102">
        <f>tbl_ArchitectureOffices!C1275</f>
        <v>0</v>
      </c>
      <c r="M1275" s="102">
        <f t="shared" si="60"/>
        <v>0</v>
      </c>
      <c r="N1275" s="102" t="str">
        <f>tbl_Companys!D1275</f>
        <v>Øystein Thommesen AS</v>
      </c>
      <c r="O1275" s="102">
        <f>tbl_Companys!C1275</f>
        <v>244636</v>
      </c>
      <c r="P1275" s="102" t="str">
        <f t="shared" si="58"/>
        <v>Øystein Thommesen AS</v>
      </c>
      <c r="Q1275" s="102">
        <f>tbl_ConsultingCompanys!D1275</f>
        <v>0</v>
      </c>
      <c r="R1275" s="102">
        <f>tbl_ConsultingCompanys!C1275</f>
        <v>0</v>
      </c>
      <c r="S1275" s="102">
        <f t="shared" si="59"/>
        <v>0</v>
      </c>
    </row>
    <row r="1276" spans="11:19" x14ac:dyDescent="0.15">
      <c r="K1276" s="102">
        <f>tbl_ArchitectureOffices!D1276</f>
        <v>0</v>
      </c>
      <c r="L1276" s="102">
        <f>tbl_ArchitectureOffices!C1276</f>
        <v>0</v>
      </c>
      <c r="M1276" s="102">
        <f t="shared" si="60"/>
        <v>0</v>
      </c>
      <c r="N1276" s="102" t="str">
        <f>tbl_Companys!D1276</f>
        <v>Øystein Thommesen AS</v>
      </c>
      <c r="O1276" s="102">
        <f>tbl_Companys!C1276</f>
        <v>248257</v>
      </c>
      <c r="P1276" s="102" t="str">
        <f t="shared" si="58"/>
        <v>Øystein Thommesen AS</v>
      </c>
      <c r="Q1276" s="102">
        <f>tbl_ConsultingCompanys!D1276</f>
        <v>0</v>
      </c>
      <c r="R1276" s="102">
        <f>tbl_ConsultingCompanys!C1276</f>
        <v>0</v>
      </c>
      <c r="S1276" s="102">
        <f t="shared" si="59"/>
        <v>0</v>
      </c>
    </row>
    <row r="1277" spans="11:19" x14ac:dyDescent="0.15">
      <c r="K1277" s="102">
        <f>tbl_ArchitectureOffices!D1277</f>
        <v>0</v>
      </c>
      <c r="L1277" s="102">
        <f>tbl_ArchitectureOffices!C1277</f>
        <v>0</v>
      </c>
      <c r="M1277" s="102">
        <f t="shared" si="60"/>
        <v>0</v>
      </c>
      <c r="N1277" s="102" t="str">
        <f>tbl_Companys!D1277</f>
        <v>ÅF - Consult AS</v>
      </c>
      <c r="O1277" s="102">
        <f>tbl_Companys!C1277</f>
        <v>214727</v>
      </c>
      <c r="P1277" s="102" t="str">
        <f t="shared" si="58"/>
        <v>ÅF - Consult AS</v>
      </c>
      <c r="Q1277" s="102">
        <f>tbl_ConsultingCompanys!D1277</f>
        <v>0</v>
      </c>
      <c r="R1277" s="102">
        <f>tbl_ConsultingCompanys!C1277</f>
        <v>0</v>
      </c>
      <c r="S1277" s="102">
        <f t="shared" si="59"/>
        <v>0</v>
      </c>
    </row>
    <row r="1278" spans="11:19" x14ac:dyDescent="0.15">
      <c r="K1278" s="102">
        <f>tbl_ArchitectureOffices!D1278</f>
        <v>0</v>
      </c>
      <c r="L1278" s="102">
        <f>tbl_ArchitectureOffices!C1278</f>
        <v>0</v>
      </c>
      <c r="M1278" s="102">
        <f t="shared" si="60"/>
        <v>0</v>
      </c>
      <c r="N1278" s="102" t="str">
        <f>tbl_Companys!D1278</f>
        <v>ÅF Engineering AS</v>
      </c>
      <c r="O1278" s="102">
        <f>tbl_Companys!C1278</f>
        <v>213756</v>
      </c>
      <c r="P1278" s="102" t="str">
        <f t="shared" si="58"/>
        <v>ÅF Engineering AS</v>
      </c>
      <c r="Q1278" s="102">
        <f>tbl_ConsultingCompanys!D1278</f>
        <v>0</v>
      </c>
      <c r="R1278" s="102">
        <f>tbl_ConsultingCompanys!C1278</f>
        <v>0</v>
      </c>
      <c r="S1278" s="102">
        <f t="shared" si="59"/>
        <v>0</v>
      </c>
    </row>
    <row r="1279" spans="11:19" x14ac:dyDescent="0.15">
      <c r="K1279" s="102">
        <f>tbl_ArchitectureOffices!D1279</f>
        <v>0</v>
      </c>
      <c r="L1279" s="102">
        <f>tbl_ArchitectureOffices!C1279</f>
        <v>0</v>
      </c>
      <c r="M1279" s="102">
        <f t="shared" si="60"/>
        <v>0</v>
      </c>
      <c r="N1279" s="102" t="str">
        <f>tbl_Companys!D1279</f>
        <v>ÅF-consulting AS (RIE)</v>
      </c>
      <c r="O1279" s="102">
        <f>tbl_Companys!C1279</f>
        <v>209553</v>
      </c>
      <c r="P1279" s="102" t="str">
        <f t="shared" si="58"/>
        <v>ÅF-consulting AS (RIE)</v>
      </c>
      <c r="Q1279" s="102">
        <f>tbl_ConsultingCompanys!D1279</f>
        <v>0</v>
      </c>
      <c r="R1279" s="102">
        <f>tbl_ConsultingCompanys!C1279</f>
        <v>0</v>
      </c>
      <c r="S1279" s="102">
        <f t="shared" si="59"/>
        <v>0</v>
      </c>
    </row>
    <row r="1280" spans="11:19" x14ac:dyDescent="0.15">
      <c r="K1280" s="102">
        <f>tbl_ArchitectureOffices!D1280</f>
        <v>0</v>
      </c>
      <c r="L1280" s="102">
        <f>tbl_ArchitectureOffices!C1280</f>
        <v>0</v>
      </c>
      <c r="M1280" s="102">
        <f t="shared" si="60"/>
        <v>0</v>
      </c>
      <c r="N1280" s="102" t="str">
        <f>tbl_Companys!D1280</f>
        <v>Åke Larson Construction AS</v>
      </c>
      <c r="O1280" s="102">
        <f>tbl_Companys!C1280</f>
        <v>160581</v>
      </c>
      <c r="P1280" s="102" t="str">
        <f t="shared" si="58"/>
        <v>Åke Larson Construction AS</v>
      </c>
      <c r="Q1280" s="102">
        <f>tbl_ConsultingCompanys!D1280</f>
        <v>0</v>
      </c>
      <c r="R1280" s="102">
        <f>tbl_ConsultingCompanys!C1280</f>
        <v>0</v>
      </c>
      <c r="S1280" s="102">
        <f t="shared" si="59"/>
        <v>0</v>
      </c>
    </row>
    <row r="1281" spans="11:19" x14ac:dyDescent="0.15">
      <c r="K1281" s="102">
        <f>tbl_ArchitectureOffices!D1281</f>
        <v>0</v>
      </c>
      <c r="L1281" s="102">
        <f>tbl_ArchitectureOffices!C1281</f>
        <v>0</v>
      </c>
      <c r="M1281" s="102">
        <f t="shared" si="60"/>
        <v>0</v>
      </c>
      <c r="N1281" s="102" t="str">
        <f>tbl_Companys!D1281</f>
        <v>Åsane Byggmesterforretning AS</v>
      </c>
      <c r="O1281" s="102">
        <f>tbl_Companys!C1281</f>
        <v>218050</v>
      </c>
      <c r="P1281" s="102" t="str">
        <f t="shared" si="58"/>
        <v>Åsane Byggmesterforretning AS</v>
      </c>
      <c r="Q1281" s="102">
        <f>tbl_ConsultingCompanys!D1281</f>
        <v>0</v>
      </c>
      <c r="R1281" s="102">
        <f>tbl_ConsultingCompanys!C1281</f>
        <v>0</v>
      </c>
      <c r="S1281" s="102">
        <f t="shared" si="59"/>
        <v>0</v>
      </c>
    </row>
    <row r="1282" spans="11:19" x14ac:dyDescent="0.15">
      <c r="K1282" s="102">
        <f>tbl_ArchitectureOffices!D1282</f>
        <v>0</v>
      </c>
      <c r="L1282" s="102">
        <f>tbl_ArchitectureOffices!C1282</f>
        <v>0</v>
      </c>
      <c r="M1282" s="102">
        <f t="shared" si="60"/>
        <v>0</v>
      </c>
      <c r="N1282" s="102" t="str">
        <f>tbl_Companys!D1282</f>
        <v>Åsane Byggmesterforretning AS</v>
      </c>
      <c r="O1282" s="102">
        <f>tbl_Companys!C1282</f>
        <v>218051</v>
      </c>
      <c r="P1282" s="102" t="str">
        <f t="shared" si="58"/>
        <v>Åsane Byggmesterforretning AS</v>
      </c>
      <c r="Q1282" s="102">
        <f>tbl_ConsultingCompanys!D1282</f>
        <v>0</v>
      </c>
      <c r="R1282" s="102">
        <f>tbl_ConsultingCompanys!C1282</f>
        <v>0</v>
      </c>
      <c r="S1282" s="102">
        <f t="shared" si="59"/>
        <v>0</v>
      </c>
    </row>
    <row r="1283" spans="11:19" x14ac:dyDescent="0.15">
      <c r="K1283" s="102">
        <f>tbl_ArchitectureOffices!D1283</f>
        <v>0</v>
      </c>
      <c r="L1283" s="102">
        <f>tbl_ArchitectureOffices!C1283</f>
        <v>0</v>
      </c>
      <c r="M1283" s="102">
        <f t="shared" si="60"/>
        <v>0</v>
      </c>
      <c r="N1283" s="102">
        <f>tbl_Companys!D1283</f>
        <v>0</v>
      </c>
      <c r="O1283" s="102">
        <f>tbl_Companys!C1283</f>
        <v>0</v>
      </c>
      <c r="P1283" s="102">
        <f t="shared" ref="P1283:P1346" si="61">IFERROR(REPLACE(N1283,FIND(" ",N1283,LEN(N1283)),1,""),N1283)</f>
        <v>0</v>
      </c>
      <c r="Q1283" s="102">
        <f>tbl_ConsultingCompanys!D1283</f>
        <v>0</v>
      </c>
      <c r="R1283" s="102">
        <f>tbl_ConsultingCompanys!C1283</f>
        <v>0</v>
      </c>
      <c r="S1283" s="102">
        <f t="shared" ref="S1283:S1346" si="62">IFERROR(REPLACE(Q1283,FIND(" ",Q1283,LEN(Q1283)),1,""),Q1283)</f>
        <v>0</v>
      </c>
    </row>
    <row r="1284" spans="11:19" x14ac:dyDescent="0.15">
      <c r="K1284" s="102">
        <f>tbl_ArchitectureOffices!D1284</f>
        <v>0</v>
      </c>
      <c r="L1284" s="102">
        <f>tbl_ArchitectureOffices!C1284</f>
        <v>0</v>
      </c>
      <c r="M1284" s="102">
        <f t="shared" si="60"/>
        <v>0</v>
      </c>
      <c r="N1284" s="102">
        <f>tbl_Companys!D1284</f>
        <v>0</v>
      </c>
      <c r="O1284" s="102">
        <f>tbl_Companys!C1284</f>
        <v>0</v>
      </c>
      <c r="P1284" s="102">
        <f t="shared" si="61"/>
        <v>0</v>
      </c>
      <c r="Q1284" s="102">
        <f>tbl_ConsultingCompanys!D1284</f>
        <v>0</v>
      </c>
      <c r="R1284" s="102">
        <f>tbl_ConsultingCompanys!C1284</f>
        <v>0</v>
      </c>
      <c r="S1284" s="102">
        <f t="shared" si="62"/>
        <v>0</v>
      </c>
    </row>
    <row r="1285" spans="11:19" x14ac:dyDescent="0.15">
      <c r="K1285" s="102">
        <f>tbl_ArchitectureOffices!D1285</f>
        <v>0</v>
      </c>
      <c r="L1285" s="102">
        <f>tbl_ArchitectureOffices!C1285</f>
        <v>0</v>
      </c>
      <c r="M1285" s="102">
        <f t="shared" si="60"/>
        <v>0</v>
      </c>
      <c r="N1285" s="102">
        <f>tbl_Companys!D1285</f>
        <v>0</v>
      </c>
      <c r="O1285" s="102">
        <f>tbl_Companys!C1285</f>
        <v>0</v>
      </c>
      <c r="P1285" s="102">
        <f t="shared" si="61"/>
        <v>0</v>
      </c>
      <c r="Q1285" s="102">
        <f>tbl_ConsultingCompanys!D1285</f>
        <v>0</v>
      </c>
      <c r="R1285" s="102">
        <f>tbl_ConsultingCompanys!C1285</f>
        <v>0</v>
      </c>
      <c r="S1285" s="102">
        <f t="shared" si="62"/>
        <v>0</v>
      </c>
    </row>
    <row r="1286" spans="11:19" x14ac:dyDescent="0.15">
      <c r="K1286" s="102">
        <f>tbl_ArchitectureOffices!D1286</f>
        <v>0</v>
      </c>
      <c r="L1286" s="102">
        <f>tbl_ArchitectureOffices!C1286</f>
        <v>0</v>
      </c>
      <c r="M1286" s="102">
        <f t="shared" si="60"/>
        <v>0</v>
      </c>
      <c r="N1286" s="102">
        <f>tbl_Companys!D1286</f>
        <v>0</v>
      </c>
      <c r="O1286" s="102">
        <f>tbl_Companys!C1286</f>
        <v>0</v>
      </c>
      <c r="P1286" s="102">
        <f t="shared" si="61"/>
        <v>0</v>
      </c>
      <c r="Q1286" s="102">
        <f>tbl_ConsultingCompanys!D1286</f>
        <v>0</v>
      </c>
      <c r="R1286" s="102">
        <f>tbl_ConsultingCompanys!C1286</f>
        <v>0</v>
      </c>
      <c r="S1286" s="102">
        <f t="shared" si="62"/>
        <v>0</v>
      </c>
    </row>
    <row r="1287" spans="11:19" x14ac:dyDescent="0.15">
      <c r="K1287" s="102">
        <f>tbl_ArchitectureOffices!D1287</f>
        <v>0</v>
      </c>
      <c r="L1287" s="102">
        <f>tbl_ArchitectureOffices!C1287</f>
        <v>0</v>
      </c>
      <c r="M1287" s="102">
        <f t="shared" si="60"/>
        <v>0</v>
      </c>
      <c r="N1287" s="102">
        <f>tbl_Companys!D1287</f>
        <v>0</v>
      </c>
      <c r="O1287" s="102">
        <f>tbl_Companys!C1287</f>
        <v>0</v>
      </c>
      <c r="P1287" s="102">
        <f t="shared" si="61"/>
        <v>0</v>
      </c>
      <c r="Q1287" s="102">
        <f>tbl_ConsultingCompanys!D1287</f>
        <v>0</v>
      </c>
      <c r="R1287" s="102">
        <f>tbl_ConsultingCompanys!C1287</f>
        <v>0</v>
      </c>
      <c r="S1287" s="102">
        <f t="shared" si="62"/>
        <v>0</v>
      </c>
    </row>
    <row r="1288" spans="11:19" x14ac:dyDescent="0.15">
      <c r="K1288" s="102">
        <f>tbl_ArchitectureOffices!D1288</f>
        <v>0</v>
      </c>
      <c r="L1288" s="102">
        <f>tbl_ArchitectureOffices!C1288</f>
        <v>0</v>
      </c>
      <c r="M1288" s="102">
        <f t="shared" si="60"/>
        <v>0</v>
      </c>
      <c r="N1288" s="102">
        <f>tbl_Companys!D1288</f>
        <v>0</v>
      </c>
      <c r="O1288" s="102">
        <f>tbl_Companys!C1288</f>
        <v>0</v>
      </c>
      <c r="P1288" s="102">
        <f t="shared" si="61"/>
        <v>0</v>
      </c>
      <c r="Q1288" s="102">
        <f>tbl_ConsultingCompanys!D1288</f>
        <v>0</v>
      </c>
      <c r="R1288" s="102">
        <f>tbl_ConsultingCompanys!C1288</f>
        <v>0</v>
      </c>
      <c r="S1288" s="102">
        <f t="shared" si="62"/>
        <v>0</v>
      </c>
    </row>
    <row r="1289" spans="11:19" x14ac:dyDescent="0.15">
      <c r="K1289" s="102">
        <f>tbl_ArchitectureOffices!D1289</f>
        <v>0</v>
      </c>
      <c r="L1289" s="102">
        <f>tbl_ArchitectureOffices!C1289</f>
        <v>0</v>
      </c>
      <c r="M1289" s="102">
        <f t="shared" si="60"/>
        <v>0</v>
      </c>
      <c r="N1289" s="102">
        <f>tbl_Companys!D1289</f>
        <v>0</v>
      </c>
      <c r="O1289" s="102">
        <f>tbl_Companys!C1289</f>
        <v>0</v>
      </c>
      <c r="P1289" s="102">
        <f t="shared" si="61"/>
        <v>0</v>
      </c>
      <c r="Q1289" s="102">
        <f>tbl_ConsultingCompanys!D1289</f>
        <v>0</v>
      </c>
      <c r="R1289" s="102">
        <f>tbl_ConsultingCompanys!C1289</f>
        <v>0</v>
      </c>
      <c r="S1289" s="102">
        <f t="shared" si="62"/>
        <v>0</v>
      </c>
    </row>
    <row r="1290" spans="11:19" x14ac:dyDescent="0.15">
      <c r="K1290" s="102">
        <f>tbl_ArchitectureOffices!D1290</f>
        <v>0</v>
      </c>
      <c r="L1290" s="102">
        <f>tbl_ArchitectureOffices!C1290</f>
        <v>0</v>
      </c>
      <c r="M1290" s="102">
        <f t="shared" si="60"/>
        <v>0</v>
      </c>
      <c r="N1290" s="102">
        <f>tbl_Companys!D1290</f>
        <v>0</v>
      </c>
      <c r="O1290" s="102">
        <f>tbl_Companys!C1290</f>
        <v>0</v>
      </c>
      <c r="P1290" s="102">
        <f t="shared" si="61"/>
        <v>0</v>
      </c>
      <c r="Q1290" s="102">
        <f>tbl_ConsultingCompanys!D1290</f>
        <v>0</v>
      </c>
      <c r="R1290" s="102">
        <f>tbl_ConsultingCompanys!C1290</f>
        <v>0</v>
      </c>
      <c r="S1290" s="102">
        <f t="shared" si="62"/>
        <v>0</v>
      </c>
    </row>
    <row r="1291" spans="11:19" x14ac:dyDescent="0.15">
      <c r="K1291" s="102">
        <f>tbl_ArchitectureOffices!D1291</f>
        <v>0</v>
      </c>
      <c r="L1291" s="102">
        <f>tbl_ArchitectureOffices!C1291</f>
        <v>0</v>
      </c>
      <c r="M1291" s="102">
        <f t="shared" si="60"/>
        <v>0</v>
      </c>
      <c r="N1291" s="102">
        <f>tbl_Companys!D1291</f>
        <v>0</v>
      </c>
      <c r="O1291" s="102">
        <f>tbl_Companys!C1291</f>
        <v>0</v>
      </c>
      <c r="P1291" s="102">
        <f t="shared" si="61"/>
        <v>0</v>
      </c>
      <c r="Q1291" s="102">
        <f>tbl_ConsultingCompanys!D1291</f>
        <v>0</v>
      </c>
      <c r="R1291" s="102">
        <f>tbl_ConsultingCompanys!C1291</f>
        <v>0</v>
      </c>
      <c r="S1291" s="102">
        <f t="shared" si="62"/>
        <v>0</v>
      </c>
    </row>
    <row r="1292" spans="11:19" x14ac:dyDescent="0.15">
      <c r="K1292" s="102">
        <f>tbl_ArchitectureOffices!D1292</f>
        <v>0</v>
      </c>
      <c r="L1292" s="102">
        <f>tbl_ArchitectureOffices!C1292</f>
        <v>0</v>
      </c>
      <c r="M1292" s="102">
        <f t="shared" si="60"/>
        <v>0</v>
      </c>
      <c r="N1292" s="102">
        <f>tbl_Companys!D1292</f>
        <v>0</v>
      </c>
      <c r="O1292" s="102">
        <f>tbl_Companys!C1292</f>
        <v>0</v>
      </c>
      <c r="P1292" s="102">
        <f t="shared" si="61"/>
        <v>0</v>
      </c>
      <c r="Q1292" s="102">
        <f>tbl_ConsultingCompanys!D1292</f>
        <v>0</v>
      </c>
      <c r="R1292" s="102">
        <f>tbl_ConsultingCompanys!C1292</f>
        <v>0</v>
      </c>
      <c r="S1292" s="102">
        <f t="shared" si="62"/>
        <v>0</v>
      </c>
    </row>
    <row r="1293" spans="11:19" x14ac:dyDescent="0.15">
      <c r="K1293" s="102">
        <f>tbl_ArchitectureOffices!D1293</f>
        <v>0</v>
      </c>
      <c r="L1293" s="102">
        <f>tbl_ArchitectureOffices!C1293</f>
        <v>0</v>
      </c>
      <c r="M1293" s="102">
        <f t="shared" si="60"/>
        <v>0</v>
      </c>
      <c r="N1293" s="102">
        <f>tbl_Companys!D1293</f>
        <v>0</v>
      </c>
      <c r="O1293" s="102">
        <f>tbl_Companys!C1293</f>
        <v>0</v>
      </c>
      <c r="P1293" s="102">
        <f t="shared" si="61"/>
        <v>0</v>
      </c>
      <c r="Q1293" s="102">
        <f>tbl_ConsultingCompanys!D1293</f>
        <v>0</v>
      </c>
      <c r="R1293" s="102">
        <f>tbl_ConsultingCompanys!C1293</f>
        <v>0</v>
      </c>
      <c r="S1293" s="102">
        <f t="shared" si="62"/>
        <v>0</v>
      </c>
    </row>
    <row r="1294" spans="11:19" x14ac:dyDescent="0.15">
      <c r="K1294" s="102">
        <f>tbl_ArchitectureOffices!D1294</f>
        <v>0</v>
      </c>
      <c r="L1294" s="102">
        <f>tbl_ArchitectureOffices!C1294</f>
        <v>0</v>
      </c>
      <c r="M1294" s="102">
        <f t="shared" si="60"/>
        <v>0</v>
      </c>
      <c r="N1294" s="102">
        <f>tbl_Companys!D1294</f>
        <v>0</v>
      </c>
      <c r="O1294" s="102">
        <f>tbl_Companys!C1294</f>
        <v>0</v>
      </c>
      <c r="P1294" s="102">
        <f t="shared" si="61"/>
        <v>0</v>
      </c>
      <c r="Q1294" s="102">
        <f>tbl_ConsultingCompanys!D1294</f>
        <v>0</v>
      </c>
      <c r="R1294" s="102">
        <f>tbl_ConsultingCompanys!C1294</f>
        <v>0</v>
      </c>
      <c r="S1294" s="102">
        <f t="shared" si="62"/>
        <v>0</v>
      </c>
    </row>
    <row r="1295" spans="11:19" x14ac:dyDescent="0.15">
      <c r="K1295" s="102">
        <f>tbl_ArchitectureOffices!D1295</f>
        <v>0</v>
      </c>
      <c r="L1295" s="102">
        <f>tbl_ArchitectureOffices!C1295</f>
        <v>0</v>
      </c>
      <c r="M1295" s="102">
        <f t="shared" si="60"/>
        <v>0</v>
      </c>
      <c r="N1295" s="102">
        <f>tbl_Companys!D1295</f>
        <v>0</v>
      </c>
      <c r="O1295" s="102">
        <f>tbl_Companys!C1295</f>
        <v>0</v>
      </c>
      <c r="P1295" s="102">
        <f t="shared" si="61"/>
        <v>0</v>
      </c>
      <c r="Q1295" s="102">
        <f>tbl_ConsultingCompanys!D1295</f>
        <v>0</v>
      </c>
      <c r="R1295" s="102">
        <f>tbl_ConsultingCompanys!C1295</f>
        <v>0</v>
      </c>
      <c r="S1295" s="102">
        <f t="shared" si="62"/>
        <v>0</v>
      </c>
    </row>
    <row r="1296" spans="11:19" x14ac:dyDescent="0.15">
      <c r="K1296" s="102">
        <f>tbl_ArchitectureOffices!D1296</f>
        <v>0</v>
      </c>
      <c r="L1296" s="102">
        <f>tbl_ArchitectureOffices!C1296</f>
        <v>0</v>
      </c>
      <c r="M1296" s="102">
        <f t="shared" si="60"/>
        <v>0</v>
      </c>
      <c r="N1296" s="102">
        <f>tbl_Companys!D1296</f>
        <v>0</v>
      </c>
      <c r="O1296" s="102">
        <f>tbl_Companys!C1296</f>
        <v>0</v>
      </c>
      <c r="P1296" s="102">
        <f t="shared" si="61"/>
        <v>0</v>
      </c>
      <c r="Q1296" s="102">
        <f>tbl_ConsultingCompanys!D1296</f>
        <v>0</v>
      </c>
      <c r="R1296" s="102">
        <f>tbl_ConsultingCompanys!C1296</f>
        <v>0</v>
      </c>
      <c r="S1296" s="102">
        <f t="shared" si="62"/>
        <v>0</v>
      </c>
    </row>
    <row r="1297" spans="11:19" x14ac:dyDescent="0.15">
      <c r="K1297" s="102">
        <f>tbl_ArchitectureOffices!D1297</f>
        <v>0</v>
      </c>
      <c r="L1297" s="102">
        <f>tbl_ArchitectureOffices!C1297</f>
        <v>0</v>
      </c>
      <c r="M1297" s="102">
        <f t="shared" si="60"/>
        <v>0</v>
      </c>
      <c r="N1297" s="102">
        <f>tbl_Companys!D1297</f>
        <v>0</v>
      </c>
      <c r="O1297" s="102">
        <f>tbl_Companys!C1297</f>
        <v>0</v>
      </c>
      <c r="P1297" s="102">
        <f t="shared" si="61"/>
        <v>0</v>
      </c>
      <c r="Q1297" s="102">
        <f>tbl_ConsultingCompanys!D1297</f>
        <v>0</v>
      </c>
      <c r="R1297" s="102">
        <f>tbl_ConsultingCompanys!C1297</f>
        <v>0</v>
      </c>
      <c r="S1297" s="102">
        <f t="shared" si="62"/>
        <v>0</v>
      </c>
    </row>
    <row r="1298" spans="11:19" x14ac:dyDescent="0.15">
      <c r="K1298" s="102">
        <f>tbl_ArchitectureOffices!D1298</f>
        <v>0</v>
      </c>
      <c r="L1298" s="102">
        <f>tbl_ArchitectureOffices!C1298</f>
        <v>0</v>
      </c>
      <c r="M1298" s="102">
        <f t="shared" si="60"/>
        <v>0</v>
      </c>
      <c r="N1298" s="102">
        <f>tbl_Companys!D1298</f>
        <v>0</v>
      </c>
      <c r="O1298" s="102">
        <f>tbl_Companys!C1298</f>
        <v>0</v>
      </c>
      <c r="P1298" s="102">
        <f t="shared" si="61"/>
        <v>0</v>
      </c>
      <c r="Q1298" s="102">
        <f>tbl_ConsultingCompanys!D1298</f>
        <v>0</v>
      </c>
      <c r="R1298" s="102">
        <f>tbl_ConsultingCompanys!C1298</f>
        <v>0</v>
      </c>
      <c r="S1298" s="102">
        <f t="shared" si="62"/>
        <v>0</v>
      </c>
    </row>
    <row r="1299" spans="11:19" x14ac:dyDescent="0.15">
      <c r="K1299" s="102">
        <f>tbl_ArchitectureOffices!D1299</f>
        <v>0</v>
      </c>
      <c r="L1299" s="102">
        <f>tbl_ArchitectureOffices!C1299</f>
        <v>0</v>
      </c>
      <c r="M1299" s="102">
        <f t="shared" si="60"/>
        <v>0</v>
      </c>
      <c r="N1299" s="102">
        <f>tbl_Companys!D1299</f>
        <v>0</v>
      </c>
      <c r="O1299" s="102">
        <f>tbl_Companys!C1299</f>
        <v>0</v>
      </c>
      <c r="P1299" s="102">
        <f t="shared" si="61"/>
        <v>0</v>
      </c>
      <c r="Q1299" s="102">
        <f>tbl_ConsultingCompanys!D1299</f>
        <v>0</v>
      </c>
      <c r="R1299" s="102">
        <f>tbl_ConsultingCompanys!C1299</f>
        <v>0</v>
      </c>
      <c r="S1299" s="102">
        <f t="shared" si="62"/>
        <v>0</v>
      </c>
    </row>
    <row r="1300" spans="11:19" x14ac:dyDescent="0.15">
      <c r="K1300" s="102">
        <f>tbl_ArchitectureOffices!D1300</f>
        <v>0</v>
      </c>
      <c r="L1300" s="102">
        <f>tbl_ArchitectureOffices!C1300</f>
        <v>0</v>
      </c>
      <c r="M1300" s="102">
        <f t="shared" si="60"/>
        <v>0</v>
      </c>
      <c r="N1300" s="102">
        <f>tbl_Companys!D1300</f>
        <v>0</v>
      </c>
      <c r="O1300" s="102">
        <f>tbl_Companys!C1300</f>
        <v>0</v>
      </c>
      <c r="P1300" s="102">
        <f t="shared" si="61"/>
        <v>0</v>
      </c>
      <c r="Q1300" s="102">
        <f>tbl_ConsultingCompanys!D1300</f>
        <v>0</v>
      </c>
      <c r="R1300" s="102">
        <f>tbl_ConsultingCompanys!C1300</f>
        <v>0</v>
      </c>
      <c r="S1300" s="102">
        <f t="shared" si="62"/>
        <v>0</v>
      </c>
    </row>
    <row r="1301" spans="11:19" x14ac:dyDescent="0.15">
      <c r="K1301" s="102">
        <f>tbl_ArchitectureOffices!D1301</f>
        <v>0</v>
      </c>
      <c r="L1301" s="102">
        <f>tbl_ArchitectureOffices!C1301</f>
        <v>0</v>
      </c>
      <c r="M1301" s="102">
        <f t="shared" si="60"/>
        <v>0</v>
      </c>
      <c r="N1301" s="102">
        <f>tbl_Companys!D1301</f>
        <v>0</v>
      </c>
      <c r="O1301" s="102">
        <f>tbl_Companys!C1301</f>
        <v>0</v>
      </c>
      <c r="P1301" s="102">
        <f t="shared" si="61"/>
        <v>0</v>
      </c>
      <c r="Q1301" s="102">
        <f>tbl_ConsultingCompanys!D1301</f>
        <v>0</v>
      </c>
      <c r="R1301" s="102">
        <f>tbl_ConsultingCompanys!C1301</f>
        <v>0</v>
      </c>
      <c r="S1301" s="102">
        <f t="shared" si="62"/>
        <v>0</v>
      </c>
    </row>
    <row r="1302" spans="11:19" x14ac:dyDescent="0.15">
      <c r="K1302" s="102">
        <f>tbl_ArchitectureOffices!D1302</f>
        <v>0</v>
      </c>
      <c r="L1302" s="102">
        <f>tbl_ArchitectureOffices!C1302</f>
        <v>0</v>
      </c>
      <c r="M1302" s="102">
        <f t="shared" si="60"/>
        <v>0</v>
      </c>
      <c r="N1302" s="102">
        <f>tbl_Companys!D1302</f>
        <v>0</v>
      </c>
      <c r="O1302" s="102">
        <f>tbl_Companys!C1302</f>
        <v>0</v>
      </c>
      <c r="P1302" s="102">
        <f t="shared" si="61"/>
        <v>0</v>
      </c>
      <c r="Q1302" s="102">
        <f>tbl_ConsultingCompanys!D1302</f>
        <v>0</v>
      </c>
      <c r="R1302" s="102">
        <f>tbl_ConsultingCompanys!C1302</f>
        <v>0</v>
      </c>
      <c r="S1302" s="102">
        <f t="shared" si="62"/>
        <v>0</v>
      </c>
    </row>
    <row r="1303" spans="11:19" x14ac:dyDescent="0.15">
      <c r="K1303" s="102">
        <f>tbl_ArchitectureOffices!D1303</f>
        <v>0</v>
      </c>
      <c r="L1303" s="102">
        <f>tbl_ArchitectureOffices!C1303</f>
        <v>0</v>
      </c>
      <c r="M1303" s="102">
        <f t="shared" si="60"/>
        <v>0</v>
      </c>
      <c r="N1303" s="102">
        <f>tbl_Companys!D1303</f>
        <v>0</v>
      </c>
      <c r="O1303" s="102">
        <f>tbl_Companys!C1303</f>
        <v>0</v>
      </c>
      <c r="P1303" s="102">
        <f t="shared" si="61"/>
        <v>0</v>
      </c>
      <c r="Q1303" s="102">
        <f>tbl_ConsultingCompanys!D1303</f>
        <v>0</v>
      </c>
      <c r="R1303" s="102">
        <f>tbl_ConsultingCompanys!C1303</f>
        <v>0</v>
      </c>
      <c r="S1303" s="102">
        <f t="shared" si="62"/>
        <v>0</v>
      </c>
    </row>
    <row r="1304" spans="11:19" x14ac:dyDescent="0.15">
      <c r="K1304" s="102">
        <f>tbl_ArchitectureOffices!D1304</f>
        <v>0</v>
      </c>
      <c r="L1304" s="102">
        <f>tbl_ArchitectureOffices!C1304</f>
        <v>0</v>
      </c>
      <c r="M1304" s="102">
        <f t="shared" si="60"/>
        <v>0</v>
      </c>
      <c r="N1304" s="102">
        <f>tbl_Companys!D1304</f>
        <v>0</v>
      </c>
      <c r="O1304" s="102">
        <f>tbl_Companys!C1304</f>
        <v>0</v>
      </c>
      <c r="P1304" s="102">
        <f t="shared" si="61"/>
        <v>0</v>
      </c>
      <c r="Q1304" s="102">
        <f>tbl_ConsultingCompanys!D1304</f>
        <v>0</v>
      </c>
      <c r="R1304" s="102">
        <f>tbl_ConsultingCompanys!C1304</f>
        <v>0</v>
      </c>
      <c r="S1304" s="102">
        <f t="shared" si="62"/>
        <v>0</v>
      </c>
    </row>
    <row r="1305" spans="11:19" x14ac:dyDescent="0.15">
      <c r="K1305" s="102">
        <f>tbl_ArchitectureOffices!D1305</f>
        <v>0</v>
      </c>
      <c r="L1305" s="102">
        <f>tbl_ArchitectureOffices!C1305</f>
        <v>0</v>
      </c>
      <c r="M1305" s="102">
        <f t="shared" si="60"/>
        <v>0</v>
      </c>
      <c r="N1305" s="102">
        <f>tbl_Companys!D1305</f>
        <v>0</v>
      </c>
      <c r="O1305" s="102">
        <f>tbl_Companys!C1305</f>
        <v>0</v>
      </c>
      <c r="P1305" s="102">
        <f t="shared" si="61"/>
        <v>0</v>
      </c>
      <c r="Q1305" s="102">
        <f>tbl_ConsultingCompanys!D1305</f>
        <v>0</v>
      </c>
      <c r="R1305" s="102">
        <f>tbl_ConsultingCompanys!C1305</f>
        <v>0</v>
      </c>
      <c r="S1305" s="102">
        <f t="shared" si="62"/>
        <v>0</v>
      </c>
    </row>
    <row r="1306" spans="11:19" x14ac:dyDescent="0.15">
      <c r="K1306" s="102">
        <f>tbl_ArchitectureOffices!D1306</f>
        <v>0</v>
      </c>
      <c r="L1306" s="102">
        <f>tbl_ArchitectureOffices!C1306</f>
        <v>0</v>
      </c>
      <c r="M1306" s="102">
        <f t="shared" si="60"/>
        <v>0</v>
      </c>
      <c r="N1306" s="102">
        <f>tbl_Companys!D1306</f>
        <v>0</v>
      </c>
      <c r="O1306" s="102">
        <f>tbl_Companys!C1306</f>
        <v>0</v>
      </c>
      <c r="P1306" s="102">
        <f t="shared" si="61"/>
        <v>0</v>
      </c>
      <c r="Q1306" s="102">
        <f>tbl_ConsultingCompanys!D1306</f>
        <v>0</v>
      </c>
      <c r="R1306" s="102">
        <f>tbl_ConsultingCompanys!C1306</f>
        <v>0</v>
      </c>
      <c r="S1306" s="102">
        <f t="shared" si="62"/>
        <v>0</v>
      </c>
    </row>
    <row r="1307" spans="11:19" x14ac:dyDescent="0.15">
      <c r="K1307" s="102">
        <f>tbl_ArchitectureOffices!D1307</f>
        <v>0</v>
      </c>
      <c r="L1307" s="102">
        <f>tbl_ArchitectureOffices!C1307</f>
        <v>0</v>
      </c>
      <c r="M1307" s="102">
        <f t="shared" si="60"/>
        <v>0</v>
      </c>
      <c r="N1307" s="102">
        <f>tbl_Companys!D1307</f>
        <v>0</v>
      </c>
      <c r="O1307" s="102">
        <f>tbl_Companys!C1307</f>
        <v>0</v>
      </c>
      <c r="P1307" s="102">
        <f t="shared" si="61"/>
        <v>0</v>
      </c>
      <c r="Q1307" s="102">
        <f>tbl_ConsultingCompanys!D1307</f>
        <v>0</v>
      </c>
      <c r="R1307" s="102">
        <f>tbl_ConsultingCompanys!C1307</f>
        <v>0</v>
      </c>
      <c r="S1307" s="102">
        <f t="shared" si="62"/>
        <v>0</v>
      </c>
    </row>
    <row r="1308" spans="11:19" x14ac:dyDescent="0.15">
      <c r="K1308" s="102">
        <f>tbl_ArchitectureOffices!D1308</f>
        <v>0</v>
      </c>
      <c r="L1308" s="102">
        <f>tbl_ArchitectureOffices!C1308</f>
        <v>0</v>
      </c>
      <c r="M1308" s="102">
        <f t="shared" si="60"/>
        <v>0</v>
      </c>
      <c r="N1308" s="102">
        <f>tbl_Companys!D1308</f>
        <v>0</v>
      </c>
      <c r="O1308" s="102">
        <f>tbl_Companys!C1308</f>
        <v>0</v>
      </c>
      <c r="P1308" s="102">
        <f t="shared" si="61"/>
        <v>0</v>
      </c>
      <c r="Q1308" s="102">
        <f>tbl_ConsultingCompanys!D1308</f>
        <v>0</v>
      </c>
      <c r="R1308" s="102">
        <f>tbl_ConsultingCompanys!C1308</f>
        <v>0</v>
      </c>
      <c r="S1308" s="102">
        <f t="shared" si="62"/>
        <v>0</v>
      </c>
    </row>
    <row r="1309" spans="11:19" x14ac:dyDescent="0.15">
      <c r="K1309" s="102">
        <f>tbl_ArchitectureOffices!D1309</f>
        <v>0</v>
      </c>
      <c r="L1309" s="102">
        <f>tbl_ArchitectureOffices!C1309</f>
        <v>0</v>
      </c>
      <c r="M1309" s="102">
        <f t="shared" si="60"/>
        <v>0</v>
      </c>
      <c r="N1309" s="102">
        <f>tbl_Companys!D1309</f>
        <v>0</v>
      </c>
      <c r="O1309" s="102">
        <f>tbl_Companys!C1309</f>
        <v>0</v>
      </c>
      <c r="P1309" s="102">
        <f t="shared" si="61"/>
        <v>0</v>
      </c>
      <c r="Q1309" s="102">
        <f>tbl_ConsultingCompanys!D1309</f>
        <v>0</v>
      </c>
      <c r="R1309" s="102">
        <f>tbl_ConsultingCompanys!C1309</f>
        <v>0</v>
      </c>
      <c r="S1309" s="102">
        <f t="shared" si="62"/>
        <v>0</v>
      </c>
    </row>
    <row r="1310" spans="11:19" x14ac:dyDescent="0.15">
      <c r="K1310" s="102">
        <f>tbl_ArchitectureOffices!D1310</f>
        <v>0</v>
      </c>
      <c r="L1310" s="102">
        <f>tbl_ArchitectureOffices!C1310</f>
        <v>0</v>
      </c>
      <c r="M1310" s="102">
        <f t="shared" si="60"/>
        <v>0</v>
      </c>
      <c r="N1310" s="102">
        <f>tbl_Companys!D1310</f>
        <v>0</v>
      </c>
      <c r="O1310" s="102">
        <f>tbl_Companys!C1310</f>
        <v>0</v>
      </c>
      <c r="P1310" s="102">
        <f t="shared" si="61"/>
        <v>0</v>
      </c>
      <c r="Q1310" s="102">
        <f>tbl_ConsultingCompanys!D1310</f>
        <v>0</v>
      </c>
      <c r="R1310" s="102">
        <f>tbl_ConsultingCompanys!C1310</f>
        <v>0</v>
      </c>
      <c r="S1310" s="102">
        <f t="shared" si="62"/>
        <v>0</v>
      </c>
    </row>
    <row r="1311" spans="11:19" x14ac:dyDescent="0.15">
      <c r="K1311" s="102">
        <f>tbl_ArchitectureOffices!D1311</f>
        <v>0</v>
      </c>
      <c r="L1311" s="102">
        <f>tbl_ArchitectureOffices!C1311</f>
        <v>0</v>
      </c>
      <c r="M1311" s="102">
        <f t="shared" si="60"/>
        <v>0</v>
      </c>
      <c r="N1311" s="102">
        <f>tbl_Companys!D1311</f>
        <v>0</v>
      </c>
      <c r="O1311" s="102">
        <f>tbl_Companys!C1311</f>
        <v>0</v>
      </c>
      <c r="P1311" s="102">
        <f t="shared" si="61"/>
        <v>0</v>
      </c>
      <c r="Q1311" s="102">
        <f>tbl_ConsultingCompanys!D1311</f>
        <v>0</v>
      </c>
      <c r="R1311" s="102">
        <f>tbl_ConsultingCompanys!C1311</f>
        <v>0</v>
      </c>
      <c r="S1311" s="102">
        <f t="shared" si="62"/>
        <v>0</v>
      </c>
    </row>
    <row r="1312" spans="11:19" x14ac:dyDescent="0.15">
      <c r="K1312" s="102">
        <f>tbl_ArchitectureOffices!D1312</f>
        <v>0</v>
      </c>
      <c r="L1312" s="102">
        <f>tbl_ArchitectureOffices!C1312</f>
        <v>0</v>
      </c>
      <c r="M1312" s="102">
        <f t="shared" si="60"/>
        <v>0</v>
      </c>
      <c r="N1312" s="102">
        <f>tbl_Companys!D1312</f>
        <v>0</v>
      </c>
      <c r="O1312" s="102">
        <f>tbl_Companys!C1312</f>
        <v>0</v>
      </c>
      <c r="P1312" s="102">
        <f t="shared" si="61"/>
        <v>0</v>
      </c>
      <c r="Q1312" s="102">
        <f>tbl_ConsultingCompanys!D1312</f>
        <v>0</v>
      </c>
      <c r="R1312" s="102">
        <f>tbl_ConsultingCompanys!C1312</f>
        <v>0</v>
      </c>
      <c r="S1312" s="102">
        <f t="shared" si="62"/>
        <v>0</v>
      </c>
    </row>
    <row r="1313" spans="11:19" x14ac:dyDescent="0.15">
      <c r="K1313" s="102">
        <f>tbl_ArchitectureOffices!D1313</f>
        <v>0</v>
      </c>
      <c r="L1313" s="102">
        <f>tbl_ArchitectureOffices!C1313</f>
        <v>0</v>
      </c>
      <c r="M1313" s="102">
        <f t="shared" si="60"/>
        <v>0</v>
      </c>
      <c r="N1313" s="102">
        <f>tbl_Companys!D1313</f>
        <v>0</v>
      </c>
      <c r="O1313" s="102">
        <f>tbl_Companys!C1313</f>
        <v>0</v>
      </c>
      <c r="P1313" s="102">
        <f t="shared" si="61"/>
        <v>0</v>
      </c>
      <c r="Q1313" s="102">
        <f>tbl_ConsultingCompanys!D1313</f>
        <v>0</v>
      </c>
      <c r="R1313" s="102">
        <f>tbl_ConsultingCompanys!C1313</f>
        <v>0</v>
      </c>
      <c r="S1313" s="102">
        <f t="shared" si="62"/>
        <v>0</v>
      </c>
    </row>
    <row r="1314" spans="11:19" x14ac:dyDescent="0.15">
      <c r="K1314" s="102">
        <f>tbl_ArchitectureOffices!D1314</f>
        <v>0</v>
      </c>
      <c r="L1314" s="102">
        <f>tbl_ArchitectureOffices!C1314</f>
        <v>0</v>
      </c>
      <c r="M1314" s="102">
        <f t="shared" si="60"/>
        <v>0</v>
      </c>
      <c r="N1314" s="102">
        <f>tbl_Companys!D1314</f>
        <v>0</v>
      </c>
      <c r="O1314" s="102">
        <f>tbl_Companys!C1314</f>
        <v>0</v>
      </c>
      <c r="P1314" s="102">
        <f t="shared" si="61"/>
        <v>0</v>
      </c>
      <c r="Q1314" s="102">
        <f>tbl_ConsultingCompanys!D1314</f>
        <v>0</v>
      </c>
      <c r="R1314" s="102">
        <f>tbl_ConsultingCompanys!C1314</f>
        <v>0</v>
      </c>
      <c r="S1314" s="102">
        <f t="shared" si="62"/>
        <v>0</v>
      </c>
    </row>
    <row r="1315" spans="11:19" x14ac:dyDescent="0.15">
      <c r="K1315" s="102">
        <f>tbl_ArchitectureOffices!D1315</f>
        <v>0</v>
      </c>
      <c r="L1315" s="102">
        <f>tbl_ArchitectureOffices!C1315</f>
        <v>0</v>
      </c>
      <c r="M1315" s="102">
        <f t="shared" si="60"/>
        <v>0</v>
      </c>
      <c r="N1315" s="102">
        <f>tbl_Companys!D1315</f>
        <v>0</v>
      </c>
      <c r="O1315" s="102">
        <f>tbl_Companys!C1315</f>
        <v>0</v>
      </c>
      <c r="P1315" s="102">
        <f t="shared" si="61"/>
        <v>0</v>
      </c>
      <c r="Q1315" s="102">
        <f>tbl_ConsultingCompanys!D1315</f>
        <v>0</v>
      </c>
      <c r="R1315" s="102">
        <f>tbl_ConsultingCompanys!C1315</f>
        <v>0</v>
      </c>
      <c r="S1315" s="102">
        <f t="shared" si="62"/>
        <v>0</v>
      </c>
    </row>
    <row r="1316" spans="11:19" x14ac:dyDescent="0.15">
      <c r="K1316" s="102">
        <f>tbl_ArchitectureOffices!D1316</f>
        <v>0</v>
      </c>
      <c r="L1316" s="102">
        <f>tbl_ArchitectureOffices!C1316</f>
        <v>0</v>
      </c>
      <c r="M1316" s="102">
        <f t="shared" si="60"/>
        <v>0</v>
      </c>
      <c r="N1316" s="102">
        <f>tbl_Companys!D1316</f>
        <v>0</v>
      </c>
      <c r="O1316" s="102">
        <f>tbl_Companys!C1316</f>
        <v>0</v>
      </c>
      <c r="P1316" s="102">
        <f t="shared" si="61"/>
        <v>0</v>
      </c>
      <c r="Q1316" s="102">
        <f>tbl_ConsultingCompanys!D1316</f>
        <v>0</v>
      </c>
      <c r="R1316" s="102">
        <f>tbl_ConsultingCompanys!C1316</f>
        <v>0</v>
      </c>
      <c r="S1316" s="102">
        <f t="shared" si="62"/>
        <v>0</v>
      </c>
    </row>
    <row r="1317" spans="11:19" x14ac:dyDescent="0.15">
      <c r="K1317" s="102">
        <f>tbl_ArchitectureOffices!D1317</f>
        <v>0</v>
      </c>
      <c r="L1317" s="102">
        <f>tbl_ArchitectureOffices!C1317</f>
        <v>0</v>
      </c>
      <c r="M1317" s="102">
        <f t="shared" si="60"/>
        <v>0</v>
      </c>
      <c r="N1317" s="102">
        <f>tbl_Companys!D1317</f>
        <v>0</v>
      </c>
      <c r="O1317" s="102">
        <f>tbl_Companys!C1317</f>
        <v>0</v>
      </c>
      <c r="P1317" s="102">
        <f t="shared" si="61"/>
        <v>0</v>
      </c>
      <c r="Q1317" s="102">
        <f>tbl_ConsultingCompanys!D1317</f>
        <v>0</v>
      </c>
      <c r="R1317" s="102">
        <f>tbl_ConsultingCompanys!C1317</f>
        <v>0</v>
      </c>
      <c r="S1317" s="102">
        <f t="shared" si="62"/>
        <v>0</v>
      </c>
    </row>
    <row r="1318" spans="11:19" x14ac:dyDescent="0.15">
      <c r="K1318" s="102">
        <f>tbl_ArchitectureOffices!D1318</f>
        <v>0</v>
      </c>
      <c r="L1318" s="102">
        <f>tbl_ArchitectureOffices!C1318</f>
        <v>0</v>
      </c>
      <c r="M1318" s="102">
        <f t="shared" si="60"/>
        <v>0</v>
      </c>
      <c r="N1318" s="102">
        <f>tbl_Companys!D1318</f>
        <v>0</v>
      </c>
      <c r="O1318" s="102">
        <f>tbl_Companys!C1318</f>
        <v>0</v>
      </c>
      <c r="P1318" s="102">
        <f t="shared" si="61"/>
        <v>0</v>
      </c>
      <c r="Q1318" s="102">
        <f>tbl_ConsultingCompanys!D1318</f>
        <v>0</v>
      </c>
      <c r="R1318" s="102">
        <f>tbl_ConsultingCompanys!C1318</f>
        <v>0</v>
      </c>
      <c r="S1318" s="102">
        <f t="shared" si="62"/>
        <v>0</v>
      </c>
    </row>
    <row r="1319" spans="11:19" x14ac:dyDescent="0.15">
      <c r="K1319" s="102">
        <f>tbl_ArchitectureOffices!D1319</f>
        <v>0</v>
      </c>
      <c r="L1319" s="102">
        <f>tbl_ArchitectureOffices!C1319</f>
        <v>0</v>
      </c>
      <c r="M1319" s="102">
        <f t="shared" si="60"/>
        <v>0</v>
      </c>
      <c r="N1319" s="102">
        <f>tbl_Companys!D1319</f>
        <v>0</v>
      </c>
      <c r="O1319" s="102">
        <f>tbl_Companys!C1319</f>
        <v>0</v>
      </c>
      <c r="P1319" s="102">
        <f t="shared" si="61"/>
        <v>0</v>
      </c>
      <c r="Q1319" s="102">
        <f>tbl_ConsultingCompanys!D1319</f>
        <v>0</v>
      </c>
      <c r="R1319" s="102">
        <f>tbl_ConsultingCompanys!C1319</f>
        <v>0</v>
      </c>
      <c r="S1319" s="102">
        <f t="shared" si="62"/>
        <v>0</v>
      </c>
    </row>
    <row r="1320" spans="11:19" x14ac:dyDescent="0.15">
      <c r="K1320" s="102">
        <f>tbl_ArchitectureOffices!D1320</f>
        <v>0</v>
      </c>
      <c r="L1320" s="102">
        <f>tbl_ArchitectureOffices!C1320</f>
        <v>0</v>
      </c>
      <c r="M1320" s="102">
        <f t="shared" si="60"/>
        <v>0</v>
      </c>
      <c r="N1320" s="102">
        <f>tbl_Companys!D1320</f>
        <v>0</v>
      </c>
      <c r="O1320" s="102">
        <f>tbl_Companys!C1320</f>
        <v>0</v>
      </c>
      <c r="P1320" s="102">
        <f t="shared" si="61"/>
        <v>0</v>
      </c>
      <c r="Q1320" s="102">
        <f>tbl_ConsultingCompanys!D1320</f>
        <v>0</v>
      </c>
      <c r="R1320" s="102">
        <f>tbl_ConsultingCompanys!C1320</f>
        <v>0</v>
      </c>
      <c r="S1320" s="102">
        <f t="shared" si="62"/>
        <v>0</v>
      </c>
    </row>
    <row r="1321" spans="11:19" x14ac:dyDescent="0.15">
      <c r="K1321" s="102">
        <f>tbl_ArchitectureOffices!D1321</f>
        <v>0</v>
      </c>
      <c r="L1321" s="102">
        <f>tbl_ArchitectureOffices!C1321</f>
        <v>0</v>
      </c>
      <c r="M1321" s="102">
        <f t="shared" si="60"/>
        <v>0</v>
      </c>
      <c r="N1321" s="102">
        <f>tbl_Companys!D1321</f>
        <v>0</v>
      </c>
      <c r="O1321" s="102">
        <f>tbl_Companys!C1321</f>
        <v>0</v>
      </c>
      <c r="P1321" s="102">
        <f t="shared" si="61"/>
        <v>0</v>
      </c>
      <c r="Q1321" s="102">
        <f>tbl_ConsultingCompanys!D1321</f>
        <v>0</v>
      </c>
      <c r="R1321" s="102">
        <f>tbl_ConsultingCompanys!C1321</f>
        <v>0</v>
      </c>
      <c r="S1321" s="102">
        <f t="shared" si="62"/>
        <v>0</v>
      </c>
    </row>
    <row r="1322" spans="11:19" x14ac:dyDescent="0.15">
      <c r="K1322" s="102">
        <f>tbl_ArchitectureOffices!D1322</f>
        <v>0</v>
      </c>
      <c r="L1322" s="102">
        <f>tbl_ArchitectureOffices!C1322</f>
        <v>0</v>
      </c>
      <c r="M1322" s="102">
        <f t="shared" si="60"/>
        <v>0</v>
      </c>
      <c r="N1322" s="102">
        <f>tbl_Companys!D1322</f>
        <v>0</v>
      </c>
      <c r="O1322" s="102">
        <f>tbl_Companys!C1322</f>
        <v>0</v>
      </c>
      <c r="P1322" s="102">
        <f t="shared" si="61"/>
        <v>0</v>
      </c>
      <c r="Q1322" s="102">
        <f>tbl_ConsultingCompanys!D1322</f>
        <v>0</v>
      </c>
      <c r="R1322" s="102">
        <f>tbl_ConsultingCompanys!C1322</f>
        <v>0</v>
      </c>
      <c r="S1322" s="102">
        <f t="shared" si="62"/>
        <v>0</v>
      </c>
    </row>
    <row r="1323" spans="11:19" x14ac:dyDescent="0.15">
      <c r="K1323" s="102">
        <f>tbl_ArchitectureOffices!D1323</f>
        <v>0</v>
      </c>
      <c r="L1323" s="102">
        <f>tbl_ArchitectureOffices!C1323</f>
        <v>0</v>
      </c>
      <c r="M1323" s="102">
        <f t="shared" si="60"/>
        <v>0</v>
      </c>
      <c r="N1323" s="102">
        <f>tbl_Companys!D1323</f>
        <v>0</v>
      </c>
      <c r="O1323" s="102">
        <f>tbl_Companys!C1323</f>
        <v>0</v>
      </c>
      <c r="P1323" s="102">
        <f t="shared" si="61"/>
        <v>0</v>
      </c>
      <c r="Q1323" s="102">
        <f>tbl_ConsultingCompanys!D1323</f>
        <v>0</v>
      </c>
      <c r="R1323" s="102">
        <f>tbl_ConsultingCompanys!C1323</f>
        <v>0</v>
      </c>
      <c r="S1323" s="102">
        <f t="shared" si="62"/>
        <v>0</v>
      </c>
    </row>
    <row r="1324" spans="11:19" x14ac:dyDescent="0.15">
      <c r="K1324" s="102">
        <f>tbl_ArchitectureOffices!D1324</f>
        <v>0</v>
      </c>
      <c r="L1324" s="102">
        <f>tbl_ArchitectureOffices!C1324</f>
        <v>0</v>
      </c>
      <c r="M1324" s="102">
        <f t="shared" si="60"/>
        <v>0</v>
      </c>
      <c r="N1324" s="102">
        <f>tbl_Companys!D1324</f>
        <v>0</v>
      </c>
      <c r="O1324" s="102">
        <f>tbl_Companys!C1324</f>
        <v>0</v>
      </c>
      <c r="P1324" s="102">
        <f t="shared" si="61"/>
        <v>0</v>
      </c>
      <c r="Q1324" s="102">
        <f>tbl_ConsultingCompanys!D1324</f>
        <v>0</v>
      </c>
      <c r="R1324" s="102">
        <f>tbl_ConsultingCompanys!C1324</f>
        <v>0</v>
      </c>
      <c r="S1324" s="102">
        <f t="shared" si="62"/>
        <v>0</v>
      </c>
    </row>
    <row r="1325" spans="11:19" x14ac:dyDescent="0.15">
      <c r="K1325" s="102">
        <f>tbl_ArchitectureOffices!D1325</f>
        <v>0</v>
      </c>
      <c r="L1325" s="102">
        <f>tbl_ArchitectureOffices!C1325</f>
        <v>0</v>
      </c>
      <c r="M1325" s="102">
        <f t="shared" si="60"/>
        <v>0</v>
      </c>
      <c r="N1325" s="102">
        <f>tbl_Companys!D1325</f>
        <v>0</v>
      </c>
      <c r="O1325" s="102">
        <f>tbl_Companys!C1325</f>
        <v>0</v>
      </c>
      <c r="P1325" s="102">
        <f t="shared" si="61"/>
        <v>0</v>
      </c>
      <c r="Q1325" s="102">
        <f>tbl_ConsultingCompanys!D1325</f>
        <v>0</v>
      </c>
      <c r="R1325" s="102">
        <f>tbl_ConsultingCompanys!C1325</f>
        <v>0</v>
      </c>
      <c r="S1325" s="102">
        <f t="shared" si="62"/>
        <v>0</v>
      </c>
    </row>
    <row r="1326" spans="11:19" x14ac:dyDescent="0.15">
      <c r="K1326" s="102">
        <f>tbl_ArchitectureOffices!D1326</f>
        <v>0</v>
      </c>
      <c r="L1326" s="102">
        <f>tbl_ArchitectureOffices!C1326</f>
        <v>0</v>
      </c>
      <c r="M1326" s="102">
        <f t="shared" si="60"/>
        <v>0</v>
      </c>
      <c r="N1326" s="102">
        <f>tbl_Companys!D1326</f>
        <v>0</v>
      </c>
      <c r="O1326" s="102">
        <f>tbl_Companys!C1326</f>
        <v>0</v>
      </c>
      <c r="P1326" s="102">
        <f t="shared" si="61"/>
        <v>0</v>
      </c>
      <c r="Q1326" s="102">
        <f>tbl_ConsultingCompanys!D1326</f>
        <v>0</v>
      </c>
      <c r="R1326" s="102">
        <f>tbl_ConsultingCompanys!C1326</f>
        <v>0</v>
      </c>
      <c r="S1326" s="102">
        <f t="shared" si="62"/>
        <v>0</v>
      </c>
    </row>
    <row r="1327" spans="11:19" x14ac:dyDescent="0.15">
      <c r="K1327" s="102">
        <f>tbl_ArchitectureOffices!D1327</f>
        <v>0</v>
      </c>
      <c r="L1327" s="102">
        <f>tbl_ArchitectureOffices!C1327</f>
        <v>0</v>
      </c>
      <c r="M1327" s="102">
        <f t="shared" si="60"/>
        <v>0</v>
      </c>
      <c r="N1327" s="102">
        <f>tbl_Companys!D1327</f>
        <v>0</v>
      </c>
      <c r="O1327" s="102">
        <f>tbl_Companys!C1327</f>
        <v>0</v>
      </c>
      <c r="P1327" s="102">
        <f t="shared" si="61"/>
        <v>0</v>
      </c>
      <c r="Q1327" s="102">
        <f>tbl_ConsultingCompanys!D1327</f>
        <v>0</v>
      </c>
      <c r="R1327" s="102">
        <f>tbl_ConsultingCompanys!C1327</f>
        <v>0</v>
      </c>
      <c r="S1327" s="102">
        <f t="shared" si="62"/>
        <v>0</v>
      </c>
    </row>
    <row r="1328" spans="11:19" x14ac:dyDescent="0.15">
      <c r="K1328" s="102">
        <f>tbl_ArchitectureOffices!D1328</f>
        <v>0</v>
      </c>
      <c r="L1328" s="102">
        <f>tbl_ArchitectureOffices!C1328</f>
        <v>0</v>
      </c>
      <c r="M1328" s="102">
        <f t="shared" si="60"/>
        <v>0</v>
      </c>
      <c r="N1328" s="102">
        <f>tbl_Companys!D1328</f>
        <v>0</v>
      </c>
      <c r="O1328" s="102">
        <f>tbl_Companys!C1328</f>
        <v>0</v>
      </c>
      <c r="P1328" s="102">
        <f t="shared" si="61"/>
        <v>0</v>
      </c>
      <c r="Q1328" s="102">
        <f>tbl_ConsultingCompanys!D1328</f>
        <v>0</v>
      </c>
      <c r="R1328" s="102">
        <f>tbl_ConsultingCompanys!C1328</f>
        <v>0</v>
      </c>
      <c r="S1328" s="102">
        <f t="shared" si="62"/>
        <v>0</v>
      </c>
    </row>
    <row r="1329" spans="11:19" x14ac:dyDescent="0.15">
      <c r="K1329" s="102">
        <f>tbl_ArchitectureOffices!D1329</f>
        <v>0</v>
      </c>
      <c r="L1329" s="102">
        <f>tbl_ArchitectureOffices!C1329</f>
        <v>0</v>
      </c>
      <c r="M1329" s="102">
        <f t="shared" si="60"/>
        <v>0</v>
      </c>
      <c r="N1329" s="102">
        <f>tbl_Companys!D1329</f>
        <v>0</v>
      </c>
      <c r="O1329" s="102">
        <f>tbl_Companys!C1329</f>
        <v>0</v>
      </c>
      <c r="P1329" s="102">
        <f t="shared" si="61"/>
        <v>0</v>
      </c>
      <c r="Q1329" s="102">
        <f>tbl_ConsultingCompanys!D1329</f>
        <v>0</v>
      </c>
      <c r="R1329" s="102">
        <f>tbl_ConsultingCompanys!C1329</f>
        <v>0</v>
      </c>
      <c r="S1329" s="102">
        <f t="shared" si="62"/>
        <v>0</v>
      </c>
    </row>
    <row r="1330" spans="11:19" x14ac:dyDescent="0.15">
      <c r="K1330" s="102">
        <f>tbl_ArchitectureOffices!D1330</f>
        <v>0</v>
      </c>
      <c r="L1330" s="102">
        <f>tbl_ArchitectureOffices!C1330</f>
        <v>0</v>
      </c>
      <c r="M1330" s="102">
        <f t="shared" si="60"/>
        <v>0</v>
      </c>
      <c r="N1330" s="102">
        <f>tbl_Companys!D1330</f>
        <v>0</v>
      </c>
      <c r="O1330" s="102">
        <f>tbl_Companys!C1330</f>
        <v>0</v>
      </c>
      <c r="P1330" s="102">
        <f t="shared" si="61"/>
        <v>0</v>
      </c>
      <c r="Q1330" s="102">
        <f>tbl_ConsultingCompanys!D1330</f>
        <v>0</v>
      </c>
      <c r="R1330" s="102">
        <f>tbl_ConsultingCompanys!C1330</f>
        <v>0</v>
      </c>
      <c r="S1330" s="102">
        <f t="shared" si="62"/>
        <v>0</v>
      </c>
    </row>
    <row r="1331" spans="11:19" x14ac:dyDescent="0.15">
      <c r="K1331" s="102">
        <f>tbl_ArchitectureOffices!D1331</f>
        <v>0</v>
      </c>
      <c r="L1331" s="102">
        <f>tbl_ArchitectureOffices!C1331</f>
        <v>0</v>
      </c>
      <c r="M1331" s="102">
        <f t="shared" si="60"/>
        <v>0</v>
      </c>
      <c r="N1331" s="102">
        <f>tbl_Companys!D1331</f>
        <v>0</v>
      </c>
      <c r="O1331" s="102">
        <f>tbl_Companys!C1331</f>
        <v>0</v>
      </c>
      <c r="P1331" s="102">
        <f t="shared" si="61"/>
        <v>0</v>
      </c>
      <c r="Q1331" s="102">
        <f>tbl_ConsultingCompanys!D1331</f>
        <v>0</v>
      </c>
      <c r="R1331" s="102">
        <f>tbl_ConsultingCompanys!C1331</f>
        <v>0</v>
      </c>
      <c r="S1331" s="102">
        <f t="shared" si="62"/>
        <v>0</v>
      </c>
    </row>
    <row r="1332" spans="11:19" x14ac:dyDescent="0.15">
      <c r="K1332" s="102">
        <f>tbl_ArchitectureOffices!D1332</f>
        <v>0</v>
      </c>
      <c r="L1332" s="102">
        <f>tbl_ArchitectureOffices!C1332</f>
        <v>0</v>
      </c>
      <c r="M1332" s="102">
        <f t="shared" si="60"/>
        <v>0</v>
      </c>
      <c r="N1332" s="102">
        <f>tbl_Companys!D1332</f>
        <v>0</v>
      </c>
      <c r="O1332" s="102">
        <f>tbl_Companys!C1332</f>
        <v>0</v>
      </c>
      <c r="P1332" s="102">
        <f t="shared" si="61"/>
        <v>0</v>
      </c>
      <c r="Q1332" s="102">
        <f>tbl_ConsultingCompanys!D1332</f>
        <v>0</v>
      </c>
      <c r="R1332" s="102">
        <f>tbl_ConsultingCompanys!C1332</f>
        <v>0</v>
      </c>
      <c r="S1332" s="102">
        <f t="shared" si="62"/>
        <v>0</v>
      </c>
    </row>
    <row r="1333" spans="11:19" x14ac:dyDescent="0.15">
      <c r="K1333" s="102">
        <f>tbl_ArchitectureOffices!D1333</f>
        <v>0</v>
      </c>
      <c r="L1333" s="102">
        <f>tbl_ArchitectureOffices!C1333</f>
        <v>0</v>
      </c>
      <c r="M1333" s="102">
        <f t="shared" si="60"/>
        <v>0</v>
      </c>
      <c r="N1333" s="102">
        <f>tbl_Companys!D1333</f>
        <v>0</v>
      </c>
      <c r="O1333" s="102">
        <f>tbl_Companys!C1333</f>
        <v>0</v>
      </c>
      <c r="P1333" s="102">
        <f t="shared" si="61"/>
        <v>0</v>
      </c>
      <c r="Q1333" s="102">
        <f>tbl_ConsultingCompanys!D1333</f>
        <v>0</v>
      </c>
      <c r="R1333" s="102">
        <f>tbl_ConsultingCompanys!C1333</f>
        <v>0</v>
      </c>
      <c r="S1333" s="102">
        <f t="shared" si="62"/>
        <v>0</v>
      </c>
    </row>
    <row r="1334" spans="11:19" x14ac:dyDescent="0.15">
      <c r="K1334" s="102">
        <f>tbl_ArchitectureOffices!D1334</f>
        <v>0</v>
      </c>
      <c r="L1334" s="102">
        <f>tbl_ArchitectureOffices!C1334</f>
        <v>0</v>
      </c>
      <c r="M1334" s="102">
        <f t="shared" ref="M1334:M1397" si="63">IFERROR(REPLACE(K1334,FIND(" ",K1334,LEN(K1334)),1,""),K1334)</f>
        <v>0</v>
      </c>
      <c r="N1334" s="102">
        <f>tbl_Companys!D1334</f>
        <v>0</v>
      </c>
      <c r="O1334" s="102">
        <f>tbl_Companys!C1334</f>
        <v>0</v>
      </c>
      <c r="P1334" s="102">
        <f t="shared" si="61"/>
        <v>0</v>
      </c>
      <c r="Q1334" s="102">
        <f>tbl_ConsultingCompanys!D1334</f>
        <v>0</v>
      </c>
      <c r="R1334" s="102">
        <f>tbl_ConsultingCompanys!C1334</f>
        <v>0</v>
      </c>
      <c r="S1334" s="102">
        <f t="shared" si="62"/>
        <v>0</v>
      </c>
    </row>
    <row r="1335" spans="11:19" x14ac:dyDescent="0.15">
      <c r="K1335" s="102">
        <f>tbl_ArchitectureOffices!D1335</f>
        <v>0</v>
      </c>
      <c r="L1335" s="102">
        <f>tbl_ArchitectureOffices!C1335</f>
        <v>0</v>
      </c>
      <c r="M1335" s="102">
        <f t="shared" si="63"/>
        <v>0</v>
      </c>
      <c r="N1335" s="102">
        <f>tbl_Companys!D1335</f>
        <v>0</v>
      </c>
      <c r="O1335" s="102">
        <f>tbl_Companys!C1335</f>
        <v>0</v>
      </c>
      <c r="P1335" s="102">
        <f t="shared" si="61"/>
        <v>0</v>
      </c>
      <c r="Q1335" s="102">
        <f>tbl_ConsultingCompanys!D1335</f>
        <v>0</v>
      </c>
      <c r="R1335" s="102">
        <f>tbl_ConsultingCompanys!C1335</f>
        <v>0</v>
      </c>
      <c r="S1335" s="102">
        <f t="shared" si="62"/>
        <v>0</v>
      </c>
    </row>
    <row r="1336" spans="11:19" x14ac:dyDescent="0.15">
      <c r="K1336" s="102">
        <f>tbl_ArchitectureOffices!D1336</f>
        <v>0</v>
      </c>
      <c r="L1336" s="102">
        <f>tbl_ArchitectureOffices!C1336</f>
        <v>0</v>
      </c>
      <c r="M1336" s="102">
        <f t="shared" si="63"/>
        <v>0</v>
      </c>
      <c r="N1336" s="102">
        <f>tbl_Companys!D1336</f>
        <v>0</v>
      </c>
      <c r="O1336" s="102">
        <f>tbl_Companys!C1336</f>
        <v>0</v>
      </c>
      <c r="P1336" s="102">
        <f t="shared" si="61"/>
        <v>0</v>
      </c>
      <c r="Q1336" s="102">
        <f>tbl_ConsultingCompanys!D1336</f>
        <v>0</v>
      </c>
      <c r="R1336" s="102">
        <f>tbl_ConsultingCompanys!C1336</f>
        <v>0</v>
      </c>
      <c r="S1336" s="102">
        <f t="shared" si="62"/>
        <v>0</v>
      </c>
    </row>
    <row r="1337" spans="11:19" x14ac:dyDescent="0.15">
      <c r="K1337" s="102">
        <f>tbl_ArchitectureOffices!D1337</f>
        <v>0</v>
      </c>
      <c r="L1337" s="102">
        <f>tbl_ArchitectureOffices!C1337</f>
        <v>0</v>
      </c>
      <c r="M1337" s="102">
        <f t="shared" si="63"/>
        <v>0</v>
      </c>
      <c r="N1337" s="102">
        <f>tbl_Companys!D1337</f>
        <v>0</v>
      </c>
      <c r="O1337" s="102">
        <f>tbl_Companys!C1337</f>
        <v>0</v>
      </c>
      <c r="P1337" s="102">
        <f t="shared" si="61"/>
        <v>0</v>
      </c>
      <c r="Q1337" s="102">
        <f>tbl_ConsultingCompanys!D1337</f>
        <v>0</v>
      </c>
      <c r="R1337" s="102">
        <f>tbl_ConsultingCompanys!C1337</f>
        <v>0</v>
      </c>
      <c r="S1337" s="102">
        <f t="shared" si="62"/>
        <v>0</v>
      </c>
    </row>
    <row r="1338" spans="11:19" x14ac:dyDescent="0.15">
      <c r="K1338" s="102">
        <f>tbl_ArchitectureOffices!D1338</f>
        <v>0</v>
      </c>
      <c r="L1338" s="102">
        <f>tbl_ArchitectureOffices!C1338</f>
        <v>0</v>
      </c>
      <c r="M1338" s="102">
        <f t="shared" si="63"/>
        <v>0</v>
      </c>
      <c r="N1338" s="102">
        <f>tbl_Companys!D1338</f>
        <v>0</v>
      </c>
      <c r="O1338" s="102">
        <f>tbl_Companys!C1338</f>
        <v>0</v>
      </c>
      <c r="P1338" s="102">
        <f t="shared" si="61"/>
        <v>0</v>
      </c>
      <c r="Q1338" s="102">
        <f>tbl_ConsultingCompanys!D1338</f>
        <v>0</v>
      </c>
      <c r="R1338" s="102">
        <f>tbl_ConsultingCompanys!C1338</f>
        <v>0</v>
      </c>
      <c r="S1338" s="102">
        <f t="shared" si="62"/>
        <v>0</v>
      </c>
    </row>
    <row r="1339" spans="11:19" x14ac:dyDescent="0.15">
      <c r="K1339" s="102">
        <f>tbl_ArchitectureOffices!D1339</f>
        <v>0</v>
      </c>
      <c r="L1339" s="102">
        <f>tbl_ArchitectureOffices!C1339</f>
        <v>0</v>
      </c>
      <c r="M1339" s="102">
        <f t="shared" si="63"/>
        <v>0</v>
      </c>
      <c r="N1339" s="102">
        <f>tbl_Companys!D1339</f>
        <v>0</v>
      </c>
      <c r="O1339" s="102">
        <f>tbl_Companys!C1339</f>
        <v>0</v>
      </c>
      <c r="P1339" s="102">
        <f t="shared" si="61"/>
        <v>0</v>
      </c>
      <c r="Q1339" s="102">
        <f>tbl_ConsultingCompanys!D1339</f>
        <v>0</v>
      </c>
      <c r="R1339" s="102">
        <f>tbl_ConsultingCompanys!C1339</f>
        <v>0</v>
      </c>
      <c r="S1339" s="102">
        <f t="shared" si="62"/>
        <v>0</v>
      </c>
    </row>
    <row r="1340" spans="11:19" x14ac:dyDescent="0.15">
      <c r="K1340" s="102">
        <f>tbl_ArchitectureOffices!D1340</f>
        <v>0</v>
      </c>
      <c r="L1340" s="102">
        <f>tbl_ArchitectureOffices!C1340</f>
        <v>0</v>
      </c>
      <c r="M1340" s="102">
        <f t="shared" si="63"/>
        <v>0</v>
      </c>
      <c r="N1340" s="102">
        <f>tbl_Companys!D1340</f>
        <v>0</v>
      </c>
      <c r="O1340" s="102">
        <f>tbl_Companys!C1340</f>
        <v>0</v>
      </c>
      <c r="P1340" s="102">
        <f t="shared" si="61"/>
        <v>0</v>
      </c>
      <c r="Q1340" s="102">
        <f>tbl_ConsultingCompanys!D1340</f>
        <v>0</v>
      </c>
      <c r="R1340" s="102">
        <f>tbl_ConsultingCompanys!C1340</f>
        <v>0</v>
      </c>
      <c r="S1340" s="102">
        <f t="shared" si="62"/>
        <v>0</v>
      </c>
    </row>
    <row r="1341" spans="11:19" x14ac:dyDescent="0.15">
      <c r="K1341" s="102">
        <f>tbl_ArchitectureOffices!D1341</f>
        <v>0</v>
      </c>
      <c r="L1341" s="102">
        <f>tbl_ArchitectureOffices!C1341</f>
        <v>0</v>
      </c>
      <c r="M1341" s="102">
        <f t="shared" si="63"/>
        <v>0</v>
      </c>
      <c r="N1341" s="102">
        <f>tbl_Companys!D1341</f>
        <v>0</v>
      </c>
      <c r="O1341" s="102">
        <f>tbl_Companys!C1341</f>
        <v>0</v>
      </c>
      <c r="P1341" s="102">
        <f t="shared" si="61"/>
        <v>0</v>
      </c>
      <c r="Q1341" s="102">
        <f>tbl_ConsultingCompanys!D1341</f>
        <v>0</v>
      </c>
      <c r="R1341" s="102">
        <f>tbl_ConsultingCompanys!C1341</f>
        <v>0</v>
      </c>
      <c r="S1341" s="102">
        <f t="shared" si="62"/>
        <v>0</v>
      </c>
    </row>
    <row r="1342" spans="11:19" x14ac:dyDescent="0.15">
      <c r="K1342" s="102">
        <f>tbl_ArchitectureOffices!D1342</f>
        <v>0</v>
      </c>
      <c r="L1342" s="102">
        <f>tbl_ArchitectureOffices!C1342</f>
        <v>0</v>
      </c>
      <c r="M1342" s="102">
        <f t="shared" si="63"/>
        <v>0</v>
      </c>
      <c r="N1342" s="102">
        <f>tbl_Companys!D1342</f>
        <v>0</v>
      </c>
      <c r="O1342" s="102">
        <f>tbl_Companys!C1342</f>
        <v>0</v>
      </c>
      <c r="P1342" s="102">
        <f t="shared" si="61"/>
        <v>0</v>
      </c>
      <c r="Q1342" s="102">
        <f>tbl_ConsultingCompanys!D1342</f>
        <v>0</v>
      </c>
      <c r="R1342" s="102">
        <f>tbl_ConsultingCompanys!C1342</f>
        <v>0</v>
      </c>
      <c r="S1342" s="102">
        <f t="shared" si="62"/>
        <v>0</v>
      </c>
    </row>
    <row r="1343" spans="11:19" x14ac:dyDescent="0.15">
      <c r="K1343" s="102">
        <f>tbl_ArchitectureOffices!D1343</f>
        <v>0</v>
      </c>
      <c r="L1343" s="102">
        <f>tbl_ArchitectureOffices!C1343</f>
        <v>0</v>
      </c>
      <c r="M1343" s="102">
        <f t="shared" si="63"/>
        <v>0</v>
      </c>
      <c r="N1343" s="102">
        <f>tbl_Companys!D1343</f>
        <v>0</v>
      </c>
      <c r="O1343" s="102">
        <f>tbl_Companys!C1343</f>
        <v>0</v>
      </c>
      <c r="P1343" s="102">
        <f t="shared" si="61"/>
        <v>0</v>
      </c>
      <c r="Q1343" s="102">
        <f>tbl_ConsultingCompanys!D1343</f>
        <v>0</v>
      </c>
      <c r="R1343" s="102">
        <f>tbl_ConsultingCompanys!C1343</f>
        <v>0</v>
      </c>
      <c r="S1343" s="102">
        <f t="shared" si="62"/>
        <v>0</v>
      </c>
    </row>
    <row r="1344" spans="11:19" x14ac:dyDescent="0.15">
      <c r="K1344" s="102">
        <f>tbl_ArchitectureOffices!D1344</f>
        <v>0</v>
      </c>
      <c r="L1344" s="102">
        <f>tbl_ArchitectureOffices!C1344</f>
        <v>0</v>
      </c>
      <c r="M1344" s="102">
        <f t="shared" si="63"/>
        <v>0</v>
      </c>
      <c r="N1344" s="102">
        <f>tbl_Companys!D1344</f>
        <v>0</v>
      </c>
      <c r="O1344" s="102">
        <f>tbl_Companys!C1344</f>
        <v>0</v>
      </c>
      <c r="P1344" s="102">
        <f t="shared" si="61"/>
        <v>0</v>
      </c>
      <c r="Q1344" s="102">
        <f>tbl_ConsultingCompanys!D1344</f>
        <v>0</v>
      </c>
      <c r="R1344" s="102">
        <f>tbl_ConsultingCompanys!C1344</f>
        <v>0</v>
      </c>
      <c r="S1344" s="102">
        <f t="shared" si="62"/>
        <v>0</v>
      </c>
    </row>
    <row r="1345" spans="11:19" x14ac:dyDescent="0.15">
      <c r="K1345" s="102">
        <f>tbl_ArchitectureOffices!D1345</f>
        <v>0</v>
      </c>
      <c r="L1345" s="102">
        <f>tbl_ArchitectureOffices!C1345</f>
        <v>0</v>
      </c>
      <c r="M1345" s="102">
        <f t="shared" si="63"/>
        <v>0</v>
      </c>
      <c r="N1345" s="102">
        <f>tbl_Companys!D1345</f>
        <v>0</v>
      </c>
      <c r="O1345" s="102">
        <f>tbl_Companys!C1345</f>
        <v>0</v>
      </c>
      <c r="P1345" s="102">
        <f t="shared" si="61"/>
        <v>0</v>
      </c>
      <c r="Q1345" s="102">
        <f>tbl_ConsultingCompanys!D1345</f>
        <v>0</v>
      </c>
      <c r="R1345" s="102">
        <f>tbl_ConsultingCompanys!C1345</f>
        <v>0</v>
      </c>
      <c r="S1345" s="102">
        <f t="shared" si="62"/>
        <v>0</v>
      </c>
    </row>
    <row r="1346" spans="11:19" x14ac:dyDescent="0.15">
      <c r="K1346" s="102">
        <f>tbl_ArchitectureOffices!D1346</f>
        <v>0</v>
      </c>
      <c r="L1346" s="102">
        <f>tbl_ArchitectureOffices!C1346</f>
        <v>0</v>
      </c>
      <c r="M1346" s="102">
        <f t="shared" si="63"/>
        <v>0</v>
      </c>
      <c r="N1346" s="102">
        <f>tbl_Companys!D1346</f>
        <v>0</v>
      </c>
      <c r="O1346" s="102">
        <f>tbl_Companys!C1346</f>
        <v>0</v>
      </c>
      <c r="P1346" s="102">
        <f t="shared" si="61"/>
        <v>0</v>
      </c>
      <c r="Q1346" s="102">
        <f>tbl_ConsultingCompanys!D1346</f>
        <v>0</v>
      </c>
      <c r="R1346" s="102">
        <f>tbl_ConsultingCompanys!C1346</f>
        <v>0</v>
      </c>
      <c r="S1346" s="102">
        <f t="shared" si="62"/>
        <v>0</v>
      </c>
    </row>
    <row r="1347" spans="11:19" x14ac:dyDescent="0.15">
      <c r="K1347" s="102">
        <f>tbl_ArchitectureOffices!D1347</f>
        <v>0</v>
      </c>
      <c r="L1347" s="102">
        <f>tbl_ArchitectureOffices!C1347</f>
        <v>0</v>
      </c>
      <c r="M1347" s="102">
        <f t="shared" si="63"/>
        <v>0</v>
      </c>
      <c r="N1347" s="102">
        <f>tbl_Companys!D1347</f>
        <v>0</v>
      </c>
      <c r="O1347" s="102">
        <f>tbl_Companys!C1347</f>
        <v>0</v>
      </c>
      <c r="P1347" s="102">
        <f t="shared" ref="P1347:P1410" si="64">IFERROR(REPLACE(N1347,FIND(" ",N1347,LEN(N1347)),1,""),N1347)</f>
        <v>0</v>
      </c>
      <c r="Q1347" s="102">
        <f>tbl_ConsultingCompanys!D1347</f>
        <v>0</v>
      </c>
      <c r="R1347" s="102">
        <f>tbl_ConsultingCompanys!C1347</f>
        <v>0</v>
      </c>
      <c r="S1347" s="102">
        <f t="shared" ref="S1347:S1410" si="65">IFERROR(REPLACE(Q1347,FIND(" ",Q1347,LEN(Q1347)),1,""),Q1347)</f>
        <v>0</v>
      </c>
    </row>
    <row r="1348" spans="11:19" x14ac:dyDescent="0.15">
      <c r="K1348" s="102">
        <f>tbl_ArchitectureOffices!D1348</f>
        <v>0</v>
      </c>
      <c r="L1348" s="102">
        <f>tbl_ArchitectureOffices!C1348</f>
        <v>0</v>
      </c>
      <c r="M1348" s="102">
        <f t="shared" si="63"/>
        <v>0</v>
      </c>
      <c r="N1348" s="102">
        <f>tbl_Companys!D1348</f>
        <v>0</v>
      </c>
      <c r="O1348" s="102">
        <f>tbl_Companys!C1348</f>
        <v>0</v>
      </c>
      <c r="P1348" s="102">
        <f t="shared" si="64"/>
        <v>0</v>
      </c>
      <c r="Q1348" s="102">
        <f>tbl_ConsultingCompanys!D1348</f>
        <v>0</v>
      </c>
      <c r="R1348" s="102">
        <f>tbl_ConsultingCompanys!C1348</f>
        <v>0</v>
      </c>
      <c r="S1348" s="102">
        <f t="shared" si="65"/>
        <v>0</v>
      </c>
    </row>
    <row r="1349" spans="11:19" x14ac:dyDescent="0.15">
      <c r="K1349" s="102">
        <f>tbl_ArchitectureOffices!D1349</f>
        <v>0</v>
      </c>
      <c r="L1349" s="102">
        <f>tbl_ArchitectureOffices!C1349</f>
        <v>0</v>
      </c>
      <c r="M1349" s="102">
        <f t="shared" si="63"/>
        <v>0</v>
      </c>
      <c r="N1349" s="102">
        <f>tbl_Companys!D1349</f>
        <v>0</v>
      </c>
      <c r="O1349" s="102">
        <f>tbl_Companys!C1349</f>
        <v>0</v>
      </c>
      <c r="P1349" s="102">
        <f t="shared" si="64"/>
        <v>0</v>
      </c>
      <c r="Q1349" s="102">
        <f>tbl_ConsultingCompanys!D1349</f>
        <v>0</v>
      </c>
      <c r="R1349" s="102">
        <f>tbl_ConsultingCompanys!C1349</f>
        <v>0</v>
      </c>
      <c r="S1349" s="102">
        <f t="shared" si="65"/>
        <v>0</v>
      </c>
    </row>
    <row r="1350" spans="11:19" x14ac:dyDescent="0.15">
      <c r="K1350" s="102">
        <f>tbl_ArchitectureOffices!D1350</f>
        <v>0</v>
      </c>
      <c r="L1350" s="102">
        <f>tbl_ArchitectureOffices!C1350</f>
        <v>0</v>
      </c>
      <c r="M1350" s="102">
        <f t="shared" si="63"/>
        <v>0</v>
      </c>
      <c r="N1350" s="102">
        <f>tbl_Companys!D1350</f>
        <v>0</v>
      </c>
      <c r="O1350" s="102">
        <f>tbl_Companys!C1350</f>
        <v>0</v>
      </c>
      <c r="P1350" s="102">
        <f t="shared" si="64"/>
        <v>0</v>
      </c>
      <c r="Q1350" s="102">
        <f>tbl_ConsultingCompanys!D1350</f>
        <v>0</v>
      </c>
      <c r="R1350" s="102">
        <f>tbl_ConsultingCompanys!C1350</f>
        <v>0</v>
      </c>
      <c r="S1350" s="102">
        <f t="shared" si="65"/>
        <v>0</v>
      </c>
    </row>
    <row r="1351" spans="11:19" x14ac:dyDescent="0.15">
      <c r="K1351" s="102">
        <f>tbl_ArchitectureOffices!D1351</f>
        <v>0</v>
      </c>
      <c r="L1351" s="102">
        <f>tbl_ArchitectureOffices!C1351</f>
        <v>0</v>
      </c>
      <c r="M1351" s="102">
        <f t="shared" si="63"/>
        <v>0</v>
      </c>
      <c r="N1351" s="102">
        <f>tbl_Companys!D1351</f>
        <v>0</v>
      </c>
      <c r="O1351" s="102">
        <f>tbl_Companys!C1351</f>
        <v>0</v>
      </c>
      <c r="P1351" s="102">
        <f t="shared" si="64"/>
        <v>0</v>
      </c>
      <c r="Q1351" s="102">
        <f>tbl_ConsultingCompanys!D1351</f>
        <v>0</v>
      </c>
      <c r="R1351" s="102">
        <f>tbl_ConsultingCompanys!C1351</f>
        <v>0</v>
      </c>
      <c r="S1351" s="102">
        <f t="shared" si="65"/>
        <v>0</v>
      </c>
    </row>
    <row r="1352" spans="11:19" x14ac:dyDescent="0.15">
      <c r="K1352" s="102">
        <f>tbl_ArchitectureOffices!D1352</f>
        <v>0</v>
      </c>
      <c r="L1352" s="102">
        <f>tbl_ArchitectureOffices!C1352</f>
        <v>0</v>
      </c>
      <c r="M1352" s="102">
        <f t="shared" si="63"/>
        <v>0</v>
      </c>
      <c r="N1352" s="102">
        <f>tbl_Companys!D1352</f>
        <v>0</v>
      </c>
      <c r="O1352" s="102">
        <f>tbl_Companys!C1352</f>
        <v>0</v>
      </c>
      <c r="P1352" s="102">
        <f t="shared" si="64"/>
        <v>0</v>
      </c>
      <c r="Q1352" s="102">
        <f>tbl_ConsultingCompanys!D1352</f>
        <v>0</v>
      </c>
      <c r="R1352" s="102">
        <f>tbl_ConsultingCompanys!C1352</f>
        <v>0</v>
      </c>
      <c r="S1352" s="102">
        <f t="shared" si="65"/>
        <v>0</v>
      </c>
    </row>
    <row r="1353" spans="11:19" x14ac:dyDescent="0.15">
      <c r="K1353" s="102">
        <f>tbl_ArchitectureOffices!D1353</f>
        <v>0</v>
      </c>
      <c r="L1353" s="102">
        <f>tbl_ArchitectureOffices!C1353</f>
        <v>0</v>
      </c>
      <c r="M1353" s="102">
        <f t="shared" si="63"/>
        <v>0</v>
      </c>
      <c r="N1353" s="102">
        <f>tbl_Companys!D1353</f>
        <v>0</v>
      </c>
      <c r="O1353" s="102">
        <f>tbl_Companys!C1353</f>
        <v>0</v>
      </c>
      <c r="P1353" s="102">
        <f t="shared" si="64"/>
        <v>0</v>
      </c>
      <c r="Q1353" s="102">
        <f>tbl_ConsultingCompanys!D1353</f>
        <v>0</v>
      </c>
      <c r="R1353" s="102">
        <f>tbl_ConsultingCompanys!C1353</f>
        <v>0</v>
      </c>
      <c r="S1353" s="102">
        <f t="shared" si="65"/>
        <v>0</v>
      </c>
    </row>
    <row r="1354" spans="11:19" x14ac:dyDescent="0.15">
      <c r="K1354" s="102">
        <f>tbl_ArchitectureOffices!D1354</f>
        <v>0</v>
      </c>
      <c r="L1354" s="102">
        <f>tbl_ArchitectureOffices!C1354</f>
        <v>0</v>
      </c>
      <c r="M1354" s="102">
        <f t="shared" si="63"/>
        <v>0</v>
      </c>
      <c r="N1354" s="102">
        <f>tbl_Companys!D1354</f>
        <v>0</v>
      </c>
      <c r="O1354" s="102">
        <f>tbl_Companys!C1354</f>
        <v>0</v>
      </c>
      <c r="P1354" s="102">
        <f t="shared" si="64"/>
        <v>0</v>
      </c>
      <c r="Q1354" s="102">
        <f>tbl_ConsultingCompanys!D1354</f>
        <v>0</v>
      </c>
      <c r="R1354" s="102">
        <f>tbl_ConsultingCompanys!C1354</f>
        <v>0</v>
      </c>
      <c r="S1354" s="102">
        <f t="shared" si="65"/>
        <v>0</v>
      </c>
    </row>
    <row r="1355" spans="11:19" x14ac:dyDescent="0.15">
      <c r="K1355" s="102">
        <f>tbl_ArchitectureOffices!D1355</f>
        <v>0</v>
      </c>
      <c r="L1355" s="102">
        <f>tbl_ArchitectureOffices!C1355</f>
        <v>0</v>
      </c>
      <c r="M1355" s="102">
        <f t="shared" si="63"/>
        <v>0</v>
      </c>
      <c r="N1355" s="102">
        <f>tbl_Companys!D1355</f>
        <v>0</v>
      </c>
      <c r="O1355" s="102">
        <f>tbl_Companys!C1355</f>
        <v>0</v>
      </c>
      <c r="P1355" s="102">
        <f t="shared" si="64"/>
        <v>0</v>
      </c>
      <c r="Q1355" s="102">
        <f>tbl_ConsultingCompanys!D1355</f>
        <v>0</v>
      </c>
      <c r="R1355" s="102">
        <f>tbl_ConsultingCompanys!C1355</f>
        <v>0</v>
      </c>
      <c r="S1355" s="102">
        <f t="shared" si="65"/>
        <v>0</v>
      </c>
    </row>
    <row r="1356" spans="11:19" x14ac:dyDescent="0.15">
      <c r="K1356" s="102">
        <f>tbl_ArchitectureOffices!D1356</f>
        <v>0</v>
      </c>
      <c r="L1356" s="102">
        <f>tbl_ArchitectureOffices!C1356</f>
        <v>0</v>
      </c>
      <c r="M1356" s="102">
        <f t="shared" si="63"/>
        <v>0</v>
      </c>
      <c r="N1356" s="102">
        <f>tbl_Companys!D1356</f>
        <v>0</v>
      </c>
      <c r="O1356" s="102">
        <f>tbl_Companys!C1356</f>
        <v>0</v>
      </c>
      <c r="P1356" s="102">
        <f t="shared" si="64"/>
        <v>0</v>
      </c>
      <c r="Q1356" s="102">
        <f>tbl_ConsultingCompanys!D1356</f>
        <v>0</v>
      </c>
      <c r="R1356" s="102">
        <f>tbl_ConsultingCompanys!C1356</f>
        <v>0</v>
      </c>
      <c r="S1356" s="102">
        <f t="shared" si="65"/>
        <v>0</v>
      </c>
    </row>
    <row r="1357" spans="11:19" x14ac:dyDescent="0.15">
      <c r="K1357" s="102">
        <f>tbl_ArchitectureOffices!D1357</f>
        <v>0</v>
      </c>
      <c r="L1357" s="102">
        <f>tbl_ArchitectureOffices!C1357</f>
        <v>0</v>
      </c>
      <c r="M1357" s="102">
        <f t="shared" si="63"/>
        <v>0</v>
      </c>
      <c r="N1357" s="102">
        <f>tbl_Companys!D1357</f>
        <v>0</v>
      </c>
      <c r="O1357" s="102">
        <f>tbl_Companys!C1357</f>
        <v>0</v>
      </c>
      <c r="P1357" s="102">
        <f t="shared" si="64"/>
        <v>0</v>
      </c>
      <c r="Q1357" s="102">
        <f>tbl_ConsultingCompanys!D1357</f>
        <v>0</v>
      </c>
      <c r="R1357" s="102">
        <f>tbl_ConsultingCompanys!C1357</f>
        <v>0</v>
      </c>
      <c r="S1357" s="102">
        <f t="shared" si="65"/>
        <v>0</v>
      </c>
    </row>
    <row r="1358" spans="11:19" x14ac:dyDescent="0.15">
      <c r="K1358" s="102">
        <f>tbl_ArchitectureOffices!D1358</f>
        <v>0</v>
      </c>
      <c r="L1358" s="102">
        <f>tbl_ArchitectureOffices!C1358</f>
        <v>0</v>
      </c>
      <c r="M1358" s="102">
        <f t="shared" si="63"/>
        <v>0</v>
      </c>
      <c r="N1358" s="102">
        <f>tbl_Companys!D1358</f>
        <v>0</v>
      </c>
      <c r="O1358" s="102">
        <f>tbl_Companys!C1358</f>
        <v>0</v>
      </c>
      <c r="P1358" s="102">
        <f t="shared" si="64"/>
        <v>0</v>
      </c>
      <c r="Q1358" s="102">
        <f>tbl_ConsultingCompanys!D1358</f>
        <v>0</v>
      </c>
      <c r="R1358" s="102">
        <f>tbl_ConsultingCompanys!C1358</f>
        <v>0</v>
      </c>
      <c r="S1358" s="102">
        <f t="shared" si="65"/>
        <v>0</v>
      </c>
    </row>
    <row r="1359" spans="11:19" x14ac:dyDescent="0.15">
      <c r="K1359" s="102">
        <f>tbl_ArchitectureOffices!D1359</f>
        <v>0</v>
      </c>
      <c r="L1359" s="102">
        <f>tbl_ArchitectureOffices!C1359</f>
        <v>0</v>
      </c>
      <c r="M1359" s="102">
        <f t="shared" si="63"/>
        <v>0</v>
      </c>
      <c r="N1359" s="102">
        <f>tbl_Companys!D1359</f>
        <v>0</v>
      </c>
      <c r="O1359" s="102">
        <f>tbl_Companys!C1359</f>
        <v>0</v>
      </c>
      <c r="P1359" s="102">
        <f t="shared" si="64"/>
        <v>0</v>
      </c>
      <c r="Q1359" s="102">
        <f>tbl_ConsultingCompanys!D1359</f>
        <v>0</v>
      </c>
      <c r="R1359" s="102">
        <f>tbl_ConsultingCompanys!C1359</f>
        <v>0</v>
      </c>
      <c r="S1359" s="102">
        <f t="shared" si="65"/>
        <v>0</v>
      </c>
    </row>
    <row r="1360" spans="11:19" x14ac:dyDescent="0.15">
      <c r="K1360" s="102">
        <f>tbl_ArchitectureOffices!D1360</f>
        <v>0</v>
      </c>
      <c r="L1360" s="102">
        <f>tbl_ArchitectureOffices!C1360</f>
        <v>0</v>
      </c>
      <c r="M1360" s="102">
        <f t="shared" si="63"/>
        <v>0</v>
      </c>
      <c r="N1360" s="102">
        <f>tbl_Companys!D1360</f>
        <v>0</v>
      </c>
      <c r="O1360" s="102">
        <f>tbl_Companys!C1360</f>
        <v>0</v>
      </c>
      <c r="P1360" s="102">
        <f t="shared" si="64"/>
        <v>0</v>
      </c>
      <c r="Q1360" s="102">
        <f>tbl_ConsultingCompanys!D1360</f>
        <v>0</v>
      </c>
      <c r="R1360" s="102">
        <f>tbl_ConsultingCompanys!C1360</f>
        <v>0</v>
      </c>
      <c r="S1360" s="102">
        <f t="shared" si="65"/>
        <v>0</v>
      </c>
    </row>
    <row r="1361" spans="11:19" x14ac:dyDescent="0.15">
      <c r="K1361" s="102">
        <f>tbl_ArchitectureOffices!D1361</f>
        <v>0</v>
      </c>
      <c r="L1361" s="102">
        <f>tbl_ArchitectureOffices!C1361</f>
        <v>0</v>
      </c>
      <c r="M1361" s="102">
        <f t="shared" si="63"/>
        <v>0</v>
      </c>
      <c r="N1361" s="102">
        <f>tbl_Companys!D1361</f>
        <v>0</v>
      </c>
      <c r="O1361" s="102">
        <f>tbl_Companys!C1361</f>
        <v>0</v>
      </c>
      <c r="P1361" s="102">
        <f t="shared" si="64"/>
        <v>0</v>
      </c>
      <c r="Q1361" s="102">
        <f>tbl_ConsultingCompanys!D1361</f>
        <v>0</v>
      </c>
      <c r="R1361" s="102">
        <f>tbl_ConsultingCompanys!C1361</f>
        <v>0</v>
      </c>
      <c r="S1361" s="102">
        <f t="shared" si="65"/>
        <v>0</v>
      </c>
    </row>
    <row r="1362" spans="11:19" x14ac:dyDescent="0.15">
      <c r="K1362" s="102">
        <f>tbl_ArchitectureOffices!D1362</f>
        <v>0</v>
      </c>
      <c r="L1362" s="102">
        <f>tbl_ArchitectureOffices!C1362</f>
        <v>0</v>
      </c>
      <c r="M1362" s="102">
        <f t="shared" si="63"/>
        <v>0</v>
      </c>
      <c r="N1362" s="102">
        <f>tbl_Companys!D1362</f>
        <v>0</v>
      </c>
      <c r="O1362" s="102">
        <f>tbl_Companys!C1362</f>
        <v>0</v>
      </c>
      <c r="P1362" s="102">
        <f t="shared" si="64"/>
        <v>0</v>
      </c>
      <c r="Q1362" s="102">
        <f>tbl_ConsultingCompanys!D1362</f>
        <v>0</v>
      </c>
      <c r="R1362" s="102">
        <f>tbl_ConsultingCompanys!C1362</f>
        <v>0</v>
      </c>
      <c r="S1362" s="102">
        <f t="shared" si="65"/>
        <v>0</v>
      </c>
    </row>
    <row r="1363" spans="11:19" x14ac:dyDescent="0.15">
      <c r="K1363" s="102">
        <f>tbl_ArchitectureOffices!D1363</f>
        <v>0</v>
      </c>
      <c r="L1363" s="102">
        <f>tbl_ArchitectureOffices!C1363</f>
        <v>0</v>
      </c>
      <c r="M1363" s="102">
        <f t="shared" si="63"/>
        <v>0</v>
      </c>
      <c r="N1363" s="102">
        <f>tbl_Companys!D1363</f>
        <v>0</v>
      </c>
      <c r="O1363" s="102">
        <f>tbl_Companys!C1363</f>
        <v>0</v>
      </c>
      <c r="P1363" s="102">
        <f t="shared" si="64"/>
        <v>0</v>
      </c>
      <c r="Q1363" s="102">
        <f>tbl_ConsultingCompanys!D1363</f>
        <v>0</v>
      </c>
      <c r="R1363" s="102">
        <f>tbl_ConsultingCompanys!C1363</f>
        <v>0</v>
      </c>
      <c r="S1363" s="102">
        <f t="shared" si="65"/>
        <v>0</v>
      </c>
    </row>
    <row r="1364" spans="11:19" x14ac:dyDescent="0.15">
      <c r="K1364" s="102">
        <f>tbl_ArchitectureOffices!D1364</f>
        <v>0</v>
      </c>
      <c r="L1364" s="102">
        <f>tbl_ArchitectureOffices!C1364</f>
        <v>0</v>
      </c>
      <c r="M1364" s="102">
        <f t="shared" si="63"/>
        <v>0</v>
      </c>
      <c r="N1364" s="102">
        <f>tbl_Companys!D1364</f>
        <v>0</v>
      </c>
      <c r="O1364" s="102">
        <f>tbl_Companys!C1364</f>
        <v>0</v>
      </c>
      <c r="P1364" s="102">
        <f t="shared" si="64"/>
        <v>0</v>
      </c>
      <c r="Q1364" s="102">
        <f>tbl_ConsultingCompanys!D1364</f>
        <v>0</v>
      </c>
      <c r="R1364" s="102">
        <f>tbl_ConsultingCompanys!C1364</f>
        <v>0</v>
      </c>
      <c r="S1364" s="102">
        <f t="shared" si="65"/>
        <v>0</v>
      </c>
    </row>
    <row r="1365" spans="11:19" x14ac:dyDescent="0.15">
      <c r="K1365" s="102">
        <f>tbl_ArchitectureOffices!D1365</f>
        <v>0</v>
      </c>
      <c r="L1365" s="102">
        <f>tbl_ArchitectureOffices!C1365</f>
        <v>0</v>
      </c>
      <c r="M1365" s="102">
        <f t="shared" si="63"/>
        <v>0</v>
      </c>
      <c r="N1365" s="102">
        <f>tbl_Companys!D1365</f>
        <v>0</v>
      </c>
      <c r="O1365" s="102">
        <f>tbl_Companys!C1365</f>
        <v>0</v>
      </c>
      <c r="P1365" s="102">
        <f t="shared" si="64"/>
        <v>0</v>
      </c>
      <c r="Q1365" s="102">
        <f>tbl_ConsultingCompanys!D1365</f>
        <v>0</v>
      </c>
      <c r="R1365" s="102">
        <f>tbl_ConsultingCompanys!C1365</f>
        <v>0</v>
      </c>
      <c r="S1365" s="102">
        <f t="shared" si="65"/>
        <v>0</v>
      </c>
    </row>
    <row r="1366" spans="11:19" x14ac:dyDescent="0.15">
      <c r="K1366" s="102">
        <f>tbl_ArchitectureOffices!D1366</f>
        <v>0</v>
      </c>
      <c r="L1366" s="102">
        <f>tbl_ArchitectureOffices!C1366</f>
        <v>0</v>
      </c>
      <c r="M1366" s="102">
        <f t="shared" si="63"/>
        <v>0</v>
      </c>
      <c r="N1366" s="102">
        <f>tbl_Companys!D1366</f>
        <v>0</v>
      </c>
      <c r="O1366" s="102">
        <f>tbl_Companys!C1366</f>
        <v>0</v>
      </c>
      <c r="P1366" s="102">
        <f t="shared" si="64"/>
        <v>0</v>
      </c>
      <c r="Q1366" s="102">
        <f>tbl_ConsultingCompanys!D1366</f>
        <v>0</v>
      </c>
      <c r="R1366" s="102">
        <f>tbl_ConsultingCompanys!C1366</f>
        <v>0</v>
      </c>
      <c r="S1366" s="102">
        <f t="shared" si="65"/>
        <v>0</v>
      </c>
    </row>
    <row r="1367" spans="11:19" x14ac:dyDescent="0.15">
      <c r="K1367" s="102">
        <f>tbl_ArchitectureOffices!D1367</f>
        <v>0</v>
      </c>
      <c r="L1367" s="102">
        <f>tbl_ArchitectureOffices!C1367</f>
        <v>0</v>
      </c>
      <c r="M1367" s="102">
        <f t="shared" si="63"/>
        <v>0</v>
      </c>
      <c r="N1367" s="102">
        <f>tbl_Companys!D1367</f>
        <v>0</v>
      </c>
      <c r="O1367" s="102">
        <f>tbl_Companys!C1367</f>
        <v>0</v>
      </c>
      <c r="P1367" s="102">
        <f t="shared" si="64"/>
        <v>0</v>
      </c>
      <c r="Q1367" s="102">
        <f>tbl_ConsultingCompanys!D1367</f>
        <v>0</v>
      </c>
      <c r="R1367" s="102">
        <f>tbl_ConsultingCompanys!C1367</f>
        <v>0</v>
      </c>
      <c r="S1367" s="102">
        <f t="shared" si="65"/>
        <v>0</v>
      </c>
    </row>
    <row r="1368" spans="11:19" x14ac:dyDescent="0.15">
      <c r="K1368" s="102">
        <f>tbl_ArchitectureOffices!D1368</f>
        <v>0</v>
      </c>
      <c r="L1368" s="102">
        <f>tbl_ArchitectureOffices!C1368</f>
        <v>0</v>
      </c>
      <c r="M1368" s="102">
        <f t="shared" si="63"/>
        <v>0</v>
      </c>
      <c r="N1368" s="102">
        <f>tbl_Companys!D1368</f>
        <v>0</v>
      </c>
      <c r="O1368" s="102">
        <f>tbl_Companys!C1368</f>
        <v>0</v>
      </c>
      <c r="P1368" s="102">
        <f t="shared" si="64"/>
        <v>0</v>
      </c>
      <c r="Q1368" s="102">
        <f>tbl_ConsultingCompanys!D1368</f>
        <v>0</v>
      </c>
      <c r="R1368" s="102">
        <f>tbl_ConsultingCompanys!C1368</f>
        <v>0</v>
      </c>
      <c r="S1368" s="102">
        <f t="shared" si="65"/>
        <v>0</v>
      </c>
    </row>
    <row r="1369" spans="11:19" x14ac:dyDescent="0.15">
      <c r="K1369" s="102">
        <f>tbl_ArchitectureOffices!D1369</f>
        <v>0</v>
      </c>
      <c r="L1369" s="102">
        <f>tbl_ArchitectureOffices!C1369</f>
        <v>0</v>
      </c>
      <c r="M1369" s="102">
        <f t="shared" si="63"/>
        <v>0</v>
      </c>
      <c r="N1369" s="102">
        <f>tbl_Companys!D1369</f>
        <v>0</v>
      </c>
      <c r="O1369" s="102">
        <f>tbl_Companys!C1369</f>
        <v>0</v>
      </c>
      <c r="P1369" s="102">
        <f t="shared" si="64"/>
        <v>0</v>
      </c>
      <c r="Q1369" s="102">
        <f>tbl_ConsultingCompanys!D1369</f>
        <v>0</v>
      </c>
      <c r="R1369" s="102">
        <f>tbl_ConsultingCompanys!C1369</f>
        <v>0</v>
      </c>
      <c r="S1369" s="102">
        <f t="shared" si="65"/>
        <v>0</v>
      </c>
    </row>
    <row r="1370" spans="11:19" x14ac:dyDescent="0.15">
      <c r="K1370" s="102">
        <f>tbl_ArchitectureOffices!D1370</f>
        <v>0</v>
      </c>
      <c r="L1370" s="102">
        <f>tbl_ArchitectureOffices!C1370</f>
        <v>0</v>
      </c>
      <c r="M1370" s="102">
        <f t="shared" si="63"/>
        <v>0</v>
      </c>
      <c r="N1370" s="102">
        <f>tbl_Companys!D1370</f>
        <v>0</v>
      </c>
      <c r="O1370" s="102">
        <f>tbl_Companys!C1370</f>
        <v>0</v>
      </c>
      <c r="P1370" s="102">
        <f t="shared" si="64"/>
        <v>0</v>
      </c>
      <c r="Q1370" s="102">
        <f>tbl_ConsultingCompanys!D1370</f>
        <v>0</v>
      </c>
      <c r="R1370" s="102">
        <f>tbl_ConsultingCompanys!C1370</f>
        <v>0</v>
      </c>
      <c r="S1370" s="102">
        <f t="shared" si="65"/>
        <v>0</v>
      </c>
    </row>
    <row r="1371" spans="11:19" x14ac:dyDescent="0.15">
      <c r="K1371" s="102">
        <f>tbl_ArchitectureOffices!D1371</f>
        <v>0</v>
      </c>
      <c r="L1371" s="102">
        <f>tbl_ArchitectureOffices!C1371</f>
        <v>0</v>
      </c>
      <c r="M1371" s="102">
        <f t="shared" si="63"/>
        <v>0</v>
      </c>
      <c r="N1371" s="102">
        <f>tbl_Companys!D1371</f>
        <v>0</v>
      </c>
      <c r="O1371" s="102">
        <f>tbl_Companys!C1371</f>
        <v>0</v>
      </c>
      <c r="P1371" s="102">
        <f t="shared" si="64"/>
        <v>0</v>
      </c>
      <c r="Q1371" s="102">
        <f>tbl_ConsultingCompanys!D1371</f>
        <v>0</v>
      </c>
      <c r="R1371" s="102">
        <f>tbl_ConsultingCompanys!C1371</f>
        <v>0</v>
      </c>
      <c r="S1371" s="102">
        <f t="shared" si="65"/>
        <v>0</v>
      </c>
    </row>
    <row r="1372" spans="11:19" x14ac:dyDescent="0.15">
      <c r="K1372" s="102">
        <f>tbl_ArchitectureOffices!D1372</f>
        <v>0</v>
      </c>
      <c r="L1372" s="102">
        <f>tbl_ArchitectureOffices!C1372</f>
        <v>0</v>
      </c>
      <c r="M1372" s="102">
        <f t="shared" si="63"/>
        <v>0</v>
      </c>
      <c r="N1372" s="102">
        <f>tbl_Companys!D1372</f>
        <v>0</v>
      </c>
      <c r="O1372" s="102">
        <f>tbl_Companys!C1372</f>
        <v>0</v>
      </c>
      <c r="P1372" s="102">
        <f t="shared" si="64"/>
        <v>0</v>
      </c>
      <c r="Q1372" s="102">
        <f>tbl_ConsultingCompanys!D1372</f>
        <v>0</v>
      </c>
      <c r="R1372" s="102">
        <f>tbl_ConsultingCompanys!C1372</f>
        <v>0</v>
      </c>
      <c r="S1372" s="102">
        <f t="shared" si="65"/>
        <v>0</v>
      </c>
    </row>
    <row r="1373" spans="11:19" x14ac:dyDescent="0.15">
      <c r="K1373" s="102">
        <f>tbl_ArchitectureOffices!D1373</f>
        <v>0</v>
      </c>
      <c r="L1373" s="102">
        <f>tbl_ArchitectureOffices!C1373</f>
        <v>0</v>
      </c>
      <c r="M1373" s="102">
        <f t="shared" si="63"/>
        <v>0</v>
      </c>
      <c r="N1373" s="102">
        <f>tbl_Companys!D1373</f>
        <v>0</v>
      </c>
      <c r="O1373" s="102">
        <f>tbl_Companys!C1373</f>
        <v>0</v>
      </c>
      <c r="P1373" s="102">
        <f t="shared" si="64"/>
        <v>0</v>
      </c>
      <c r="Q1373" s="102">
        <f>tbl_ConsultingCompanys!D1373</f>
        <v>0</v>
      </c>
      <c r="R1373" s="102">
        <f>tbl_ConsultingCompanys!C1373</f>
        <v>0</v>
      </c>
      <c r="S1373" s="102">
        <f t="shared" si="65"/>
        <v>0</v>
      </c>
    </row>
    <row r="1374" spans="11:19" x14ac:dyDescent="0.15">
      <c r="K1374" s="102">
        <f>tbl_ArchitectureOffices!D1374</f>
        <v>0</v>
      </c>
      <c r="L1374" s="102">
        <f>tbl_ArchitectureOffices!C1374</f>
        <v>0</v>
      </c>
      <c r="M1374" s="102">
        <f t="shared" si="63"/>
        <v>0</v>
      </c>
      <c r="N1374" s="102">
        <f>tbl_Companys!D1374</f>
        <v>0</v>
      </c>
      <c r="O1374" s="102">
        <f>tbl_Companys!C1374</f>
        <v>0</v>
      </c>
      <c r="P1374" s="102">
        <f t="shared" si="64"/>
        <v>0</v>
      </c>
      <c r="Q1374" s="102">
        <f>tbl_ConsultingCompanys!D1374</f>
        <v>0</v>
      </c>
      <c r="R1374" s="102">
        <f>tbl_ConsultingCompanys!C1374</f>
        <v>0</v>
      </c>
      <c r="S1374" s="102">
        <f t="shared" si="65"/>
        <v>0</v>
      </c>
    </row>
    <row r="1375" spans="11:19" x14ac:dyDescent="0.15">
      <c r="K1375" s="102">
        <f>tbl_ArchitectureOffices!D1375</f>
        <v>0</v>
      </c>
      <c r="L1375" s="102">
        <f>tbl_ArchitectureOffices!C1375</f>
        <v>0</v>
      </c>
      <c r="M1375" s="102">
        <f t="shared" si="63"/>
        <v>0</v>
      </c>
      <c r="N1375" s="102">
        <f>tbl_Companys!D1375</f>
        <v>0</v>
      </c>
      <c r="O1375" s="102">
        <f>tbl_Companys!C1375</f>
        <v>0</v>
      </c>
      <c r="P1375" s="102">
        <f t="shared" si="64"/>
        <v>0</v>
      </c>
      <c r="Q1375" s="102">
        <f>tbl_ConsultingCompanys!D1375</f>
        <v>0</v>
      </c>
      <c r="R1375" s="102">
        <f>tbl_ConsultingCompanys!C1375</f>
        <v>0</v>
      </c>
      <c r="S1375" s="102">
        <f t="shared" si="65"/>
        <v>0</v>
      </c>
    </row>
    <row r="1376" spans="11:19" x14ac:dyDescent="0.15">
      <c r="K1376" s="102">
        <f>tbl_ArchitectureOffices!D1376</f>
        <v>0</v>
      </c>
      <c r="L1376" s="102">
        <f>tbl_ArchitectureOffices!C1376</f>
        <v>0</v>
      </c>
      <c r="M1376" s="102">
        <f t="shared" si="63"/>
        <v>0</v>
      </c>
      <c r="N1376" s="102">
        <f>tbl_Companys!D1376</f>
        <v>0</v>
      </c>
      <c r="O1376" s="102">
        <f>tbl_Companys!C1376</f>
        <v>0</v>
      </c>
      <c r="P1376" s="102">
        <f t="shared" si="64"/>
        <v>0</v>
      </c>
      <c r="Q1376" s="102">
        <f>tbl_ConsultingCompanys!D1376</f>
        <v>0</v>
      </c>
      <c r="R1376" s="102">
        <f>tbl_ConsultingCompanys!C1376</f>
        <v>0</v>
      </c>
      <c r="S1376" s="102">
        <f t="shared" si="65"/>
        <v>0</v>
      </c>
    </row>
    <row r="1377" spans="11:19" x14ac:dyDescent="0.15">
      <c r="K1377" s="102">
        <f>tbl_ArchitectureOffices!D1377</f>
        <v>0</v>
      </c>
      <c r="L1377" s="102">
        <f>tbl_ArchitectureOffices!C1377</f>
        <v>0</v>
      </c>
      <c r="M1377" s="102">
        <f t="shared" si="63"/>
        <v>0</v>
      </c>
      <c r="N1377" s="102">
        <f>tbl_Companys!D1377</f>
        <v>0</v>
      </c>
      <c r="O1377" s="102">
        <f>tbl_Companys!C1377</f>
        <v>0</v>
      </c>
      <c r="P1377" s="102">
        <f t="shared" si="64"/>
        <v>0</v>
      </c>
      <c r="Q1377" s="102">
        <f>tbl_ConsultingCompanys!D1377</f>
        <v>0</v>
      </c>
      <c r="R1377" s="102">
        <f>tbl_ConsultingCompanys!C1377</f>
        <v>0</v>
      </c>
      <c r="S1377" s="102">
        <f t="shared" si="65"/>
        <v>0</v>
      </c>
    </row>
    <row r="1378" spans="11:19" x14ac:dyDescent="0.15">
      <c r="K1378" s="102">
        <f>tbl_ArchitectureOffices!D1378</f>
        <v>0</v>
      </c>
      <c r="L1378" s="102">
        <f>tbl_ArchitectureOffices!C1378</f>
        <v>0</v>
      </c>
      <c r="M1378" s="102">
        <f t="shared" si="63"/>
        <v>0</v>
      </c>
      <c r="N1378" s="102">
        <f>tbl_Companys!D1378</f>
        <v>0</v>
      </c>
      <c r="O1378" s="102">
        <f>tbl_Companys!C1378</f>
        <v>0</v>
      </c>
      <c r="P1378" s="102">
        <f t="shared" si="64"/>
        <v>0</v>
      </c>
      <c r="Q1378" s="102">
        <f>tbl_ConsultingCompanys!D1378</f>
        <v>0</v>
      </c>
      <c r="R1378" s="102">
        <f>tbl_ConsultingCompanys!C1378</f>
        <v>0</v>
      </c>
      <c r="S1378" s="102">
        <f t="shared" si="65"/>
        <v>0</v>
      </c>
    </row>
    <row r="1379" spans="11:19" x14ac:dyDescent="0.15">
      <c r="K1379" s="102">
        <f>tbl_ArchitectureOffices!D1379</f>
        <v>0</v>
      </c>
      <c r="L1379" s="102">
        <f>tbl_ArchitectureOffices!C1379</f>
        <v>0</v>
      </c>
      <c r="M1379" s="102">
        <f t="shared" si="63"/>
        <v>0</v>
      </c>
      <c r="N1379" s="102">
        <f>tbl_Companys!D1379</f>
        <v>0</v>
      </c>
      <c r="O1379" s="102">
        <f>tbl_Companys!C1379</f>
        <v>0</v>
      </c>
      <c r="P1379" s="102">
        <f t="shared" si="64"/>
        <v>0</v>
      </c>
      <c r="Q1379" s="102">
        <f>tbl_ConsultingCompanys!D1379</f>
        <v>0</v>
      </c>
      <c r="R1379" s="102">
        <f>tbl_ConsultingCompanys!C1379</f>
        <v>0</v>
      </c>
      <c r="S1379" s="102">
        <f t="shared" si="65"/>
        <v>0</v>
      </c>
    </row>
    <row r="1380" spans="11:19" x14ac:dyDescent="0.15">
      <c r="K1380" s="102">
        <f>tbl_ArchitectureOffices!D1380</f>
        <v>0</v>
      </c>
      <c r="L1380" s="102">
        <f>tbl_ArchitectureOffices!C1380</f>
        <v>0</v>
      </c>
      <c r="M1380" s="102">
        <f t="shared" si="63"/>
        <v>0</v>
      </c>
      <c r="N1380" s="102">
        <f>tbl_Companys!D1380</f>
        <v>0</v>
      </c>
      <c r="O1380" s="102">
        <f>tbl_Companys!C1380</f>
        <v>0</v>
      </c>
      <c r="P1380" s="102">
        <f t="shared" si="64"/>
        <v>0</v>
      </c>
      <c r="Q1380" s="102">
        <f>tbl_ConsultingCompanys!D1380</f>
        <v>0</v>
      </c>
      <c r="R1380" s="102">
        <f>tbl_ConsultingCompanys!C1380</f>
        <v>0</v>
      </c>
      <c r="S1380" s="102">
        <f t="shared" si="65"/>
        <v>0</v>
      </c>
    </row>
    <row r="1381" spans="11:19" x14ac:dyDescent="0.15">
      <c r="K1381" s="102">
        <f>tbl_ArchitectureOffices!D1381</f>
        <v>0</v>
      </c>
      <c r="L1381" s="102">
        <f>tbl_ArchitectureOffices!C1381</f>
        <v>0</v>
      </c>
      <c r="M1381" s="102">
        <f t="shared" si="63"/>
        <v>0</v>
      </c>
      <c r="N1381" s="102">
        <f>tbl_Companys!D1381</f>
        <v>0</v>
      </c>
      <c r="O1381" s="102">
        <f>tbl_Companys!C1381</f>
        <v>0</v>
      </c>
      <c r="P1381" s="102">
        <f t="shared" si="64"/>
        <v>0</v>
      </c>
      <c r="Q1381" s="102">
        <f>tbl_ConsultingCompanys!D1381</f>
        <v>0</v>
      </c>
      <c r="R1381" s="102">
        <f>tbl_ConsultingCompanys!C1381</f>
        <v>0</v>
      </c>
      <c r="S1381" s="102">
        <f t="shared" si="65"/>
        <v>0</v>
      </c>
    </row>
    <row r="1382" spans="11:19" x14ac:dyDescent="0.15">
      <c r="K1382" s="102">
        <f>tbl_ArchitectureOffices!D1382</f>
        <v>0</v>
      </c>
      <c r="L1382" s="102">
        <f>tbl_ArchitectureOffices!C1382</f>
        <v>0</v>
      </c>
      <c r="M1382" s="102">
        <f t="shared" si="63"/>
        <v>0</v>
      </c>
      <c r="N1382" s="102">
        <f>tbl_Companys!D1382</f>
        <v>0</v>
      </c>
      <c r="O1382" s="102">
        <f>tbl_Companys!C1382</f>
        <v>0</v>
      </c>
      <c r="P1382" s="102">
        <f t="shared" si="64"/>
        <v>0</v>
      </c>
      <c r="Q1382" s="102">
        <f>tbl_ConsultingCompanys!D1382</f>
        <v>0</v>
      </c>
      <c r="R1382" s="102">
        <f>tbl_ConsultingCompanys!C1382</f>
        <v>0</v>
      </c>
      <c r="S1382" s="102">
        <f t="shared" si="65"/>
        <v>0</v>
      </c>
    </row>
    <row r="1383" spans="11:19" x14ac:dyDescent="0.15">
      <c r="K1383" s="102">
        <f>tbl_ArchitectureOffices!D1383</f>
        <v>0</v>
      </c>
      <c r="L1383" s="102">
        <f>tbl_ArchitectureOffices!C1383</f>
        <v>0</v>
      </c>
      <c r="M1383" s="102">
        <f t="shared" si="63"/>
        <v>0</v>
      </c>
      <c r="N1383" s="102">
        <f>tbl_Companys!D1383</f>
        <v>0</v>
      </c>
      <c r="O1383" s="102">
        <f>tbl_Companys!C1383</f>
        <v>0</v>
      </c>
      <c r="P1383" s="102">
        <f t="shared" si="64"/>
        <v>0</v>
      </c>
      <c r="Q1383" s="102">
        <f>tbl_ConsultingCompanys!D1383</f>
        <v>0</v>
      </c>
      <c r="R1383" s="102">
        <f>tbl_ConsultingCompanys!C1383</f>
        <v>0</v>
      </c>
      <c r="S1383" s="102">
        <f t="shared" si="65"/>
        <v>0</v>
      </c>
    </row>
    <row r="1384" spans="11:19" x14ac:dyDescent="0.15">
      <c r="K1384" s="102">
        <f>tbl_ArchitectureOffices!D1384</f>
        <v>0</v>
      </c>
      <c r="L1384" s="102">
        <f>tbl_ArchitectureOffices!C1384</f>
        <v>0</v>
      </c>
      <c r="M1384" s="102">
        <f t="shared" si="63"/>
        <v>0</v>
      </c>
      <c r="N1384" s="102">
        <f>tbl_Companys!D1384</f>
        <v>0</v>
      </c>
      <c r="O1384" s="102">
        <f>tbl_Companys!C1384</f>
        <v>0</v>
      </c>
      <c r="P1384" s="102">
        <f t="shared" si="64"/>
        <v>0</v>
      </c>
      <c r="Q1384" s="102">
        <f>tbl_ConsultingCompanys!D1384</f>
        <v>0</v>
      </c>
      <c r="R1384" s="102">
        <f>tbl_ConsultingCompanys!C1384</f>
        <v>0</v>
      </c>
      <c r="S1384" s="102">
        <f t="shared" si="65"/>
        <v>0</v>
      </c>
    </row>
    <row r="1385" spans="11:19" x14ac:dyDescent="0.15">
      <c r="K1385" s="102">
        <f>tbl_ArchitectureOffices!D1385</f>
        <v>0</v>
      </c>
      <c r="L1385" s="102">
        <f>tbl_ArchitectureOffices!C1385</f>
        <v>0</v>
      </c>
      <c r="M1385" s="102">
        <f t="shared" si="63"/>
        <v>0</v>
      </c>
      <c r="N1385" s="102">
        <f>tbl_Companys!D1385</f>
        <v>0</v>
      </c>
      <c r="O1385" s="102">
        <f>tbl_Companys!C1385</f>
        <v>0</v>
      </c>
      <c r="P1385" s="102">
        <f t="shared" si="64"/>
        <v>0</v>
      </c>
      <c r="Q1385" s="102">
        <f>tbl_ConsultingCompanys!D1385</f>
        <v>0</v>
      </c>
      <c r="R1385" s="102">
        <f>tbl_ConsultingCompanys!C1385</f>
        <v>0</v>
      </c>
      <c r="S1385" s="102">
        <f t="shared" si="65"/>
        <v>0</v>
      </c>
    </row>
    <row r="1386" spans="11:19" x14ac:dyDescent="0.15">
      <c r="K1386" s="102">
        <f>tbl_ArchitectureOffices!D1386</f>
        <v>0</v>
      </c>
      <c r="L1386" s="102">
        <f>tbl_ArchitectureOffices!C1386</f>
        <v>0</v>
      </c>
      <c r="M1386" s="102">
        <f t="shared" si="63"/>
        <v>0</v>
      </c>
      <c r="N1386" s="102">
        <f>tbl_Companys!D1386</f>
        <v>0</v>
      </c>
      <c r="O1386" s="102">
        <f>tbl_Companys!C1386</f>
        <v>0</v>
      </c>
      <c r="P1386" s="102">
        <f t="shared" si="64"/>
        <v>0</v>
      </c>
      <c r="Q1386" s="102">
        <f>tbl_ConsultingCompanys!D1386</f>
        <v>0</v>
      </c>
      <c r="R1386" s="102">
        <f>tbl_ConsultingCompanys!C1386</f>
        <v>0</v>
      </c>
      <c r="S1386" s="102">
        <f t="shared" si="65"/>
        <v>0</v>
      </c>
    </row>
    <row r="1387" spans="11:19" x14ac:dyDescent="0.15">
      <c r="K1387" s="102">
        <f>tbl_ArchitectureOffices!D1387</f>
        <v>0</v>
      </c>
      <c r="L1387" s="102">
        <f>tbl_ArchitectureOffices!C1387</f>
        <v>0</v>
      </c>
      <c r="M1387" s="102">
        <f t="shared" si="63"/>
        <v>0</v>
      </c>
      <c r="N1387" s="102">
        <f>tbl_Companys!D1387</f>
        <v>0</v>
      </c>
      <c r="O1387" s="102">
        <f>tbl_Companys!C1387</f>
        <v>0</v>
      </c>
      <c r="P1387" s="102">
        <f t="shared" si="64"/>
        <v>0</v>
      </c>
      <c r="Q1387" s="102">
        <f>tbl_ConsultingCompanys!D1387</f>
        <v>0</v>
      </c>
      <c r="R1387" s="102">
        <f>tbl_ConsultingCompanys!C1387</f>
        <v>0</v>
      </c>
      <c r="S1387" s="102">
        <f t="shared" si="65"/>
        <v>0</v>
      </c>
    </row>
    <row r="1388" spans="11:19" x14ac:dyDescent="0.15">
      <c r="K1388" s="102">
        <f>tbl_ArchitectureOffices!D1388</f>
        <v>0</v>
      </c>
      <c r="L1388" s="102">
        <f>tbl_ArchitectureOffices!C1388</f>
        <v>0</v>
      </c>
      <c r="M1388" s="102">
        <f t="shared" si="63"/>
        <v>0</v>
      </c>
      <c r="N1388" s="102">
        <f>tbl_Companys!D1388</f>
        <v>0</v>
      </c>
      <c r="O1388" s="102">
        <f>tbl_Companys!C1388</f>
        <v>0</v>
      </c>
      <c r="P1388" s="102">
        <f t="shared" si="64"/>
        <v>0</v>
      </c>
      <c r="Q1388" s="102">
        <f>tbl_ConsultingCompanys!D1388</f>
        <v>0</v>
      </c>
      <c r="R1388" s="102">
        <f>tbl_ConsultingCompanys!C1388</f>
        <v>0</v>
      </c>
      <c r="S1388" s="102">
        <f t="shared" si="65"/>
        <v>0</v>
      </c>
    </row>
    <row r="1389" spans="11:19" x14ac:dyDescent="0.15">
      <c r="K1389" s="102">
        <f>tbl_ArchitectureOffices!D1389</f>
        <v>0</v>
      </c>
      <c r="L1389" s="102">
        <f>tbl_ArchitectureOffices!C1389</f>
        <v>0</v>
      </c>
      <c r="M1389" s="102">
        <f t="shared" si="63"/>
        <v>0</v>
      </c>
      <c r="N1389" s="102">
        <f>tbl_Companys!D1389</f>
        <v>0</v>
      </c>
      <c r="O1389" s="102">
        <f>tbl_Companys!C1389</f>
        <v>0</v>
      </c>
      <c r="P1389" s="102">
        <f t="shared" si="64"/>
        <v>0</v>
      </c>
      <c r="Q1389" s="102">
        <f>tbl_ConsultingCompanys!D1389</f>
        <v>0</v>
      </c>
      <c r="R1389" s="102">
        <f>tbl_ConsultingCompanys!C1389</f>
        <v>0</v>
      </c>
      <c r="S1389" s="102">
        <f t="shared" si="65"/>
        <v>0</v>
      </c>
    </row>
    <row r="1390" spans="11:19" x14ac:dyDescent="0.15">
      <c r="K1390" s="102">
        <f>tbl_ArchitectureOffices!D1390</f>
        <v>0</v>
      </c>
      <c r="L1390" s="102">
        <f>tbl_ArchitectureOffices!C1390</f>
        <v>0</v>
      </c>
      <c r="M1390" s="102">
        <f t="shared" si="63"/>
        <v>0</v>
      </c>
      <c r="N1390" s="102">
        <f>tbl_Companys!D1390</f>
        <v>0</v>
      </c>
      <c r="O1390" s="102">
        <f>tbl_Companys!C1390</f>
        <v>0</v>
      </c>
      <c r="P1390" s="102">
        <f t="shared" si="64"/>
        <v>0</v>
      </c>
      <c r="Q1390" s="102">
        <f>tbl_ConsultingCompanys!D1390</f>
        <v>0</v>
      </c>
      <c r="R1390" s="102">
        <f>tbl_ConsultingCompanys!C1390</f>
        <v>0</v>
      </c>
      <c r="S1390" s="102">
        <f t="shared" si="65"/>
        <v>0</v>
      </c>
    </row>
    <row r="1391" spans="11:19" x14ac:dyDescent="0.15">
      <c r="K1391" s="102">
        <f>tbl_ArchitectureOffices!D1391</f>
        <v>0</v>
      </c>
      <c r="L1391" s="102">
        <f>tbl_ArchitectureOffices!C1391</f>
        <v>0</v>
      </c>
      <c r="M1391" s="102">
        <f t="shared" si="63"/>
        <v>0</v>
      </c>
      <c r="N1391" s="102">
        <f>tbl_Companys!D1391</f>
        <v>0</v>
      </c>
      <c r="O1391" s="102">
        <f>tbl_Companys!C1391</f>
        <v>0</v>
      </c>
      <c r="P1391" s="102">
        <f t="shared" si="64"/>
        <v>0</v>
      </c>
      <c r="Q1391" s="102">
        <f>tbl_ConsultingCompanys!D1391</f>
        <v>0</v>
      </c>
      <c r="R1391" s="102">
        <f>tbl_ConsultingCompanys!C1391</f>
        <v>0</v>
      </c>
      <c r="S1391" s="102">
        <f t="shared" si="65"/>
        <v>0</v>
      </c>
    </row>
    <row r="1392" spans="11:19" x14ac:dyDescent="0.15">
      <c r="K1392" s="102">
        <f>tbl_ArchitectureOffices!D1392</f>
        <v>0</v>
      </c>
      <c r="L1392" s="102">
        <f>tbl_ArchitectureOffices!C1392</f>
        <v>0</v>
      </c>
      <c r="M1392" s="102">
        <f t="shared" si="63"/>
        <v>0</v>
      </c>
      <c r="N1392" s="102">
        <f>tbl_Companys!D1392</f>
        <v>0</v>
      </c>
      <c r="O1392" s="102">
        <f>tbl_Companys!C1392</f>
        <v>0</v>
      </c>
      <c r="P1392" s="102">
        <f t="shared" si="64"/>
        <v>0</v>
      </c>
      <c r="Q1392" s="102">
        <f>tbl_ConsultingCompanys!D1392</f>
        <v>0</v>
      </c>
      <c r="R1392" s="102">
        <f>tbl_ConsultingCompanys!C1392</f>
        <v>0</v>
      </c>
      <c r="S1392" s="102">
        <f t="shared" si="65"/>
        <v>0</v>
      </c>
    </row>
    <row r="1393" spans="11:19" x14ac:dyDescent="0.15">
      <c r="K1393" s="102">
        <f>tbl_ArchitectureOffices!D1393</f>
        <v>0</v>
      </c>
      <c r="L1393" s="102">
        <f>tbl_ArchitectureOffices!C1393</f>
        <v>0</v>
      </c>
      <c r="M1393" s="102">
        <f t="shared" si="63"/>
        <v>0</v>
      </c>
      <c r="N1393" s="102">
        <f>tbl_Companys!D1393</f>
        <v>0</v>
      </c>
      <c r="O1393" s="102">
        <f>tbl_Companys!C1393</f>
        <v>0</v>
      </c>
      <c r="P1393" s="102">
        <f t="shared" si="64"/>
        <v>0</v>
      </c>
      <c r="Q1393" s="102">
        <f>tbl_ConsultingCompanys!D1393</f>
        <v>0</v>
      </c>
      <c r="R1393" s="102">
        <f>tbl_ConsultingCompanys!C1393</f>
        <v>0</v>
      </c>
      <c r="S1393" s="102">
        <f t="shared" si="65"/>
        <v>0</v>
      </c>
    </row>
    <row r="1394" spans="11:19" x14ac:dyDescent="0.15">
      <c r="K1394" s="102">
        <f>tbl_ArchitectureOffices!D1394</f>
        <v>0</v>
      </c>
      <c r="L1394" s="102">
        <f>tbl_ArchitectureOffices!C1394</f>
        <v>0</v>
      </c>
      <c r="M1394" s="102">
        <f t="shared" si="63"/>
        <v>0</v>
      </c>
      <c r="N1394" s="102">
        <f>tbl_Companys!D1394</f>
        <v>0</v>
      </c>
      <c r="O1394" s="102">
        <f>tbl_Companys!C1394</f>
        <v>0</v>
      </c>
      <c r="P1394" s="102">
        <f t="shared" si="64"/>
        <v>0</v>
      </c>
      <c r="Q1394" s="102">
        <f>tbl_ConsultingCompanys!D1394</f>
        <v>0</v>
      </c>
      <c r="R1394" s="102">
        <f>tbl_ConsultingCompanys!C1394</f>
        <v>0</v>
      </c>
      <c r="S1394" s="102">
        <f t="shared" si="65"/>
        <v>0</v>
      </c>
    </row>
    <row r="1395" spans="11:19" x14ac:dyDescent="0.15">
      <c r="K1395" s="102">
        <f>tbl_ArchitectureOffices!D1395</f>
        <v>0</v>
      </c>
      <c r="L1395" s="102">
        <f>tbl_ArchitectureOffices!C1395</f>
        <v>0</v>
      </c>
      <c r="M1395" s="102">
        <f t="shared" si="63"/>
        <v>0</v>
      </c>
      <c r="N1395" s="102">
        <f>tbl_Companys!D1395</f>
        <v>0</v>
      </c>
      <c r="O1395" s="102">
        <f>tbl_Companys!C1395</f>
        <v>0</v>
      </c>
      <c r="P1395" s="102">
        <f t="shared" si="64"/>
        <v>0</v>
      </c>
      <c r="Q1395" s="102">
        <f>tbl_ConsultingCompanys!D1395</f>
        <v>0</v>
      </c>
      <c r="R1395" s="102">
        <f>tbl_ConsultingCompanys!C1395</f>
        <v>0</v>
      </c>
      <c r="S1395" s="102">
        <f t="shared" si="65"/>
        <v>0</v>
      </c>
    </row>
    <row r="1396" spans="11:19" x14ac:dyDescent="0.15">
      <c r="K1396" s="102">
        <f>tbl_ArchitectureOffices!D1396</f>
        <v>0</v>
      </c>
      <c r="L1396" s="102">
        <f>tbl_ArchitectureOffices!C1396</f>
        <v>0</v>
      </c>
      <c r="M1396" s="102">
        <f t="shared" si="63"/>
        <v>0</v>
      </c>
      <c r="N1396" s="102">
        <f>tbl_Companys!D1396</f>
        <v>0</v>
      </c>
      <c r="O1396" s="102">
        <f>tbl_Companys!C1396</f>
        <v>0</v>
      </c>
      <c r="P1396" s="102">
        <f t="shared" si="64"/>
        <v>0</v>
      </c>
      <c r="Q1396" s="102">
        <f>tbl_ConsultingCompanys!D1396</f>
        <v>0</v>
      </c>
      <c r="R1396" s="102">
        <f>tbl_ConsultingCompanys!C1396</f>
        <v>0</v>
      </c>
      <c r="S1396" s="102">
        <f t="shared" si="65"/>
        <v>0</v>
      </c>
    </row>
    <row r="1397" spans="11:19" x14ac:dyDescent="0.15">
      <c r="K1397" s="102">
        <f>tbl_ArchitectureOffices!D1397</f>
        <v>0</v>
      </c>
      <c r="L1397" s="102">
        <f>tbl_ArchitectureOffices!C1397</f>
        <v>0</v>
      </c>
      <c r="M1397" s="102">
        <f t="shared" si="63"/>
        <v>0</v>
      </c>
      <c r="N1397" s="102">
        <f>tbl_Companys!D1397</f>
        <v>0</v>
      </c>
      <c r="O1397" s="102">
        <f>tbl_Companys!C1397</f>
        <v>0</v>
      </c>
      <c r="P1397" s="102">
        <f t="shared" si="64"/>
        <v>0</v>
      </c>
      <c r="Q1397" s="102">
        <f>tbl_ConsultingCompanys!D1397</f>
        <v>0</v>
      </c>
      <c r="R1397" s="102">
        <f>tbl_ConsultingCompanys!C1397</f>
        <v>0</v>
      </c>
      <c r="S1397" s="102">
        <f t="shared" si="65"/>
        <v>0</v>
      </c>
    </row>
    <row r="1398" spans="11:19" x14ac:dyDescent="0.15">
      <c r="K1398" s="102">
        <f>tbl_ArchitectureOffices!D1398</f>
        <v>0</v>
      </c>
      <c r="L1398" s="102">
        <f>tbl_ArchitectureOffices!C1398</f>
        <v>0</v>
      </c>
      <c r="M1398" s="102">
        <f t="shared" ref="M1398:M1461" si="66">IFERROR(REPLACE(K1398,FIND(" ",K1398,LEN(K1398)),1,""),K1398)</f>
        <v>0</v>
      </c>
      <c r="N1398" s="102">
        <f>tbl_Companys!D1398</f>
        <v>0</v>
      </c>
      <c r="O1398" s="102">
        <f>tbl_Companys!C1398</f>
        <v>0</v>
      </c>
      <c r="P1398" s="102">
        <f t="shared" si="64"/>
        <v>0</v>
      </c>
      <c r="Q1398" s="102">
        <f>tbl_ConsultingCompanys!D1398</f>
        <v>0</v>
      </c>
      <c r="R1398" s="102">
        <f>tbl_ConsultingCompanys!C1398</f>
        <v>0</v>
      </c>
      <c r="S1398" s="102">
        <f t="shared" si="65"/>
        <v>0</v>
      </c>
    </row>
    <row r="1399" spans="11:19" x14ac:dyDescent="0.15">
      <c r="K1399" s="102">
        <f>tbl_ArchitectureOffices!D1399</f>
        <v>0</v>
      </c>
      <c r="L1399" s="102">
        <f>tbl_ArchitectureOffices!C1399</f>
        <v>0</v>
      </c>
      <c r="M1399" s="102">
        <f t="shared" si="66"/>
        <v>0</v>
      </c>
      <c r="N1399" s="102">
        <f>tbl_Companys!D1399</f>
        <v>0</v>
      </c>
      <c r="O1399" s="102">
        <f>tbl_Companys!C1399</f>
        <v>0</v>
      </c>
      <c r="P1399" s="102">
        <f t="shared" si="64"/>
        <v>0</v>
      </c>
      <c r="Q1399" s="102">
        <f>tbl_ConsultingCompanys!D1399</f>
        <v>0</v>
      </c>
      <c r="R1399" s="102">
        <f>tbl_ConsultingCompanys!C1399</f>
        <v>0</v>
      </c>
      <c r="S1399" s="102">
        <f t="shared" si="65"/>
        <v>0</v>
      </c>
    </row>
    <row r="1400" spans="11:19" x14ac:dyDescent="0.15">
      <c r="K1400" s="102">
        <f>tbl_ArchitectureOffices!D1400</f>
        <v>0</v>
      </c>
      <c r="L1400" s="102">
        <f>tbl_ArchitectureOffices!C1400</f>
        <v>0</v>
      </c>
      <c r="M1400" s="102">
        <f t="shared" si="66"/>
        <v>0</v>
      </c>
      <c r="N1400" s="102">
        <f>tbl_Companys!D1400</f>
        <v>0</v>
      </c>
      <c r="O1400" s="102">
        <f>tbl_Companys!C1400</f>
        <v>0</v>
      </c>
      <c r="P1400" s="102">
        <f t="shared" si="64"/>
        <v>0</v>
      </c>
      <c r="Q1400" s="102">
        <f>tbl_ConsultingCompanys!D1400</f>
        <v>0</v>
      </c>
      <c r="R1400" s="102">
        <f>tbl_ConsultingCompanys!C1400</f>
        <v>0</v>
      </c>
      <c r="S1400" s="102">
        <f t="shared" si="65"/>
        <v>0</v>
      </c>
    </row>
    <row r="1401" spans="11:19" x14ac:dyDescent="0.15">
      <c r="K1401" s="102">
        <f>tbl_ArchitectureOffices!D1401</f>
        <v>0</v>
      </c>
      <c r="L1401" s="102">
        <f>tbl_ArchitectureOffices!C1401</f>
        <v>0</v>
      </c>
      <c r="M1401" s="102">
        <f t="shared" si="66"/>
        <v>0</v>
      </c>
      <c r="N1401" s="102">
        <f>tbl_Companys!D1401</f>
        <v>0</v>
      </c>
      <c r="O1401" s="102">
        <f>tbl_Companys!C1401</f>
        <v>0</v>
      </c>
      <c r="P1401" s="102">
        <f t="shared" si="64"/>
        <v>0</v>
      </c>
      <c r="Q1401" s="102">
        <f>tbl_ConsultingCompanys!D1401</f>
        <v>0</v>
      </c>
      <c r="R1401" s="102">
        <f>tbl_ConsultingCompanys!C1401</f>
        <v>0</v>
      </c>
      <c r="S1401" s="102">
        <f t="shared" si="65"/>
        <v>0</v>
      </c>
    </row>
    <row r="1402" spans="11:19" x14ac:dyDescent="0.15">
      <c r="K1402" s="102">
        <f>tbl_ArchitectureOffices!D1402</f>
        <v>0</v>
      </c>
      <c r="L1402" s="102">
        <f>tbl_ArchitectureOffices!C1402</f>
        <v>0</v>
      </c>
      <c r="M1402" s="102">
        <f t="shared" si="66"/>
        <v>0</v>
      </c>
      <c r="N1402" s="102">
        <f>tbl_Companys!D1402</f>
        <v>0</v>
      </c>
      <c r="O1402" s="102">
        <f>tbl_Companys!C1402</f>
        <v>0</v>
      </c>
      <c r="P1402" s="102">
        <f t="shared" si="64"/>
        <v>0</v>
      </c>
      <c r="Q1402" s="102">
        <f>tbl_ConsultingCompanys!D1402</f>
        <v>0</v>
      </c>
      <c r="R1402" s="102">
        <f>tbl_ConsultingCompanys!C1402</f>
        <v>0</v>
      </c>
      <c r="S1402" s="102">
        <f t="shared" si="65"/>
        <v>0</v>
      </c>
    </row>
    <row r="1403" spans="11:19" x14ac:dyDescent="0.15">
      <c r="K1403" s="102">
        <f>tbl_ArchitectureOffices!D1403</f>
        <v>0</v>
      </c>
      <c r="L1403" s="102">
        <f>tbl_ArchitectureOffices!C1403</f>
        <v>0</v>
      </c>
      <c r="M1403" s="102">
        <f t="shared" si="66"/>
        <v>0</v>
      </c>
      <c r="N1403" s="102">
        <f>tbl_Companys!D1403</f>
        <v>0</v>
      </c>
      <c r="O1403" s="102">
        <f>tbl_Companys!C1403</f>
        <v>0</v>
      </c>
      <c r="P1403" s="102">
        <f t="shared" si="64"/>
        <v>0</v>
      </c>
      <c r="Q1403" s="102">
        <f>tbl_ConsultingCompanys!D1403</f>
        <v>0</v>
      </c>
      <c r="R1403" s="102">
        <f>tbl_ConsultingCompanys!C1403</f>
        <v>0</v>
      </c>
      <c r="S1403" s="102">
        <f t="shared" si="65"/>
        <v>0</v>
      </c>
    </row>
    <row r="1404" spans="11:19" x14ac:dyDescent="0.15">
      <c r="K1404" s="102">
        <f>tbl_ArchitectureOffices!D1404</f>
        <v>0</v>
      </c>
      <c r="L1404" s="102">
        <f>tbl_ArchitectureOffices!C1404</f>
        <v>0</v>
      </c>
      <c r="M1404" s="102">
        <f t="shared" si="66"/>
        <v>0</v>
      </c>
      <c r="N1404" s="102">
        <f>tbl_Companys!D1404</f>
        <v>0</v>
      </c>
      <c r="O1404" s="102">
        <f>tbl_Companys!C1404</f>
        <v>0</v>
      </c>
      <c r="P1404" s="102">
        <f t="shared" si="64"/>
        <v>0</v>
      </c>
      <c r="Q1404" s="102">
        <f>tbl_ConsultingCompanys!D1404</f>
        <v>0</v>
      </c>
      <c r="R1404" s="102">
        <f>tbl_ConsultingCompanys!C1404</f>
        <v>0</v>
      </c>
      <c r="S1404" s="102">
        <f t="shared" si="65"/>
        <v>0</v>
      </c>
    </row>
    <row r="1405" spans="11:19" x14ac:dyDescent="0.15">
      <c r="K1405" s="102">
        <f>tbl_ArchitectureOffices!D1405</f>
        <v>0</v>
      </c>
      <c r="L1405" s="102">
        <f>tbl_ArchitectureOffices!C1405</f>
        <v>0</v>
      </c>
      <c r="M1405" s="102">
        <f t="shared" si="66"/>
        <v>0</v>
      </c>
      <c r="N1405" s="102">
        <f>tbl_Companys!D1405</f>
        <v>0</v>
      </c>
      <c r="O1405" s="102">
        <f>tbl_Companys!C1405</f>
        <v>0</v>
      </c>
      <c r="P1405" s="102">
        <f t="shared" si="64"/>
        <v>0</v>
      </c>
      <c r="Q1405" s="102">
        <f>tbl_ConsultingCompanys!D1405</f>
        <v>0</v>
      </c>
      <c r="R1405" s="102">
        <f>tbl_ConsultingCompanys!C1405</f>
        <v>0</v>
      </c>
      <c r="S1405" s="102">
        <f t="shared" si="65"/>
        <v>0</v>
      </c>
    </row>
    <row r="1406" spans="11:19" x14ac:dyDescent="0.15">
      <c r="K1406" s="102">
        <f>tbl_ArchitectureOffices!D1406</f>
        <v>0</v>
      </c>
      <c r="L1406" s="102">
        <f>tbl_ArchitectureOffices!C1406</f>
        <v>0</v>
      </c>
      <c r="M1406" s="102">
        <f t="shared" si="66"/>
        <v>0</v>
      </c>
      <c r="N1406" s="102">
        <f>tbl_Companys!D1406</f>
        <v>0</v>
      </c>
      <c r="O1406" s="102">
        <f>tbl_Companys!C1406</f>
        <v>0</v>
      </c>
      <c r="P1406" s="102">
        <f t="shared" si="64"/>
        <v>0</v>
      </c>
      <c r="Q1406" s="102">
        <f>tbl_ConsultingCompanys!D1406</f>
        <v>0</v>
      </c>
      <c r="R1406" s="102">
        <f>tbl_ConsultingCompanys!C1406</f>
        <v>0</v>
      </c>
      <c r="S1406" s="102">
        <f t="shared" si="65"/>
        <v>0</v>
      </c>
    </row>
    <row r="1407" spans="11:19" x14ac:dyDescent="0.15">
      <c r="K1407" s="102">
        <f>tbl_ArchitectureOffices!D1407</f>
        <v>0</v>
      </c>
      <c r="L1407" s="102">
        <f>tbl_ArchitectureOffices!C1407</f>
        <v>0</v>
      </c>
      <c r="M1407" s="102">
        <f t="shared" si="66"/>
        <v>0</v>
      </c>
      <c r="N1407" s="102">
        <f>tbl_Companys!D1407</f>
        <v>0</v>
      </c>
      <c r="O1407" s="102">
        <f>tbl_Companys!C1407</f>
        <v>0</v>
      </c>
      <c r="P1407" s="102">
        <f t="shared" si="64"/>
        <v>0</v>
      </c>
      <c r="Q1407" s="102">
        <f>tbl_ConsultingCompanys!D1407</f>
        <v>0</v>
      </c>
      <c r="R1407" s="102">
        <f>tbl_ConsultingCompanys!C1407</f>
        <v>0</v>
      </c>
      <c r="S1407" s="102">
        <f t="shared" si="65"/>
        <v>0</v>
      </c>
    </row>
    <row r="1408" spans="11:19" x14ac:dyDescent="0.15">
      <c r="K1408" s="102">
        <f>tbl_ArchitectureOffices!D1408</f>
        <v>0</v>
      </c>
      <c r="L1408" s="102">
        <f>tbl_ArchitectureOffices!C1408</f>
        <v>0</v>
      </c>
      <c r="M1408" s="102">
        <f t="shared" si="66"/>
        <v>0</v>
      </c>
      <c r="N1408" s="102">
        <f>tbl_Companys!D1408</f>
        <v>0</v>
      </c>
      <c r="O1408" s="102">
        <f>tbl_Companys!C1408</f>
        <v>0</v>
      </c>
      <c r="P1408" s="102">
        <f t="shared" si="64"/>
        <v>0</v>
      </c>
      <c r="Q1408" s="102">
        <f>tbl_ConsultingCompanys!D1408</f>
        <v>0</v>
      </c>
      <c r="R1408" s="102">
        <f>tbl_ConsultingCompanys!C1408</f>
        <v>0</v>
      </c>
      <c r="S1408" s="102">
        <f t="shared" si="65"/>
        <v>0</v>
      </c>
    </row>
    <row r="1409" spans="11:19" x14ac:dyDescent="0.15">
      <c r="K1409" s="102">
        <f>tbl_ArchitectureOffices!D1409</f>
        <v>0</v>
      </c>
      <c r="L1409" s="102">
        <f>tbl_ArchitectureOffices!C1409</f>
        <v>0</v>
      </c>
      <c r="M1409" s="102">
        <f t="shared" si="66"/>
        <v>0</v>
      </c>
      <c r="N1409" s="102">
        <f>tbl_Companys!D1409</f>
        <v>0</v>
      </c>
      <c r="O1409" s="102">
        <f>tbl_Companys!C1409</f>
        <v>0</v>
      </c>
      <c r="P1409" s="102">
        <f t="shared" si="64"/>
        <v>0</v>
      </c>
      <c r="Q1409" s="102">
        <f>tbl_ConsultingCompanys!D1409</f>
        <v>0</v>
      </c>
      <c r="R1409" s="102">
        <f>tbl_ConsultingCompanys!C1409</f>
        <v>0</v>
      </c>
      <c r="S1409" s="102">
        <f t="shared" si="65"/>
        <v>0</v>
      </c>
    </row>
    <row r="1410" spans="11:19" x14ac:dyDescent="0.15">
      <c r="K1410" s="102">
        <f>tbl_ArchitectureOffices!D1410</f>
        <v>0</v>
      </c>
      <c r="L1410" s="102">
        <f>tbl_ArchitectureOffices!C1410</f>
        <v>0</v>
      </c>
      <c r="M1410" s="102">
        <f t="shared" si="66"/>
        <v>0</v>
      </c>
      <c r="N1410" s="102">
        <f>tbl_Companys!D1410</f>
        <v>0</v>
      </c>
      <c r="O1410" s="102">
        <f>tbl_Companys!C1410</f>
        <v>0</v>
      </c>
      <c r="P1410" s="102">
        <f t="shared" si="64"/>
        <v>0</v>
      </c>
      <c r="Q1410" s="102">
        <f>tbl_ConsultingCompanys!D1410</f>
        <v>0</v>
      </c>
      <c r="R1410" s="102">
        <f>tbl_ConsultingCompanys!C1410</f>
        <v>0</v>
      </c>
      <c r="S1410" s="102">
        <f t="shared" si="65"/>
        <v>0</v>
      </c>
    </row>
    <row r="1411" spans="11:19" x14ac:dyDescent="0.15">
      <c r="K1411" s="102">
        <f>tbl_ArchitectureOffices!D1411</f>
        <v>0</v>
      </c>
      <c r="L1411" s="102">
        <f>tbl_ArchitectureOffices!C1411</f>
        <v>0</v>
      </c>
      <c r="M1411" s="102">
        <f t="shared" si="66"/>
        <v>0</v>
      </c>
      <c r="N1411" s="102">
        <f>tbl_Companys!D1411</f>
        <v>0</v>
      </c>
      <c r="O1411" s="102">
        <f>tbl_Companys!C1411</f>
        <v>0</v>
      </c>
      <c r="P1411" s="102">
        <f t="shared" ref="P1411:P1474" si="67">IFERROR(REPLACE(N1411,FIND(" ",N1411,LEN(N1411)),1,""),N1411)</f>
        <v>0</v>
      </c>
      <c r="Q1411" s="102">
        <f>tbl_ConsultingCompanys!D1411</f>
        <v>0</v>
      </c>
      <c r="R1411" s="102">
        <f>tbl_ConsultingCompanys!C1411</f>
        <v>0</v>
      </c>
      <c r="S1411" s="102">
        <f t="shared" ref="S1411:S1474" si="68">IFERROR(REPLACE(Q1411,FIND(" ",Q1411,LEN(Q1411)),1,""),Q1411)</f>
        <v>0</v>
      </c>
    </row>
    <row r="1412" spans="11:19" x14ac:dyDescent="0.15">
      <c r="K1412" s="102">
        <f>tbl_ArchitectureOffices!D1412</f>
        <v>0</v>
      </c>
      <c r="L1412" s="102">
        <f>tbl_ArchitectureOffices!C1412</f>
        <v>0</v>
      </c>
      <c r="M1412" s="102">
        <f t="shared" si="66"/>
        <v>0</v>
      </c>
      <c r="N1412" s="102">
        <f>tbl_Companys!D1412</f>
        <v>0</v>
      </c>
      <c r="O1412" s="102">
        <f>tbl_Companys!C1412</f>
        <v>0</v>
      </c>
      <c r="P1412" s="102">
        <f t="shared" si="67"/>
        <v>0</v>
      </c>
      <c r="Q1412" s="102">
        <f>tbl_ConsultingCompanys!D1412</f>
        <v>0</v>
      </c>
      <c r="R1412" s="102">
        <f>tbl_ConsultingCompanys!C1412</f>
        <v>0</v>
      </c>
      <c r="S1412" s="102">
        <f t="shared" si="68"/>
        <v>0</v>
      </c>
    </row>
    <row r="1413" spans="11:19" x14ac:dyDescent="0.15">
      <c r="K1413" s="102">
        <f>tbl_ArchitectureOffices!D1413</f>
        <v>0</v>
      </c>
      <c r="L1413" s="102">
        <f>tbl_ArchitectureOffices!C1413</f>
        <v>0</v>
      </c>
      <c r="M1413" s="102">
        <f t="shared" si="66"/>
        <v>0</v>
      </c>
      <c r="N1413" s="102">
        <f>tbl_Companys!D1413</f>
        <v>0</v>
      </c>
      <c r="O1413" s="102">
        <f>tbl_Companys!C1413</f>
        <v>0</v>
      </c>
      <c r="P1413" s="102">
        <f t="shared" si="67"/>
        <v>0</v>
      </c>
      <c r="Q1413" s="102">
        <f>tbl_ConsultingCompanys!D1413</f>
        <v>0</v>
      </c>
      <c r="R1413" s="102">
        <f>tbl_ConsultingCompanys!C1413</f>
        <v>0</v>
      </c>
      <c r="S1413" s="102">
        <f t="shared" si="68"/>
        <v>0</v>
      </c>
    </row>
    <row r="1414" spans="11:19" x14ac:dyDescent="0.15">
      <c r="K1414" s="102">
        <f>tbl_ArchitectureOffices!D1414</f>
        <v>0</v>
      </c>
      <c r="L1414" s="102">
        <f>tbl_ArchitectureOffices!C1414</f>
        <v>0</v>
      </c>
      <c r="M1414" s="102">
        <f t="shared" si="66"/>
        <v>0</v>
      </c>
      <c r="N1414" s="102">
        <f>tbl_Companys!D1414</f>
        <v>0</v>
      </c>
      <c r="O1414" s="102">
        <f>tbl_Companys!C1414</f>
        <v>0</v>
      </c>
      <c r="P1414" s="102">
        <f t="shared" si="67"/>
        <v>0</v>
      </c>
      <c r="Q1414" s="102">
        <f>tbl_ConsultingCompanys!D1414</f>
        <v>0</v>
      </c>
      <c r="R1414" s="102">
        <f>tbl_ConsultingCompanys!C1414</f>
        <v>0</v>
      </c>
      <c r="S1414" s="102">
        <f t="shared" si="68"/>
        <v>0</v>
      </c>
    </row>
    <row r="1415" spans="11:19" x14ac:dyDescent="0.15">
      <c r="K1415" s="102">
        <f>tbl_ArchitectureOffices!D1415</f>
        <v>0</v>
      </c>
      <c r="L1415" s="102">
        <f>tbl_ArchitectureOffices!C1415</f>
        <v>0</v>
      </c>
      <c r="M1415" s="102">
        <f t="shared" si="66"/>
        <v>0</v>
      </c>
      <c r="N1415" s="102">
        <f>tbl_Companys!D1415</f>
        <v>0</v>
      </c>
      <c r="O1415" s="102">
        <f>tbl_Companys!C1415</f>
        <v>0</v>
      </c>
      <c r="P1415" s="102">
        <f t="shared" si="67"/>
        <v>0</v>
      </c>
      <c r="Q1415" s="102">
        <f>tbl_ConsultingCompanys!D1415</f>
        <v>0</v>
      </c>
      <c r="R1415" s="102">
        <f>tbl_ConsultingCompanys!C1415</f>
        <v>0</v>
      </c>
      <c r="S1415" s="102">
        <f t="shared" si="68"/>
        <v>0</v>
      </c>
    </row>
    <row r="1416" spans="11:19" x14ac:dyDescent="0.15">
      <c r="K1416" s="102">
        <f>tbl_ArchitectureOffices!D1416</f>
        <v>0</v>
      </c>
      <c r="L1416" s="102">
        <f>tbl_ArchitectureOffices!C1416</f>
        <v>0</v>
      </c>
      <c r="M1416" s="102">
        <f t="shared" si="66"/>
        <v>0</v>
      </c>
      <c r="N1416" s="102">
        <f>tbl_Companys!D1416</f>
        <v>0</v>
      </c>
      <c r="O1416" s="102">
        <f>tbl_Companys!C1416</f>
        <v>0</v>
      </c>
      <c r="P1416" s="102">
        <f t="shared" si="67"/>
        <v>0</v>
      </c>
      <c r="Q1416" s="102">
        <f>tbl_ConsultingCompanys!D1416</f>
        <v>0</v>
      </c>
      <c r="R1416" s="102">
        <f>tbl_ConsultingCompanys!C1416</f>
        <v>0</v>
      </c>
      <c r="S1416" s="102">
        <f t="shared" si="68"/>
        <v>0</v>
      </c>
    </row>
    <row r="1417" spans="11:19" x14ac:dyDescent="0.15">
      <c r="K1417" s="102">
        <f>tbl_ArchitectureOffices!D1417</f>
        <v>0</v>
      </c>
      <c r="L1417" s="102">
        <f>tbl_ArchitectureOffices!C1417</f>
        <v>0</v>
      </c>
      <c r="M1417" s="102">
        <f t="shared" si="66"/>
        <v>0</v>
      </c>
      <c r="N1417" s="102">
        <f>tbl_Companys!D1417</f>
        <v>0</v>
      </c>
      <c r="O1417" s="102">
        <f>tbl_Companys!C1417</f>
        <v>0</v>
      </c>
      <c r="P1417" s="102">
        <f t="shared" si="67"/>
        <v>0</v>
      </c>
      <c r="Q1417" s="102">
        <f>tbl_ConsultingCompanys!D1417</f>
        <v>0</v>
      </c>
      <c r="R1417" s="102">
        <f>tbl_ConsultingCompanys!C1417</f>
        <v>0</v>
      </c>
      <c r="S1417" s="102">
        <f t="shared" si="68"/>
        <v>0</v>
      </c>
    </row>
    <row r="1418" spans="11:19" x14ac:dyDescent="0.15">
      <c r="K1418" s="102">
        <f>tbl_ArchitectureOffices!D1418</f>
        <v>0</v>
      </c>
      <c r="L1418" s="102">
        <f>tbl_ArchitectureOffices!C1418</f>
        <v>0</v>
      </c>
      <c r="M1418" s="102">
        <f t="shared" si="66"/>
        <v>0</v>
      </c>
      <c r="N1418" s="102">
        <f>tbl_Companys!D1418</f>
        <v>0</v>
      </c>
      <c r="O1418" s="102">
        <f>tbl_Companys!C1418</f>
        <v>0</v>
      </c>
      <c r="P1418" s="102">
        <f t="shared" si="67"/>
        <v>0</v>
      </c>
      <c r="Q1418" s="102">
        <f>tbl_ConsultingCompanys!D1418</f>
        <v>0</v>
      </c>
      <c r="R1418" s="102">
        <f>tbl_ConsultingCompanys!C1418</f>
        <v>0</v>
      </c>
      <c r="S1418" s="102">
        <f t="shared" si="68"/>
        <v>0</v>
      </c>
    </row>
    <row r="1419" spans="11:19" x14ac:dyDescent="0.15">
      <c r="K1419" s="102">
        <f>tbl_ArchitectureOffices!D1419</f>
        <v>0</v>
      </c>
      <c r="L1419" s="102">
        <f>tbl_ArchitectureOffices!C1419</f>
        <v>0</v>
      </c>
      <c r="M1419" s="102">
        <f t="shared" si="66"/>
        <v>0</v>
      </c>
      <c r="N1419" s="102">
        <f>tbl_Companys!D1419</f>
        <v>0</v>
      </c>
      <c r="O1419" s="102">
        <f>tbl_Companys!C1419</f>
        <v>0</v>
      </c>
      <c r="P1419" s="102">
        <f t="shared" si="67"/>
        <v>0</v>
      </c>
      <c r="Q1419" s="102">
        <f>tbl_ConsultingCompanys!D1419</f>
        <v>0</v>
      </c>
      <c r="R1419" s="102">
        <f>tbl_ConsultingCompanys!C1419</f>
        <v>0</v>
      </c>
      <c r="S1419" s="102">
        <f t="shared" si="68"/>
        <v>0</v>
      </c>
    </row>
    <row r="1420" spans="11:19" x14ac:dyDescent="0.15">
      <c r="K1420" s="102">
        <f>tbl_ArchitectureOffices!D1420</f>
        <v>0</v>
      </c>
      <c r="L1420" s="102">
        <f>tbl_ArchitectureOffices!C1420</f>
        <v>0</v>
      </c>
      <c r="M1420" s="102">
        <f t="shared" si="66"/>
        <v>0</v>
      </c>
      <c r="N1420" s="102">
        <f>tbl_Companys!D1420</f>
        <v>0</v>
      </c>
      <c r="O1420" s="102">
        <f>tbl_Companys!C1420</f>
        <v>0</v>
      </c>
      <c r="P1420" s="102">
        <f t="shared" si="67"/>
        <v>0</v>
      </c>
      <c r="Q1420" s="102">
        <f>tbl_ConsultingCompanys!D1420</f>
        <v>0</v>
      </c>
      <c r="R1420" s="102">
        <f>tbl_ConsultingCompanys!C1420</f>
        <v>0</v>
      </c>
      <c r="S1420" s="102">
        <f t="shared" si="68"/>
        <v>0</v>
      </c>
    </row>
    <row r="1421" spans="11:19" x14ac:dyDescent="0.15">
      <c r="K1421" s="102">
        <f>tbl_ArchitectureOffices!D1421</f>
        <v>0</v>
      </c>
      <c r="L1421" s="102">
        <f>tbl_ArchitectureOffices!C1421</f>
        <v>0</v>
      </c>
      <c r="M1421" s="102">
        <f t="shared" si="66"/>
        <v>0</v>
      </c>
      <c r="N1421" s="102">
        <f>tbl_Companys!D1421</f>
        <v>0</v>
      </c>
      <c r="O1421" s="102">
        <f>tbl_Companys!C1421</f>
        <v>0</v>
      </c>
      <c r="P1421" s="102">
        <f t="shared" si="67"/>
        <v>0</v>
      </c>
      <c r="Q1421" s="102">
        <f>tbl_ConsultingCompanys!D1421</f>
        <v>0</v>
      </c>
      <c r="R1421" s="102">
        <f>tbl_ConsultingCompanys!C1421</f>
        <v>0</v>
      </c>
      <c r="S1421" s="102">
        <f t="shared" si="68"/>
        <v>0</v>
      </c>
    </row>
    <row r="1422" spans="11:19" x14ac:dyDescent="0.15">
      <c r="K1422" s="102">
        <f>tbl_ArchitectureOffices!D1422</f>
        <v>0</v>
      </c>
      <c r="L1422" s="102">
        <f>tbl_ArchitectureOffices!C1422</f>
        <v>0</v>
      </c>
      <c r="M1422" s="102">
        <f t="shared" si="66"/>
        <v>0</v>
      </c>
      <c r="N1422" s="102">
        <f>tbl_Companys!D1422</f>
        <v>0</v>
      </c>
      <c r="O1422" s="102">
        <f>tbl_Companys!C1422</f>
        <v>0</v>
      </c>
      <c r="P1422" s="102">
        <f t="shared" si="67"/>
        <v>0</v>
      </c>
      <c r="Q1422" s="102">
        <f>tbl_ConsultingCompanys!D1422</f>
        <v>0</v>
      </c>
      <c r="R1422" s="102">
        <f>tbl_ConsultingCompanys!C1422</f>
        <v>0</v>
      </c>
      <c r="S1422" s="102">
        <f t="shared" si="68"/>
        <v>0</v>
      </c>
    </row>
    <row r="1423" spans="11:19" x14ac:dyDescent="0.15">
      <c r="K1423" s="102">
        <f>tbl_ArchitectureOffices!D1423</f>
        <v>0</v>
      </c>
      <c r="L1423" s="102">
        <f>tbl_ArchitectureOffices!C1423</f>
        <v>0</v>
      </c>
      <c r="M1423" s="102">
        <f t="shared" si="66"/>
        <v>0</v>
      </c>
      <c r="N1423" s="102">
        <f>tbl_Companys!D1423</f>
        <v>0</v>
      </c>
      <c r="O1423" s="102">
        <f>tbl_Companys!C1423</f>
        <v>0</v>
      </c>
      <c r="P1423" s="102">
        <f t="shared" si="67"/>
        <v>0</v>
      </c>
      <c r="Q1423" s="102">
        <f>tbl_ConsultingCompanys!D1423</f>
        <v>0</v>
      </c>
      <c r="R1423" s="102">
        <f>tbl_ConsultingCompanys!C1423</f>
        <v>0</v>
      </c>
      <c r="S1423" s="102">
        <f t="shared" si="68"/>
        <v>0</v>
      </c>
    </row>
    <row r="1424" spans="11:19" x14ac:dyDescent="0.15">
      <c r="K1424" s="102">
        <f>tbl_ArchitectureOffices!D1424</f>
        <v>0</v>
      </c>
      <c r="L1424" s="102">
        <f>tbl_ArchitectureOffices!C1424</f>
        <v>0</v>
      </c>
      <c r="M1424" s="102">
        <f t="shared" si="66"/>
        <v>0</v>
      </c>
      <c r="N1424" s="102">
        <f>tbl_Companys!D1424</f>
        <v>0</v>
      </c>
      <c r="O1424" s="102">
        <f>tbl_Companys!C1424</f>
        <v>0</v>
      </c>
      <c r="P1424" s="102">
        <f t="shared" si="67"/>
        <v>0</v>
      </c>
      <c r="Q1424" s="102">
        <f>tbl_ConsultingCompanys!D1424</f>
        <v>0</v>
      </c>
      <c r="R1424" s="102">
        <f>tbl_ConsultingCompanys!C1424</f>
        <v>0</v>
      </c>
      <c r="S1424" s="102">
        <f t="shared" si="68"/>
        <v>0</v>
      </c>
    </row>
    <row r="1425" spans="11:19" x14ac:dyDescent="0.15">
      <c r="K1425" s="102">
        <f>tbl_ArchitectureOffices!D1425</f>
        <v>0</v>
      </c>
      <c r="L1425" s="102">
        <f>tbl_ArchitectureOffices!C1425</f>
        <v>0</v>
      </c>
      <c r="M1425" s="102">
        <f t="shared" si="66"/>
        <v>0</v>
      </c>
      <c r="N1425" s="102">
        <f>tbl_Companys!D1425</f>
        <v>0</v>
      </c>
      <c r="O1425" s="102">
        <f>tbl_Companys!C1425</f>
        <v>0</v>
      </c>
      <c r="P1425" s="102">
        <f t="shared" si="67"/>
        <v>0</v>
      </c>
      <c r="Q1425" s="102">
        <f>tbl_ConsultingCompanys!D1425</f>
        <v>0</v>
      </c>
      <c r="R1425" s="102">
        <f>tbl_ConsultingCompanys!C1425</f>
        <v>0</v>
      </c>
      <c r="S1425" s="102">
        <f t="shared" si="68"/>
        <v>0</v>
      </c>
    </row>
    <row r="1426" spans="11:19" x14ac:dyDescent="0.15">
      <c r="K1426" s="102">
        <f>tbl_ArchitectureOffices!D1426</f>
        <v>0</v>
      </c>
      <c r="L1426" s="102">
        <f>tbl_ArchitectureOffices!C1426</f>
        <v>0</v>
      </c>
      <c r="M1426" s="102">
        <f t="shared" si="66"/>
        <v>0</v>
      </c>
      <c r="N1426" s="102">
        <f>tbl_Companys!D1426</f>
        <v>0</v>
      </c>
      <c r="O1426" s="102">
        <f>tbl_Companys!C1426</f>
        <v>0</v>
      </c>
      <c r="P1426" s="102">
        <f t="shared" si="67"/>
        <v>0</v>
      </c>
      <c r="Q1426" s="102">
        <f>tbl_ConsultingCompanys!D1426</f>
        <v>0</v>
      </c>
      <c r="R1426" s="102">
        <f>tbl_ConsultingCompanys!C1426</f>
        <v>0</v>
      </c>
      <c r="S1426" s="102">
        <f t="shared" si="68"/>
        <v>0</v>
      </c>
    </row>
    <row r="1427" spans="11:19" x14ac:dyDescent="0.15">
      <c r="K1427" s="102">
        <f>tbl_ArchitectureOffices!D1427</f>
        <v>0</v>
      </c>
      <c r="L1427" s="102">
        <f>tbl_ArchitectureOffices!C1427</f>
        <v>0</v>
      </c>
      <c r="M1427" s="102">
        <f t="shared" si="66"/>
        <v>0</v>
      </c>
      <c r="N1427" s="102">
        <f>tbl_Companys!D1427</f>
        <v>0</v>
      </c>
      <c r="O1427" s="102">
        <f>tbl_Companys!C1427</f>
        <v>0</v>
      </c>
      <c r="P1427" s="102">
        <f t="shared" si="67"/>
        <v>0</v>
      </c>
      <c r="Q1427" s="102">
        <f>tbl_ConsultingCompanys!D1427</f>
        <v>0</v>
      </c>
      <c r="R1427" s="102">
        <f>tbl_ConsultingCompanys!C1427</f>
        <v>0</v>
      </c>
      <c r="S1427" s="102">
        <f t="shared" si="68"/>
        <v>0</v>
      </c>
    </row>
    <row r="1428" spans="11:19" x14ac:dyDescent="0.15">
      <c r="K1428" s="102">
        <f>tbl_ArchitectureOffices!D1428</f>
        <v>0</v>
      </c>
      <c r="L1428" s="102">
        <f>tbl_ArchitectureOffices!C1428</f>
        <v>0</v>
      </c>
      <c r="M1428" s="102">
        <f t="shared" si="66"/>
        <v>0</v>
      </c>
      <c r="N1428" s="102">
        <f>tbl_Companys!D1428</f>
        <v>0</v>
      </c>
      <c r="O1428" s="102">
        <f>tbl_Companys!C1428</f>
        <v>0</v>
      </c>
      <c r="P1428" s="102">
        <f t="shared" si="67"/>
        <v>0</v>
      </c>
      <c r="Q1428" s="102">
        <f>tbl_ConsultingCompanys!D1428</f>
        <v>0</v>
      </c>
      <c r="R1428" s="102">
        <f>tbl_ConsultingCompanys!C1428</f>
        <v>0</v>
      </c>
      <c r="S1428" s="102">
        <f t="shared" si="68"/>
        <v>0</v>
      </c>
    </row>
    <row r="1429" spans="11:19" x14ac:dyDescent="0.15">
      <c r="K1429" s="102">
        <f>tbl_ArchitectureOffices!D1429</f>
        <v>0</v>
      </c>
      <c r="L1429" s="102">
        <f>tbl_ArchitectureOffices!C1429</f>
        <v>0</v>
      </c>
      <c r="M1429" s="102">
        <f t="shared" si="66"/>
        <v>0</v>
      </c>
      <c r="N1429" s="102">
        <f>tbl_Companys!D1429</f>
        <v>0</v>
      </c>
      <c r="O1429" s="102">
        <f>tbl_Companys!C1429</f>
        <v>0</v>
      </c>
      <c r="P1429" s="102">
        <f t="shared" si="67"/>
        <v>0</v>
      </c>
      <c r="Q1429" s="102">
        <f>tbl_ConsultingCompanys!D1429</f>
        <v>0</v>
      </c>
      <c r="R1429" s="102">
        <f>tbl_ConsultingCompanys!C1429</f>
        <v>0</v>
      </c>
      <c r="S1429" s="102">
        <f t="shared" si="68"/>
        <v>0</v>
      </c>
    </row>
    <row r="1430" spans="11:19" x14ac:dyDescent="0.15">
      <c r="K1430" s="102">
        <f>tbl_ArchitectureOffices!D1430</f>
        <v>0</v>
      </c>
      <c r="L1430" s="102">
        <f>tbl_ArchitectureOffices!C1430</f>
        <v>0</v>
      </c>
      <c r="M1430" s="102">
        <f t="shared" si="66"/>
        <v>0</v>
      </c>
      <c r="N1430" s="102">
        <f>tbl_Companys!D1430</f>
        <v>0</v>
      </c>
      <c r="O1430" s="102">
        <f>tbl_Companys!C1430</f>
        <v>0</v>
      </c>
      <c r="P1430" s="102">
        <f t="shared" si="67"/>
        <v>0</v>
      </c>
      <c r="Q1430" s="102">
        <f>tbl_ConsultingCompanys!D1430</f>
        <v>0</v>
      </c>
      <c r="R1430" s="102">
        <f>tbl_ConsultingCompanys!C1430</f>
        <v>0</v>
      </c>
      <c r="S1430" s="102">
        <f t="shared" si="68"/>
        <v>0</v>
      </c>
    </row>
    <row r="1431" spans="11:19" x14ac:dyDescent="0.15">
      <c r="K1431" s="102">
        <f>tbl_ArchitectureOffices!D1431</f>
        <v>0</v>
      </c>
      <c r="L1431" s="102">
        <f>tbl_ArchitectureOffices!C1431</f>
        <v>0</v>
      </c>
      <c r="M1431" s="102">
        <f t="shared" si="66"/>
        <v>0</v>
      </c>
      <c r="N1431" s="102">
        <f>tbl_Companys!D1431</f>
        <v>0</v>
      </c>
      <c r="O1431" s="102">
        <f>tbl_Companys!C1431</f>
        <v>0</v>
      </c>
      <c r="P1431" s="102">
        <f t="shared" si="67"/>
        <v>0</v>
      </c>
      <c r="Q1431" s="102">
        <f>tbl_ConsultingCompanys!D1431</f>
        <v>0</v>
      </c>
      <c r="R1431" s="102">
        <f>tbl_ConsultingCompanys!C1431</f>
        <v>0</v>
      </c>
      <c r="S1431" s="102">
        <f t="shared" si="68"/>
        <v>0</v>
      </c>
    </row>
    <row r="1432" spans="11:19" x14ac:dyDescent="0.15">
      <c r="K1432" s="102">
        <f>tbl_ArchitectureOffices!D1432</f>
        <v>0</v>
      </c>
      <c r="L1432" s="102">
        <f>tbl_ArchitectureOffices!C1432</f>
        <v>0</v>
      </c>
      <c r="M1432" s="102">
        <f t="shared" si="66"/>
        <v>0</v>
      </c>
      <c r="N1432" s="102">
        <f>tbl_Companys!D1432</f>
        <v>0</v>
      </c>
      <c r="O1432" s="102">
        <f>tbl_Companys!C1432</f>
        <v>0</v>
      </c>
      <c r="P1432" s="102">
        <f t="shared" si="67"/>
        <v>0</v>
      </c>
      <c r="Q1432" s="102">
        <f>tbl_ConsultingCompanys!D1432</f>
        <v>0</v>
      </c>
      <c r="R1432" s="102">
        <f>tbl_ConsultingCompanys!C1432</f>
        <v>0</v>
      </c>
      <c r="S1432" s="102">
        <f t="shared" si="68"/>
        <v>0</v>
      </c>
    </row>
    <row r="1433" spans="11:19" x14ac:dyDescent="0.15">
      <c r="K1433" s="102">
        <f>tbl_ArchitectureOffices!D1433</f>
        <v>0</v>
      </c>
      <c r="L1433" s="102">
        <f>tbl_ArchitectureOffices!C1433</f>
        <v>0</v>
      </c>
      <c r="M1433" s="102">
        <f t="shared" si="66"/>
        <v>0</v>
      </c>
      <c r="N1433" s="102">
        <f>tbl_Companys!D1433</f>
        <v>0</v>
      </c>
      <c r="O1433" s="102">
        <f>tbl_Companys!C1433</f>
        <v>0</v>
      </c>
      <c r="P1433" s="102">
        <f t="shared" si="67"/>
        <v>0</v>
      </c>
      <c r="Q1433" s="102">
        <f>tbl_ConsultingCompanys!D1433</f>
        <v>0</v>
      </c>
      <c r="R1433" s="102">
        <f>tbl_ConsultingCompanys!C1433</f>
        <v>0</v>
      </c>
      <c r="S1433" s="102">
        <f t="shared" si="68"/>
        <v>0</v>
      </c>
    </row>
    <row r="1434" spans="11:19" x14ac:dyDescent="0.15">
      <c r="K1434" s="102">
        <f>tbl_ArchitectureOffices!D1434</f>
        <v>0</v>
      </c>
      <c r="L1434" s="102">
        <f>tbl_ArchitectureOffices!C1434</f>
        <v>0</v>
      </c>
      <c r="M1434" s="102">
        <f t="shared" si="66"/>
        <v>0</v>
      </c>
      <c r="N1434" s="102">
        <f>tbl_Companys!D1434</f>
        <v>0</v>
      </c>
      <c r="O1434" s="102">
        <f>tbl_Companys!C1434</f>
        <v>0</v>
      </c>
      <c r="P1434" s="102">
        <f t="shared" si="67"/>
        <v>0</v>
      </c>
      <c r="Q1434" s="102">
        <f>tbl_ConsultingCompanys!D1434</f>
        <v>0</v>
      </c>
      <c r="R1434" s="102">
        <f>tbl_ConsultingCompanys!C1434</f>
        <v>0</v>
      </c>
      <c r="S1434" s="102">
        <f t="shared" si="68"/>
        <v>0</v>
      </c>
    </row>
    <row r="1435" spans="11:19" x14ac:dyDescent="0.15">
      <c r="K1435" s="102">
        <f>tbl_ArchitectureOffices!D1435</f>
        <v>0</v>
      </c>
      <c r="L1435" s="102">
        <f>tbl_ArchitectureOffices!C1435</f>
        <v>0</v>
      </c>
      <c r="M1435" s="102">
        <f t="shared" si="66"/>
        <v>0</v>
      </c>
      <c r="N1435" s="102">
        <f>tbl_Companys!D1435</f>
        <v>0</v>
      </c>
      <c r="O1435" s="102">
        <f>tbl_Companys!C1435</f>
        <v>0</v>
      </c>
      <c r="P1435" s="102">
        <f t="shared" si="67"/>
        <v>0</v>
      </c>
      <c r="Q1435" s="102">
        <f>tbl_ConsultingCompanys!D1435</f>
        <v>0</v>
      </c>
      <c r="R1435" s="102">
        <f>tbl_ConsultingCompanys!C1435</f>
        <v>0</v>
      </c>
      <c r="S1435" s="102">
        <f t="shared" si="68"/>
        <v>0</v>
      </c>
    </row>
    <row r="1436" spans="11:19" x14ac:dyDescent="0.15">
      <c r="K1436" s="102">
        <f>tbl_ArchitectureOffices!D1436</f>
        <v>0</v>
      </c>
      <c r="L1436" s="102">
        <f>tbl_ArchitectureOffices!C1436</f>
        <v>0</v>
      </c>
      <c r="M1436" s="102">
        <f t="shared" si="66"/>
        <v>0</v>
      </c>
      <c r="N1436" s="102">
        <f>tbl_Companys!D1436</f>
        <v>0</v>
      </c>
      <c r="O1436" s="102">
        <f>tbl_Companys!C1436</f>
        <v>0</v>
      </c>
      <c r="P1436" s="102">
        <f t="shared" si="67"/>
        <v>0</v>
      </c>
      <c r="Q1436" s="102">
        <f>tbl_ConsultingCompanys!D1436</f>
        <v>0</v>
      </c>
      <c r="R1436" s="102">
        <f>tbl_ConsultingCompanys!C1436</f>
        <v>0</v>
      </c>
      <c r="S1436" s="102">
        <f t="shared" si="68"/>
        <v>0</v>
      </c>
    </row>
    <row r="1437" spans="11:19" x14ac:dyDescent="0.15">
      <c r="K1437" s="102">
        <f>tbl_ArchitectureOffices!D1437</f>
        <v>0</v>
      </c>
      <c r="L1437" s="102">
        <f>tbl_ArchitectureOffices!C1437</f>
        <v>0</v>
      </c>
      <c r="M1437" s="102">
        <f t="shared" si="66"/>
        <v>0</v>
      </c>
      <c r="N1437" s="102">
        <f>tbl_Companys!D1437</f>
        <v>0</v>
      </c>
      <c r="O1437" s="102">
        <f>tbl_Companys!C1437</f>
        <v>0</v>
      </c>
      <c r="P1437" s="102">
        <f t="shared" si="67"/>
        <v>0</v>
      </c>
      <c r="Q1437" s="102">
        <f>tbl_ConsultingCompanys!D1437</f>
        <v>0</v>
      </c>
      <c r="R1437" s="102">
        <f>tbl_ConsultingCompanys!C1437</f>
        <v>0</v>
      </c>
      <c r="S1437" s="102">
        <f t="shared" si="68"/>
        <v>0</v>
      </c>
    </row>
    <row r="1438" spans="11:19" x14ac:dyDescent="0.15">
      <c r="K1438" s="102">
        <f>tbl_ArchitectureOffices!D1438</f>
        <v>0</v>
      </c>
      <c r="L1438" s="102">
        <f>tbl_ArchitectureOffices!C1438</f>
        <v>0</v>
      </c>
      <c r="M1438" s="102">
        <f t="shared" si="66"/>
        <v>0</v>
      </c>
      <c r="N1438" s="102">
        <f>tbl_Companys!D1438</f>
        <v>0</v>
      </c>
      <c r="O1438" s="102">
        <f>tbl_Companys!C1438</f>
        <v>0</v>
      </c>
      <c r="P1438" s="102">
        <f t="shared" si="67"/>
        <v>0</v>
      </c>
      <c r="Q1438" s="102">
        <f>tbl_ConsultingCompanys!D1438</f>
        <v>0</v>
      </c>
      <c r="R1438" s="102">
        <f>tbl_ConsultingCompanys!C1438</f>
        <v>0</v>
      </c>
      <c r="S1438" s="102">
        <f t="shared" si="68"/>
        <v>0</v>
      </c>
    </row>
    <row r="1439" spans="11:19" x14ac:dyDescent="0.15">
      <c r="K1439" s="102">
        <f>tbl_ArchitectureOffices!D1439</f>
        <v>0</v>
      </c>
      <c r="L1439" s="102">
        <f>tbl_ArchitectureOffices!C1439</f>
        <v>0</v>
      </c>
      <c r="M1439" s="102">
        <f t="shared" si="66"/>
        <v>0</v>
      </c>
      <c r="N1439" s="102">
        <f>tbl_Companys!D1439</f>
        <v>0</v>
      </c>
      <c r="O1439" s="102">
        <f>tbl_Companys!C1439</f>
        <v>0</v>
      </c>
      <c r="P1439" s="102">
        <f t="shared" si="67"/>
        <v>0</v>
      </c>
      <c r="Q1439" s="102">
        <f>tbl_ConsultingCompanys!D1439</f>
        <v>0</v>
      </c>
      <c r="R1439" s="102">
        <f>tbl_ConsultingCompanys!C1439</f>
        <v>0</v>
      </c>
      <c r="S1439" s="102">
        <f t="shared" si="68"/>
        <v>0</v>
      </c>
    </row>
    <row r="1440" spans="11:19" x14ac:dyDescent="0.15">
      <c r="K1440" s="102">
        <f>tbl_ArchitectureOffices!D1440</f>
        <v>0</v>
      </c>
      <c r="L1440" s="102">
        <f>tbl_ArchitectureOffices!C1440</f>
        <v>0</v>
      </c>
      <c r="M1440" s="102">
        <f t="shared" si="66"/>
        <v>0</v>
      </c>
      <c r="N1440" s="102">
        <f>tbl_Companys!D1440</f>
        <v>0</v>
      </c>
      <c r="O1440" s="102">
        <f>tbl_Companys!C1440</f>
        <v>0</v>
      </c>
      <c r="P1440" s="102">
        <f t="shared" si="67"/>
        <v>0</v>
      </c>
      <c r="Q1440" s="102">
        <f>tbl_ConsultingCompanys!D1440</f>
        <v>0</v>
      </c>
      <c r="R1440" s="102">
        <f>tbl_ConsultingCompanys!C1440</f>
        <v>0</v>
      </c>
      <c r="S1440" s="102">
        <f t="shared" si="68"/>
        <v>0</v>
      </c>
    </row>
    <row r="1441" spans="11:19" x14ac:dyDescent="0.15">
      <c r="K1441" s="102">
        <f>tbl_ArchitectureOffices!D1441</f>
        <v>0</v>
      </c>
      <c r="L1441" s="102">
        <f>tbl_ArchitectureOffices!C1441</f>
        <v>0</v>
      </c>
      <c r="M1441" s="102">
        <f t="shared" si="66"/>
        <v>0</v>
      </c>
      <c r="N1441" s="102">
        <f>tbl_Companys!D1441</f>
        <v>0</v>
      </c>
      <c r="O1441" s="102">
        <f>tbl_Companys!C1441</f>
        <v>0</v>
      </c>
      <c r="P1441" s="102">
        <f t="shared" si="67"/>
        <v>0</v>
      </c>
      <c r="Q1441" s="102">
        <f>tbl_ConsultingCompanys!D1441</f>
        <v>0</v>
      </c>
      <c r="R1441" s="102">
        <f>tbl_ConsultingCompanys!C1441</f>
        <v>0</v>
      </c>
      <c r="S1441" s="102">
        <f t="shared" si="68"/>
        <v>0</v>
      </c>
    </row>
    <row r="1442" spans="11:19" x14ac:dyDescent="0.15">
      <c r="K1442" s="102">
        <f>tbl_ArchitectureOffices!D1442</f>
        <v>0</v>
      </c>
      <c r="L1442" s="102">
        <f>tbl_ArchitectureOffices!C1442</f>
        <v>0</v>
      </c>
      <c r="M1442" s="102">
        <f t="shared" si="66"/>
        <v>0</v>
      </c>
      <c r="N1442" s="102">
        <f>tbl_Companys!D1442</f>
        <v>0</v>
      </c>
      <c r="O1442" s="102">
        <f>tbl_Companys!C1442</f>
        <v>0</v>
      </c>
      <c r="P1442" s="102">
        <f t="shared" si="67"/>
        <v>0</v>
      </c>
      <c r="Q1442" s="102">
        <f>tbl_ConsultingCompanys!D1442</f>
        <v>0</v>
      </c>
      <c r="R1442" s="102">
        <f>tbl_ConsultingCompanys!C1442</f>
        <v>0</v>
      </c>
      <c r="S1442" s="102">
        <f t="shared" si="68"/>
        <v>0</v>
      </c>
    </row>
    <row r="1443" spans="11:19" x14ac:dyDescent="0.15">
      <c r="K1443" s="102">
        <f>tbl_ArchitectureOffices!D1443</f>
        <v>0</v>
      </c>
      <c r="L1443" s="102">
        <f>tbl_ArchitectureOffices!C1443</f>
        <v>0</v>
      </c>
      <c r="M1443" s="102">
        <f t="shared" si="66"/>
        <v>0</v>
      </c>
      <c r="N1443" s="102">
        <f>tbl_Companys!D1443</f>
        <v>0</v>
      </c>
      <c r="O1443" s="102">
        <f>tbl_Companys!C1443</f>
        <v>0</v>
      </c>
      <c r="P1443" s="102">
        <f t="shared" si="67"/>
        <v>0</v>
      </c>
      <c r="Q1443" s="102">
        <f>tbl_ConsultingCompanys!D1443</f>
        <v>0</v>
      </c>
      <c r="R1443" s="102">
        <f>tbl_ConsultingCompanys!C1443</f>
        <v>0</v>
      </c>
      <c r="S1443" s="102">
        <f t="shared" si="68"/>
        <v>0</v>
      </c>
    </row>
    <row r="1444" spans="11:19" x14ac:dyDescent="0.15">
      <c r="K1444" s="102">
        <f>tbl_ArchitectureOffices!D1444</f>
        <v>0</v>
      </c>
      <c r="L1444" s="102">
        <f>tbl_ArchitectureOffices!C1444</f>
        <v>0</v>
      </c>
      <c r="M1444" s="102">
        <f t="shared" si="66"/>
        <v>0</v>
      </c>
      <c r="N1444" s="102">
        <f>tbl_Companys!D1444</f>
        <v>0</v>
      </c>
      <c r="O1444" s="102">
        <f>tbl_Companys!C1444</f>
        <v>0</v>
      </c>
      <c r="P1444" s="102">
        <f t="shared" si="67"/>
        <v>0</v>
      </c>
      <c r="Q1444" s="102">
        <f>tbl_ConsultingCompanys!D1444</f>
        <v>0</v>
      </c>
      <c r="R1444" s="102">
        <f>tbl_ConsultingCompanys!C1444</f>
        <v>0</v>
      </c>
      <c r="S1444" s="102">
        <f t="shared" si="68"/>
        <v>0</v>
      </c>
    </row>
    <row r="1445" spans="11:19" x14ac:dyDescent="0.15">
      <c r="K1445" s="102">
        <f>tbl_ArchitectureOffices!D1445</f>
        <v>0</v>
      </c>
      <c r="L1445" s="102">
        <f>tbl_ArchitectureOffices!C1445</f>
        <v>0</v>
      </c>
      <c r="M1445" s="102">
        <f t="shared" si="66"/>
        <v>0</v>
      </c>
      <c r="N1445" s="102">
        <f>tbl_Companys!D1445</f>
        <v>0</v>
      </c>
      <c r="O1445" s="102">
        <f>tbl_Companys!C1445</f>
        <v>0</v>
      </c>
      <c r="P1445" s="102">
        <f t="shared" si="67"/>
        <v>0</v>
      </c>
      <c r="Q1445" s="102">
        <f>tbl_ConsultingCompanys!D1445</f>
        <v>0</v>
      </c>
      <c r="R1445" s="102">
        <f>tbl_ConsultingCompanys!C1445</f>
        <v>0</v>
      </c>
      <c r="S1445" s="102">
        <f t="shared" si="68"/>
        <v>0</v>
      </c>
    </row>
    <row r="1446" spans="11:19" x14ac:dyDescent="0.15">
      <c r="K1446" s="102">
        <f>tbl_ArchitectureOffices!D1446</f>
        <v>0</v>
      </c>
      <c r="L1446" s="102">
        <f>tbl_ArchitectureOffices!C1446</f>
        <v>0</v>
      </c>
      <c r="M1446" s="102">
        <f t="shared" si="66"/>
        <v>0</v>
      </c>
      <c r="N1446" s="102">
        <f>tbl_Companys!D1446</f>
        <v>0</v>
      </c>
      <c r="O1446" s="102">
        <f>tbl_Companys!C1446</f>
        <v>0</v>
      </c>
      <c r="P1446" s="102">
        <f t="shared" si="67"/>
        <v>0</v>
      </c>
      <c r="Q1446" s="102">
        <f>tbl_ConsultingCompanys!D1446</f>
        <v>0</v>
      </c>
      <c r="R1446" s="102">
        <f>tbl_ConsultingCompanys!C1446</f>
        <v>0</v>
      </c>
      <c r="S1446" s="102">
        <f t="shared" si="68"/>
        <v>0</v>
      </c>
    </row>
    <row r="1447" spans="11:19" x14ac:dyDescent="0.15">
      <c r="K1447" s="102">
        <f>tbl_ArchitectureOffices!D1447</f>
        <v>0</v>
      </c>
      <c r="L1447" s="102">
        <f>tbl_ArchitectureOffices!C1447</f>
        <v>0</v>
      </c>
      <c r="M1447" s="102">
        <f t="shared" si="66"/>
        <v>0</v>
      </c>
      <c r="N1447" s="102">
        <f>tbl_Companys!D1447</f>
        <v>0</v>
      </c>
      <c r="O1447" s="102">
        <f>tbl_Companys!C1447</f>
        <v>0</v>
      </c>
      <c r="P1447" s="102">
        <f t="shared" si="67"/>
        <v>0</v>
      </c>
      <c r="Q1447" s="102">
        <f>tbl_ConsultingCompanys!D1447</f>
        <v>0</v>
      </c>
      <c r="R1447" s="102">
        <f>tbl_ConsultingCompanys!C1447</f>
        <v>0</v>
      </c>
      <c r="S1447" s="102">
        <f t="shared" si="68"/>
        <v>0</v>
      </c>
    </row>
    <row r="1448" spans="11:19" x14ac:dyDescent="0.15">
      <c r="K1448" s="102">
        <f>tbl_ArchitectureOffices!D1448</f>
        <v>0</v>
      </c>
      <c r="L1448" s="102">
        <f>tbl_ArchitectureOffices!C1448</f>
        <v>0</v>
      </c>
      <c r="M1448" s="102">
        <f t="shared" si="66"/>
        <v>0</v>
      </c>
      <c r="N1448" s="102">
        <f>tbl_Companys!D1448</f>
        <v>0</v>
      </c>
      <c r="O1448" s="102">
        <f>tbl_Companys!C1448</f>
        <v>0</v>
      </c>
      <c r="P1448" s="102">
        <f t="shared" si="67"/>
        <v>0</v>
      </c>
      <c r="Q1448" s="102">
        <f>tbl_ConsultingCompanys!D1448</f>
        <v>0</v>
      </c>
      <c r="R1448" s="102">
        <f>tbl_ConsultingCompanys!C1448</f>
        <v>0</v>
      </c>
      <c r="S1448" s="102">
        <f t="shared" si="68"/>
        <v>0</v>
      </c>
    </row>
    <row r="1449" spans="11:19" x14ac:dyDescent="0.15">
      <c r="K1449" s="102">
        <f>tbl_ArchitectureOffices!D1449</f>
        <v>0</v>
      </c>
      <c r="L1449" s="102">
        <f>tbl_ArchitectureOffices!C1449</f>
        <v>0</v>
      </c>
      <c r="M1449" s="102">
        <f t="shared" si="66"/>
        <v>0</v>
      </c>
      <c r="N1449" s="102">
        <f>tbl_Companys!D1449</f>
        <v>0</v>
      </c>
      <c r="O1449" s="102">
        <f>tbl_Companys!C1449</f>
        <v>0</v>
      </c>
      <c r="P1449" s="102">
        <f t="shared" si="67"/>
        <v>0</v>
      </c>
      <c r="Q1449" s="102">
        <f>tbl_ConsultingCompanys!D1449</f>
        <v>0</v>
      </c>
      <c r="R1449" s="102">
        <f>tbl_ConsultingCompanys!C1449</f>
        <v>0</v>
      </c>
      <c r="S1449" s="102">
        <f t="shared" si="68"/>
        <v>0</v>
      </c>
    </row>
    <row r="1450" spans="11:19" x14ac:dyDescent="0.15">
      <c r="K1450" s="102">
        <f>tbl_ArchitectureOffices!D1450</f>
        <v>0</v>
      </c>
      <c r="L1450" s="102">
        <f>tbl_ArchitectureOffices!C1450</f>
        <v>0</v>
      </c>
      <c r="M1450" s="102">
        <f t="shared" si="66"/>
        <v>0</v>
      </c>
      <c r="N1450" s="102">
        <f>tbl_Companys!D1450</f>
        <v>0</v>
      </c>
      <c r="O1450" s="102">
        <f>tbl_Companys!C1450</f>
        <v>0</v>
      </c>
      <c r="P1450" s="102">
        <f t="shared" si="67"/>
        <v>0</v>
      </c>
      <c r="Q1450" s="102">
        <f>tbl_ConsultingCompanys!D1450</f>
        <v>0</v>
      </c>
      <c r="R1450" s="102">
        <f>tbl_ConsultingCompanys!C1450</f>
        <v>0</v>
      </c>
      <c r="S1450" s="102">
        <f t="shared" si="68"/>
        <v>0</v>
      </c>
    </row>
    <row r="1451" spans="11:19" x14ac:dyDescent="0.15">
      <c r="K1451" s="102">
        <f>tbl_ArchitectureOffices!D1451</f>
        <v>0</v>
      </c>
      <c r="L1451" s="102">
        <f>tbl_ArchitectureOffices!C1451</f>
        <v>0</v>
      </c>
      <c r="M1451" s="102">
        <f t="shared" si="66"/>
        <v>0</v>
      </c>
      <c r="N1451" s="102">
        <f>tbl_Companys!D1451</f>
        <v>0</v>
      </c>
      <c r="O1451" s="102">
        <f>tbl_Companys!C1451</f>
        <v>0</v>
      </c>
      <c r="P1451" s="102">
        <f t="shared" si="67"/>
        <v>0</v>
      </c>
      <c r="Q1451" s="102">
        <f>tbl_ConsultingCompanys!D1451</f>
        <v>0</v>
      </c>
      <c r="R1451" s="102">
        <f>tbl_ConsultingCompanys!C1451</f>
        <v>0</v>
      </c>
      <c r="S1451" s="102">
        <f t="shared" si="68"/>
        <v>0</v>
      </c>
    </row>
    <row r="1452" spans="11:19" x14ac:dyDescent="0.15">
      <c r="K1452" s="102">
        <f>tbl_ArchitectureOffices!D1452</f>
        <v>0</v>
      </c>
      <c r="L1452" s="102">
        <f>tbl_ArchitectureOffices!C1452</f>
        <v>0</v>
      </c>
      <c r="M1452" s="102">
        <f t="shared" si="66"/>
        <v>0</v>
      </c>
      <c r="N1452" s="102">
        <f>tbl_Companys!D1452</f>
        <v>0</v>
      </c>
      <c r="O1452" s="102">
        <f>tbl_Companys!C1452</f>
        <v>0</v>
      </c>
      <c r="P1452" s="102">
        <f t="shared" si="67"/>
        <v>0</v>
      </c>
      <c r="Q1452" s="102">
        <f>tbl_ConsultingCompanys!D1452</f>
        <v>0</v>
      </c>
      <c r="R1452" s="102">
        <f>tbl_ConsultingCompanys!C1452</f>
        <v>0</v>
      </c>
      <c r="S1452" s="102">
        <f t="shared" si="68"/>
        <v>0</v>
      </c>
    </row>
    <row r="1453" spans="11:19" x14ac:dyDescent="0.15">
      <c r="K1453" s="102">
        <f>tbl_ArchitectureOffices!D1453</f>
        <v>0</v>
      </c>
      <c r="L1453" s="102">
        <f>tbl_ArchitectureOffices!C1453</f>
        <v>0</v>
      </c>
      <c r="M1453" s="102">
        <f t="shared" si="66"/>
        <v>0</v>
      </c>
      <c r="N1453" s="102">
        <f>tbl_Companys!D1453</f>
        <v>0</v>
      </c>
      <c r="O1453" s="102">
        <f>tbl_Companys!C1453</f>
        <v>0</v>
      </c>
      <c r="P1453" s="102">
        <f t="shared" si="67"/>
        <v>0</v>
      </c>
      <c r="Q1453" s="102">
        <f>tbl_ConsultingCompanys!D1453</f>
        <v>0</v>
      </c>
      <c r="R1453" s="102">
        <f>tbl_ConsultingCompanys!C1453</f>
        <v>0</v>
      </c>
      <c r="S1453" s="102">
        <f t="shared" si="68"/>
        <v>0</v>
      </c>
    </row>
    <row r="1454" spans="11:19" x14ac:dyDescent="0.15">
      <c r="K1454" s="102">
        <f>tbl_ArchitectureOffices!D1454</f>
        <v>0</v>
      </c>
      <c r="L1454" s="102">
        <f>tbl_ArchitectureOffices!C1454</f>
        <v>0</v>
      </c>
      <c r="M1454" s="102">
        <f t="shared" si="66"/>
        <v>0</v>
      </c>
      <c r="N1454" s="102">
        <f>tbl_Companys!D1454</f>
        <v>0</v>
      </c>
      <c r="O1454" s="102">
        <f>tbl_Companys!C1454</f>
        <v>0</v>
      </c>
      <c r="P1454" s="102">
        <f t="shared" si="67"/>
        <v>0</v>
      </c>
      <c r="Q1454" s="102">
        <f>tbl_ConsultingCompanys!D1454</f>
        <v>0</v>
      </c>
      <c r="R1454" s="102">
        <f>tbl_ConsultingCompanys!C1454</f>
        <v>0</v>
      </c>
      <c r="S1454" s="102">
        <f t="shared" si="68"/>
        <v>0</v>
      </c>
    </row>
    <row r="1455" spans="11:19" x14ac:dyDescent="0.15">
      <c r="K1455" s="102">
        <f>tbl_ArchitectureOffices!D1455</f>
        <v>0</v>
      </c>
      <c r="L1455" s="102">
        <f>tbl_ArchitectureOffices!C1455</f>
        <v>0</v>
      </c>
      <c r="M1455" s="102">
        <f t="shared" si="66"/>
        <v>0</v>
      </c>
      <c r="N1455" s="102">
        <f>tbl_Companys!D1455</f>
        <v>0</v>
      </c>
      <c r="O1455" s="102">
        <f>tbl_Companys!C1455</f>
        <v>0</v>
      </c>
      <c r="P1455" s="102">
        <f t="shared" si="67"/>
        <v>0</v>
      </c>
      <c r="Q1455" s="102">
        <f>tbl_ConsultingCompanys!D1455</f>
        <v>0</v>
      </c>
      <c r="R1455" s="102">
        <f>tbl_ConsultingCompanys!C1455</f>
        <v>0</v>
      </c>
      <c r="S1455" s="102">
        <f t="shared" si="68"/>
        <v>0</v>
      </c>
    </row>
    <row r="1456" spans="11:19" x14ac:dyDescent="0.15">
      <c r="K1456" s="102">
        <f>tbl_ArchitectureOffices!D1456</f>
        <v>0</v>
      </c>
      <c r="L1456" s="102">
        <f>tbl_ArchitectureOffices!C1456</f>
        <v>0</v>
      </c>
      <c r="M1456" s="102">
        <f t="shared" si="66"/>
        <v>0</v>
      </c>
      <c r="N1456" s="102">
        <f>tbl_Companys!D1456</f>
        <v>0</v>
      </c>
      <c r="O1456" s="102">
        <f>tbl_Companys!C1456</f>
        <v>0</v>
      </c>
      <c r="P1456" s="102">
        <f t="shared" si="67"/>
        <v>0</v>
      </c>
      <c r="Q1456" s="102">
        <f>tbl_ConsultingCompanys!D1456</f>
        <v>0</v>
      </c>
      <c r="R1456" s="102">
        <f>tbl_ConsultingCompanys!C1456</f>
        <v>0</v>
      </c>
      <c r="S1456" s="102">
        <f t="shared" si="68"/>
        <v>0</v>
      </c>
    </row>
    <row r="1457" spans="11:19" x14ac:dyDescent="0.15">
      <c r="K1457" s="102">
        <f>tbl_ArchitectureOffices!D1457</f>
        <v>0</v>
      </c>
      <c r="L1457" s="102">
        <f>tbl_ArchitectureOffices!C1457</f>
        <v>0</v>
      </c>
      <c r="M1457" s="102">
        <f t="shared" si="66"/>
        <v>0</v>
      </c>
      <c r="N1457" s="102">
        <f>tbl_Companys!D1457</f>
        <v>0</v>
      </c>
      <c r="O1457" s="102">
        <f>tbl_Companys!C1457</f>
        <v>0</v>
      </c>
      <c r="P1457" s="102">
        <f t="shared" si="67"/>
        <v>0</v>
      </c>
      <c r="Q1457" s="102">
        <f>tbl_ConsultingCompanys!D1457</f>
        <v>0</v>
      </c>
      <c r="R1457" s="102">
        <f>tbl_ConsultingCompanys!C1457</f>
        <v>0</v>
      </c>
      <c r="S1457" s="102">
        <f t="shared" si="68"/>
        <v>0</v>
      </c>
    </row>
    <row r="1458" spans="11:19" x14ac:dyDescent="0.15">
      <c r="K1458" s="102">
        <f>tbl_ArchitectureOffices!D1458</f>
        <v>0</v>
      </c>
      <c r="L1458" s="102">
        <f>tbl_ArchitectureOffices!C1458</f>
        <v>0</v>
      </c>
      <c r="M1458" s="102">
        <f t="shared" si="66"/>
        <v>0</v>
      </c>
      <c r="N1458" s="102">
        <f>tbl_Companys!D1458</f>
        <v>0</v>
      </c>
      <c r="O1458" s="102">
        <f>tbl_Companys!C1458</f>
        <v>0</v>
      </c>
      <c r="P1458" s="102">
        <f t="shared" si="67"/>
        <v>0</v>
      </c>
      <c r="Q1458" s="102">
        <f>tbl_ConsultingCompanys!D1458</f>
        <v>0</v>
      </c>
      <c r="R1458" s="102">
        <f>tbl_ConsultingCompanys!C1458</f>
        <v>0</v>
      </c>
      <c r="S1458" s="102">
        <f t="shared" si="68"/>
        <v>0</v>
      </c>
    </row>
    <row r="1459" spans="11:19" x14ac:dyDescent="0.15">
      <c r="K1459" s="102">
        <f>tbl_ArchitectureOffices!D1459</f>
        <v>0</v>
      </c>
      <c r="L1459" s="102">
        <f>tbl_ArchitectureOffices!C1459</f>
        <v>0</v>
      </c>
      <c r="M1459" s="102">
        <f t="shared" si="66"/>
        <v>0</v>
      </c>
      <c r="N1459" s="102">
        <f>tbl_Companys!D1459</f>
        <v>0</v>
      </c>
      <c r="O1459" s="102">
        <f>tbl_Companys!C1459</f>
        <v>0</v>
      </c>
      <c r="P1459" s="102">
        <f t="shared" si="67"/>
        <v>0</v>
      </c>
      <c r="Q1459" s="102">
        <f>tbl_ConsultingCompanys!D1459</f>
        <v>0</v>
      </c>
      <c r="R1459" s="102">
        <f>tbl_ConsultingCompanys!C1459</f>
        <v>0</v>
      </c>
      <c r="S1459" s="102">
        <f t="shared" si="68"/>
        <v>0</v>
      </c>
    </row>
    <row r="1460" spans="11:19" x14ac:dyDescent="0.15">
      <c r="K1460" s="102">
        <f>tbl_ArchitectureOffices!D1460</f>
        <v>0</v>
      </c>
      <c r="L1460" s="102">
        <f>tbl_ArchitectureOffices!C1460</f>
        <v>0</v>
      </c>
      <c r="M1460" s="102">
        <f t="shared" si="66"/>
        <v>0</v>
      </c>
      <c r="N1460" s="102">
        <f>tbl_Companys!D1460</f>
        <v>0</v>
      </c>
      <c r="O1460" s="102">
        <f>tbl_Companys!C1460</f>
        <v>0</v>
      </c>
      <c r="P1460" s="102">
        <f t="shared" si="67"/>
        <v>0</v>
      </c>
      <c r="Q1460" s="102">
        <f>tbl_ConsultingCompanys!D1460</f>
        <v>0</v>
      </c>
      <c r="R1460" s="102">
        <f>tbl_ConsultingCompanys!C1460</f>
        <v>0</v>
      </c>
      <c r="S1460" s="102">
        <f t="shared" si="68"/>
        <v>0</v>
      </c>
    </row>
    <row r="1461" spans="11:19" x14ac:dyDescent="0.15">
      <c r="K1461" s="102">
        <f>tbl_ArchitectureOffices!D1461</f>
        <v>0</v>
      </c>
      <c r="L1461" s="102">
        <f>tbl_ArchitectureOffices!C1461</f>
        <v>0</v>
      </c>
      <c r="M1461" s="102">
        <f t="shared" si="66"/>
        <v>0</v>
      </c>
      <c r="N1461" s="102">
        <f>tbl_Companys!D1461</f>
        <v>0</v>
      </c>
      <c r="O1461" s="102">
        <f>tbl_Companys!C1461</f>
        <v>0</v>
      </c>
      <c r="P1461" s="102">
        <f t="shared" si="67"/>
        <v>0</v>
      </c>
      <c r="Q1461" s="102">
        <f>tbl_ConsultingCompanys!D1461</f>
        <v>0</v>
      </c>
      <c r="R1461" s="102">
        <f>tbl_ConsultingCompanys!C1461</f>
        <v>0</v>
      </c>
      <c r="S1461" s="102">
        <f t="shared" si="68"/>
        <v>0</v>
      </c>
    </row>
    <row r="1462" spans="11:19" x14ac:dyDescent="0.15">
      <c r="K1462" s="102">
        <f>tbl_ArchitectureOffices!D1462</f>
        <v>0</v>
      </c>
      <c r="L1462" s="102">
        <f>tbl_ArchitectureOffices!C1462</f>
        <v>0</v>
      </c>
      <c r="M1462" s="102">
        <f t="shared" ref="M1462:M1525" si="69">IFERROR(REPLACE(K1462,FIND(" ",K1462,LEN(K1462)),1,""),K1462)</f>
        <v>0</v>
      </c>
      <c r="N1462" s="102">
        <f>tbl_Companys!D1462</f>
        <v>0</v>
      </c>
      <c r="O1462" s="102">
        <f>tbl_Companys!C1462</f>
        <v>0</v>
      </c>
      <c r="P1462" s="102">
        <f t="shared" si="67"/>
        <v>0</v>
      </c>
      <c r="Q1462" s="102">
        <f>tbl_ConsultingCompanys!D1462</f>
        <v>0</v>
      </c>
      <c r="R1462" s="102">
        <f>tbl_ConsultingCompanys!C1462</f>
        <v>0</v>
      </c>
      <c r="S1462" s="102">
        <f t="shared" si="68"/>
        <v>0</v>
      </c>
    </row>
    <row r="1463" spans="11:19" x14ac:dyDescent="0.15">
      <c r="K1463" s="102">
        <f>tbl_ArchitectureOffices!D1463</f>
        <v>0</v>
      </c>
      <c r="L1463" s="102">
        <f>tbl_ArchitectureOffices!C1463</f>
        <v>0</v>
      </c>
      <c r="M1463" s="102">
        <f t="shared" si="69"/>
        <v>0</v>
      </c>
      <c r="N1463" s="102">
        <f>tbl_Companys!D1463</f>
        <v>0</v>
      </c>
      <c r="O1463" s="102">
        <f>tbl_Companys!C1463</f>
        <v>0</v>
      </c>
      <c r="P1463" s="102">
        <f t="shared" si="67"/>
        <v>0</v>
      </c>
      <c r="Q1463" s="102">
        <f>tbl_ConsultingCompanys!D1463</f>
        <v>0</v>
      </c>
      <c r="R1463" s="102">
        <f>tbl_ConsultingCompanys!C1463</f>
        <v>0</v>
      </c>
      <c r="S1463" s="102">
        <f t="shared" si="68"/>
        <v>0</v>
      </c>
    </row>
    <row r="1464" spans="11:19" x14ac:dyDescent="0.15">
      <c r="K1464" s="102">
        <f>tbl_ArchitectureOffices!D1464</f>
        <v>0</v>
      </c>
      <c r="L1464" s="102">
        <f>tbl_ArchitectureOffices!C1464</f>
        <v>0</v>
      </c>
      <c r="M1464" s="102">
        <f t="shared" si="69"/>
        <v>0</v>
      </c>
      <c r="N1464" s="102">
        <f>tbl_Companys!D1464</f>
        <v>0</v>
      </c>
      <c r="O1464" s="102">
        <f>tbl_Companys!C1464</f>
        <v>0</v>
      </c>
      <c r="P1464" s="102">
        <f t="shared" si="67"/>
        <v>0</v>
      </c>
      <c r="Q1464" s="102">
        <f>tbl_ConsultingCompanys!D1464</f>
        <v>0</v>
      </c>
      <c r="R1464" s="102">
        <f>tbl_ConsultingCompanys!C1464</f>
        <v>0</v>
      </c>
      <c r="S1464" s="102">
        <f t="shared" si="68"/>
        <v>0</v>
      </c>
    </row>
    <row r="1465" spans="11:19" x14ac:dyDescent="0.15">
      <c r="K1465" s="102">
        <f>tbl_ArchitectureOffices!D1465</f>
        <v>0</v>
      </c>
      <c r="L1465" s="102">
        <f>tbl_ArchitectureOffices!C1465</f>
        <v>0</v>
      </c>
      <c r="M1465" s="102">
        <f t="shared" si="69"/>
        <v>0</v>
      </c>
      <c r="N1465" s="102">
        <f>tbl_Companys!D1465</f>
        <v>0</v>
      </c>
      <c r="O1465" s="102">
        <f>tbl_Companys!C1465</f>
        <v>0</v>
      </c>
      <c r="P1465" s="102">
        <f t="shared" si="67"/>
        <v>0</v>
      </c>
      <c r="Q1465" s="102">
        <f>tbl_ConsultingCompanys!D1465</f>
        <v>0</v>
      </c>
      <c r="R1465" s="102">
        <f>tbl_ConsultingCompanys!C1465</f>
        <v>0</v>
      </c>
      <c r="S1465" s="102">
        <f t="shared" si="68"/>
        <v>0</v>
      </c>
    </row>
    <row r="1466" spans="11:19" x14ac:dyDescent="0.15">
      <c r="K1466" s="102">
        <f>tbl_ArchitectureOffices!D1466</f>
        <v>0</v>
      </c>
      <c r="L1466" s="102">
        <f>tbl_ArchitectureOffices!C1466</f>
        <v>0</v>
      </c>
      <c r="M1466" s="102">
        <f t="shared" si="69"/>
        <v>0</v>
      </c>
      <c r="N1466" s="102">
        <f>tbl_Companys!D1466</f>
        <v>0</v>
      </c>
      <c r="O1466" s="102">
        <f>tbl_Companys!C1466</f>
        <v>0</v>
      </c>
      <c r="P1466" s="102">
        <f t="shared" si="67"/>
        <v>0</v>
      </c>
      <c r="Q1466" s="102">
        <f>tbl_ConsultingCompanys!D1466</f>
        <v>0</v>
      </c>
      <c r="R1466" s="102">
        <f>tbl_ConsultingCompanys!C1466</f>
        <v>0</v>
      </c>
      <c r="S1466" s="102">
        <f t="shared" si="68"/>
        <v>0</v>
      </c>
    </row>
    <row r="1467" spans="11:19" x14ac:dyDescent="0.15">
      <c r="K1467" s="102">
        <f>tbl_ArchitectureOffices!D1467</f>
        <v>0</v>
      </c>
      <c r="L1467" s="102">
        <f>tbl_ArchitectureOffices!C1467</f>
        <v>0</v>
      </c>
      <c r="M1467" s="102">
        <f t="shared" si="69"/>
        <v>0</v>
      </c>
      <c r="N1467" s="102">
        <f>tbl_Companys!D1467</f>
        <v>0</v>
      </c>
      <c r="O1467" s="102">
        <f>tbl_Companys!C1467</f>
        <v>0</v>
      </c>
      <c r="P1467" s="102">
        <f t="shared" si="67"/>
        <v>0</v>
      </c>
      <c r="Q1467" s="102">
        <f>tbl_ConsultingCompanys!D1467</f>
        <v>0</v>
      </c>
      <c r="R1467" s="102">
        <f>tbl_ConsultingCompanys!C1467</f>
        <v>0</v>
      </c>
      <c r="S1467" s="102">
        <f t="shared" si="68"/>
        <v>0</v>
      </c>
    </row>
    <row r="1468" spans="11:19" x14ac:dyDescent="0.15">
      <c r="K1468" s="102">
        <f>tbl_ArchitectureOffices!D1468</f>
        <v>0</v>
      </c>
      <c r="L1468" s="102">
        <f>tbl_ArchitectureOffices!C1468</f>
        <v>0</v>
      </c>
      <c r="M1468" s="102">
        <f t="shared" si="69"/>
        <v>0</v>
      </c>
      <c r="N1468" s="102">
        <f>tbl_Companys!D1468</f>
        <v>0</v>
      </c>
      <c r="O1468" s="102">
        <f>tbl_Companys!C1468</f>
        <v>0</v>
      </c>
      <c r="P1468" s="102">
        <f t="shared" si="67"/>
        <v>0</v>
      </c>
      <c r="Q1468" s="102">
        <f>tbl_ConsultingCompanys!D1468</f>
        <v>0</v>
      </c>
      <c r="R1468" s="102">
        <f>tbl_ConsultingCompanys!C1468</f>
        <v>0</v>
      </c>
      <c r="S1468" s="102">
        <f t="shared" si="68"/>
        <v>0</v>
      </c>
    </row>
    <row r="1469" spans="11:19" x14ac:dyDescent="0.15">
      <c r="K1469" s="102">
        <f>tbl_ArchitectureOffices!D1469</f>
        <v>0</v>
      </c>
      <c r="L1469" s="102">
        <f>tbl_ArchitectureOffices!C1469</f>
        <v>0</v>
      </c>
      <c r="M1469" s="102">
        <f t="shared" si="69"/>
        <v>0</v>
      </c>
      <c r="N1469" s="102">
        <f>tbl_Companys!D1469</f>
        <v>0</v>
      </c>
      <c r="O1469" s="102">
        <f>tbl_Companys!C1469</f>
        <v>0</v>
      </c>
      <c r="P1469" s="102">
        <f t="shared" si="67"/>
        <v>0</v>
      </c>
      <c r="Q1469" s="102">
        <f>tbl_ConsultingCompanys!D1469</f>
        <v>0</v>
      </c>
      <c r="R1469" s="102">
        <f>tbl_ConsultingCompanys!C1469</f>
        <v>0</v>
      </c>
      <c r="S1469" s="102">
        <f t="shared" si="68"/>
        <v>0</v>
      </c>
    </row>
    <row r="1470" spans="11:19" x14ac:dyDescent="0.15">
      <c r="K1470" s="102">
        <f>tbl_ArchitectureOffices!D1470</f>
        <v>0</v>
      </c>
      <c r="L1470" s="102">
        <f>tbl_ArchitectureOffices!C1470</f>
        <v>0</v>
      </c>
      <c r="M1470" s="102">
        <f t="shared" si="69"/>
        <v>0</v>
      </c>
      <c r="N1470" s="102">
        <f>tbl_Companys!D1470</f>
        <v>0</v>
      </c>
      <c r="O1470" s="102">
        <f>tbl_Companys!C1470</f>
        <v>0</v>
      </c>
      <c r="P1470" s="102">
        <f t="shared" si="67"/>
        <v>0</v>
      </c>
      <c r="Q1470" s="102">
        <f>tbl_ConsultingCompanys!D1470</f>
        <v>0</v>
      </c>
      <c r="R1470" s="102">
        <f>tbl_ConsultingCompanys!C1470</f>
        <v>0</v>
      </c>
      <c r="S1470" s="102">
        <f t="shared" si="68"/>
        <v>0</v>
      </c>
    </row>
    <row r="1471" spans="11:19" x14ac:dyDescent="0.15">
      <c r="K1471" s="102">
        <f>tbl_ArchitectureOffices!D1471</f>
        <v>0</v>
      </c>
      <c r="L1471" s="102">
        <f>tbl_ArchitectureOffices!C1471</f>
        <v>0</v>
      </c>
      <c r="M1471" s="102">
        <f t="shared" si="69"/>
        <v>0</v>
      </c>
      <c r="N1471" s="102">
        <f>tbl_Companys!D1471</f>
        <v>0</v>
      </c>
      <c r="O1471" s="102">
        <f>tbl_Companys!C1471</f>
        <v>0</v>
      </c>
      <c r="P1471" s="102">
        <f t="shared" si="67"/>
        <v>0</v>
      </c>
      <c r="Q1471" s="102">
        <f>tbl_ConsultingCompanys!D1471</f>
        <v>0</v>
      </c>
      <c r="R1471" s="102">
        <f>tbl_ConsultingCompanys!C1471</f>
        <v>0</v>
      </c>
      <c r="S1471" s="102">
        <f t="shared" si="68"/>
        <v>0</v>
      </c>
    </row>
    <row r="1472" spans="11:19" x14ac:dyDescent="0.15">
      <c r="K1472" s="102">
        <f>tbl_ArchitectureOffices!D1472</f>
        <v>0</v>
      </c>
      <c r="L1472" s="102">
        <f>tbl_ArchitectureOffices!C1472</f>
        <v>0</v>
      </c>
      <c r="M1472" s="102">
        <f t="shared" si="69"/>
        <v>0</v>
      </c>
      <c r="N1472" s="102">
        <f>tbl_Companys!D1472</f>
        <v>0</v>
      </c>
      <c r="O1472" s="102">
        <f>tbl_Companys!C1472</f>
        <v>0</v>
      </c>
      <c r="P1472" s="102">
        <f t="shared" si="67"/>
        <v>0</v>
      </c>
      <c r="Q1472" s="102">
        <f>tbl_ConsultingCompanys!D1472</f>
        <v>0</v>
      </c>
      <c r="R1472" s="102">
        <f>tbl_ConsultingCompanys!C1472</f>
        <v>0</v>
      </c>
      <c r="S1472" s="102">
        <f t="shared" si="68"/>
        <v>0</v>
      </c>
    </row>
    <row r="1473" spans="11:19" x14ac:dyDescent="0.15">
      <c r="K1473" s="102">
        <f>tbl_ArchitectureOffices!D1473</f>
        <v>0</v>
      </c>
      <c r="L1473" s="102">
        <f>tbl_ArchitectureOffices!C1473</f>
        <v>0</v>
      </c>
      <c r="M1473" s="102">
        <f t="shared" si="69"/>
        <v>0</v>
      </c>
      <c r="N1473" s="102">
        <f>tbl_Companys!D1473</f>
        <v>0</v>
      </c>
      <c r="O1473" s="102">
        <f>tbl_Companys!C1473</f>
        <v>0</v>
      </c>
      <c r="P1473" s="102">
        <f t="shared" si="67"/>
        <v>0</v>
      </c>
      <c r="Q1473" s="102">
        <f>tbl_ConsultingCompanys!D1473</f>
        <v>0</v>
      </c>
      <c r="R1473" s="102">
        <f>tbl_ConsultingCompanys!C1473</f>
        <v>0</v>
      </c>
      <c r="S1473" s="102">
        <f t="shared" si="68"/>
        <v>0</v>
      </c>
    </row>
    <row r="1474" spans="11:19" x14ac:dyDescent="0.15">
      <c r="K1474" s="102">
        <f>tbl_ArchitectureOffices!D1474</f>
        <v>0</v>
      </c>
      <c r="L1474" s="102">
        <f>tbl_ArchitectureOffices!C1474</f>
        <v>0</v>
      </c>
      <c r="M1474" s="102">
        <f t="shared" si="69"/>
        <v>0</v>
      </c>
      <c r="N1474" s="102">
        <f>tbl_Companys!D1474</f>
        <v>0</v>
      </c>
      <c r="O1474" s="102">
        <f>tbl_Companys!C1474</f>
        <v>0</v>
      </c>
      <c r="P1474" s="102">
        <f t="shared" si="67"/>
        <v>0</v>
      </c>
      <c r="Q1474" s="102">
        <f>tbl_ConsultingCompanys!D1474</f>
        <v>0</v>
      </c>
      <c r="R1474" s="102">
        <f>tbl_ConsultingCompanys!C1474</f>
        <v>0</v>
      </c>
      <c r="S1474" s="102">
        <f t="shared" si="68"/>
        <v>0</v>
      </c>
    </row>
    <row r="1475" spans="11:19" x14ac:dyDescent="0.15">
      <c r="K1475" s="102">
        <f>tbl_ArchitectureOffices!D1475</f>
        <v>0</v>
      </c>
      <c r="L1475" s="102">
        <f>tbl_ArchitectureOffices!C1475</f>
        <v>0</v>
      </c>
      <c r="M1475" s="102">
        <f t="shared" si="69"/>
        <v>0</v>
      </c>
      <c r="N1475" s="102">
        <f>tbl_Companys!D1475</f>
        <v>0</v>
      </c>
      <c r="O1475" s="102">
        <f>tbl_Companys!C1475</f>
        <v>0</v>
      </c>
      <c r="P1475" s="102">
        <f t="shared" ref="P1475:P1538" si="70">IFERROR(REPLACE(N1475,FIND(" ",N1475,LEN(N1475)),1,""),N1475)</f>
        <v>0</v>
      </c>
      <c r="Q1475" s="102">
        <f>tbl_ConsultingCompanys!D1475</f>
        <v>0</v>
      </c>
      <c r="R1475" s="102">
        <f>tbl_ConsultingCompanys!C1475</f>
        <v>0</v>
      </c>
      <c r="S1475" s="102">
        <f t="shared" ref="S1475:S1538" si="71">IFERROR(REPLACE(Q1475,FIND(" ",Q1475,LEN(Q1475)),1,""),Q1475)</f>
        <v>0</v>
      </c>
    </row>
    <row r="1476" spans="11:19" x14ac:dyDescent="0.15">
      <c r="K1476" s="102">
        <f>tbl_ArchitectureOffices!D1476</f>
        <v>0</v>
      </c>
      <c r="L1476" s="102">
        <f>tbl_ArchitectureOffices!C1476</f>
        <v>0</v>
      </c>
      <c r="M1476" s="102">
        <f t="shared" si="69"/>
        <v>0</v>
      </c>
      <c r="N1476" s="102">
        <f>tbl_Companys!D1476</f>
        <v>0</v>
      </c>
      <c r="O1476" s="102">
        <f>tbl_Companys!C1476</f>
        <v>0</v>
      </c>
      <c r="P1476" s="102">
        <f t="shared" si="70"/>
        <v>0</v>
      </c>
      <c r="Q1476" s="102">
        <f>tbl_ConsultingCompanys!D1476</f>
        <v>0</v>
      </c>
      <c r="R1476" s="102">
        <f>tbl_ConsultingCompanys!C1476</f>
        <v>0</v>
      </c>
      <c r="S1476" s="102">
        <f t="shared" si="71"/>
        <v>0</v>
      </c>
    </row>
    <row r="1477" spans="11:19" x14ac:dyDescent="0.15">
      <c r="K1477" s="102">
        <f>tbl_ArchitectureOffices!D1477</f>
        <v>0</v>
      </c>
      <c r="L1477" s="102">
        <f>tbl_ArchitectureOffices!C1477</f>
        <v>0</v>
      </c>
      <c r="M1477" s="102">
        <f t="shared" si="69"/>
        <v>0</v>
      </c>
      <c r="N1477" s="102">
        <f>tbl_Companys!D1477</f>
        <v>0</v>
      </c>
      <c r="O1477" s="102">
        <f>tbl_Companys!C1477</f>
        <v>0</v>
      </c>
      <c r="P1477" s="102">
        <f t="shared" si="70"/>
        <v>0</v>
      </c>
      <c r="Q1477" s="102">
        <f>tbl_ConsultingCompanys!D1477</f>
        <v>0</v>
      </c>
      <c r="R1477" s="102">
        <f>tbl_ConsultingCompanys!C1477</f>
        <v>0</v>
      </c>
      <c r="S1477" s="102">
        <f t="shared" si="71"/>
        <v>0</v>
      </c>
    </row>
    <row r="1478" spans="11:19" x14ac:dyDescent="0.15">
      <c r="K1478" s="102">
        <f>tbl_ArchitectureOffices!D1478</f>
        <v>0</v>
      </c>
      <c r="L1478" s="102">
        <f>tbl_ArchitectureOffices!C1478</f>
        <v>0</v>
      </c>
      <c r="M1478" s="102">
        <f t="shared" si="69"/>
        <v>0</v>
      </c>
      <c r="N1478" s="102">
        <f>tbl_Companys!D1478</f>
        <v>0</v>
      </c>
      <c r="O1478" s="102">
        <f>tbl_Companys!C1478</f>
        <v>0</v>
      </c>
      <c r="P1478" s="102">
        <f t="shared" si="70"/>
        <v>0</v>
      </c>
      <c r="Q1478" s="102">
        <f>tbl_ConsultingCompanys!D1478</f>
        <v>0</v>
      </c>
      <c r="R1478" s="102">
        <f>tbl_ConsultingCompanys!C1478</f>
        <v>0</v>
      </c>
      <c r="S1478" s="102">
        <f t="shared" si="71"/>
        <v>0</v>
      </c>
    </row>
    <row r="1479" spans="11:19" x14ac:dyDescent="0.15">
      <c r="K1479" s="102">
        <f>tbl_ArchitectureOffices!D1479</f>
        <v>0</v>
      </c>
      <c r="L1479" s="102">
        <f>tbl_ArchitectureOffices!C1479</f>
        <v>0</v>
      </c>
      <c r="M1479" s="102">
        <f t="shared" si="69"/>
        <v>0</v>
      </c>
      <c r="N1479" s="102">
        <f>tbl_Companys!D1479</f>
        <v>0</v>
      </c>
      <c r="O1479" s="102">
        <f>tbl_Companys!C1479</f>
        <v>0</v>
      </c>
      <c r="P1479" s="102">
        <f t="shared" si="70"/>
        <v>0</v>
      </c>
      <c r="Q1479" s="102">
        <f>tbl_ConsultingCompanys!D1479</f>
        <v>0</v>
      </c>
      <c r="R1479" s="102">
        <f>tbl_ConsultingCompanys!C1479</f>
        <v>0</v>
      </c>
      <c r="S1479" s="102">
        <f t="shared" si="71"/>
        <v>0</v>
      </c>
    </row>
    <row r="1480" spans="11:19" x14ac:dyDescent="0.15">
      <c r="K1480" s="102">
        <f>tbl_ArchitectureOffices!D1480</f>
        <v>0</v>
      </c>
      <c r="L1480" s="102">
        <f>tbl_ArchitectureOffices!C1480</f>
        <v>0</v>
      </c>
      <c r="M1480" s="102">
        <f t="shared" si="69"/>
        <v>0</v>
      </c>
      <c r="N1480" s="102">
        <f>tbl_Companys!D1480</f>
        <v>0</v>
      </c>
      <c r="O1480" s="102">
        <f>tbl_Companys!C1480</f>
        <v>0</v>
      </c>
      <c r="P1480" s="102">
        <f t="shared" si="70"/>
        <v>0</v>
      </c>
      <c r="Q1480" s="102">
        <f>tbl_ConsultingCompanys!D1480</f>
        <v>0</v>
      </c>
      <c r="R1480" s="102">
        <f>tbl_ConsultingCompanys!C1480</f>
        <v>0</v>
      </c>
      <c r="S1480" s="102">
        <f t="shared" si="71"/>
        <v>0</v>
      </c>
    </row>
    <row r="1481" spans="11:19" x14ac:dyDescent="0.15">
      <c r="K1481" s="102">
        <f>tbl_ArchitectureOffices!D1481</f>
        <v>0</v>
      </c>
      <c r="L1481" s="102">
        <f>tbl_ArchitectureOffices!C1481</f>
        <v>0</v>
      </c>
      <c r="M1481" s="102">
        <f t="shared" si="69"/>
        <v>0</v>
      </c>
      <c r="N1481" s="102">
        <f>tbl_Companys!D1481</f>
        <v>0</v>
      </c>
      <c r="O1481" s="102">
        <f>tbl_Companys!C1481</f>
        <v>0</v>
      </c>
      <c r="P1481" s="102">
        <f t="shared" si="70"/>
        <v>0</v>
      </c>
      <c r="Q1481" s="102">
        <f>tbl_ConsultingCompanys!D1481</f>
        <v>0</v>
      </c>
      <c r="R1481" s="102">
        <f>tbl_ConsultingCompanys!C1481</f>
        <v>0</v>
      </c>
      <c r="S1481" s="102">
        <f t="shared" si="71"/>
        <v>0</v>
      </c>
    </row>
    <row r="1482" spans="11:19" x14ac:dyDescent="0.15">
      <c r="K1482" s="102">
        <f>tbl_ArchitectureOffices!D1482</f>
        <v>0</v>
      </c>
      <c r="L1482" s="102">
        <f>tbl_ArchitectureOffices!C1482</f>
        <v>0</v>
      </c>
      <c r="M1482" s="102">
        <f t="shared" si="69"/>
        <v>0</v>
      </c>
      <c r="N1482" s="102">
        <f>tbl_Companys!D1482</f>
        <v>0</v>
      </c>
      <c r="O1482" s="102">
        <f>tbl_Companys!C1482</f>
        <v>0</v>
      </c>
      <c r="P1482" s="102">
        <f t="shared" si="70"/>
        <v>0</v>
      </c>
      <c r="Q1482" s="102">
        <f>tbl_ConsultingCompanys!D1482</f>
        <v>0</v>
      </c>
      <c r="R1482" s="102">
        <f>tbl_ConsultingCompanys!C1482</f>
        <v>0</v>
      </c>
      <c r="S1482" s="102">
        <f t="shared" si="71"/>
        <v>0</v>
      </c>
    </row>
    <row r="1483" spans="11:19" x14ac:dyDescent="0.15">
      <c r="K1483" s="102">
        <f>tbl_ArchitectureOffices!D1483</f>
        <v>0</v>
      </c>
      <c r="L1483" s="102">
        <f>tbl_ArchitectureOffices!C1483</f>
        <v>0</v>
      </c>
      <c r="M1483" s="102">
        <f t="shared" si="69"/>
        <v>0</v>
      </c>
      <c r="N1483" s="102">
        <f>tbl_Companys!D1483</f>
        <v>0</v>
      </c>
      <c r="O1483" s="102">
        <f>tbl_Companys!C1483</f>
        <v>0</v>
      </c>
      <c r="P1483" s="102">
        <f t="shared" si="70"/>
        <v>0</v>
      </c>
      <c r="Q1483" s="102">
        <f>tbl_ConsultingCompanys!D1483</f>
        <v>0</v>
      </c>
      <c r="R1483" s="102">
        <f>tbl_ConsultingCompanys!C1483</f>
        <v>0</v>
      </c>
      <c r="S1483" s="102">
        <f t="shared" si="71"/>
        <v>0</v>
      </c>
    </row>
    <row r="1484" spans="11:19" x14ac:dyDescent="0.15">
      <c r="K1484" s="102">
        <f>tbl_ArchitectureOffices!D1484</f>
        <v>0</v>
      </c>
      <c r="L1484" s="102">
        <f>tbl_ArchitectureOffices!C1484</f>
        <v>0</v>
      </c>
      <c r="M1484" s="102">
        <f t="shared" si="69"/>
        <v>0</v>
      </c>
      <c r="N1484" s="102">
        <f>tbl_Companys!D1484</f>
        <v>0</v>
      </c>
      <c r="O1484" s="102">
        <f>tbl_Companys!C1484</f>
        <v>0</v>
      </c>
      <c r="P1484" s="102">
        <f t="shared" si="70"/>
        <v>0</v>
      </c>
      <c r="Q1484" s="102">
        <f>tbl_ConsultingCompanys!D1484</f>
        <v>0</v>
      </c>
      <c r="R1484" s="102">
        <f>tbl_ConsultingCompanys!C1484</f>
        <v>0</v>
      </c>
      <c r="S1484" s="102">
        <f t="shared" si="71"/>
        <v>0</v>
      </c>
    </row>
    <row r="1485" spans="11:19" x14ac:dyDescent="0.15">
      <c r="K1485" s="102">
        <f>tbl_ArchitectureOffices!D1485</f>
        <v>0</v>
      </c>
      <c r="L1485" s="102">
        <f>tbl_ArchitectureOffices!C1485</f>
        <v>0</v>
      </c>
      <c r="M1485" s="102">
        <f t="shared" si="69"/>
        <v>0</v>
      </c>
      <c r="N1485" s="102">
        <f>tbl_Companys!D1485</f>
        <v>0</v>
      </c>
      <c r="O1485" s="102">
        <f>tbl_Companys!C1485</f>
        <v>0</v>
      </c>
      <c r="P1485" s="102">
        <f t="shared" si="70"/>
        <v>0</v>
      </c>
      <c r="Q1485" s="102">
        <f>tbl_ConsultingCompanys!D1485</f>
        <v>0</v>
      </c>
      <c r="R1485" s="102">
        <f>tbl_ConsultingCompanys!C1485</f>
        <v>0</v>
      </c>
      <c r="S1485" s="102">
        <f t="shared" si="71"/>
        <v>0</v>
      </c>
    </row>
    <row r="1486" spans="11:19" x14ac:dyDescent="0.15">
      <c r="K1486" s="102">
        <f>tbl_ArchitectureOffices!D1486</f>
        <v>0</v>
      </c>
      <c r="L1486" s="102">
        <f>tbl_ArchitectureOffices!C1486</f>
        <v>0</v>
      </c>
      <c r="M1486" s="102">
        <f t="shared" si="69"/>
        <v>0</v>
      </c>
      <c r="N1486" s="102">
        <f>tbl_Companys!D1486</f>
        <v>0</v>
      </c>
      <c r="O1486" s="102">
        <f>tbl_Companys!C1486</f>
        <v>0</v>
      </c>
      <c r="P1486" s="102">
        <f t="shared" si="70"/>
        <v>0</v>
      </c>
      <c r="Q1486" s="102">
        <f>tbl_ConsultingCompanys!D1486</f>
        <v>0</v>
      </c>
      <c r="R1486" s="102">
        <f>tbl_ConsultingCompanys!C1486</f>
        <v>0</v>
      </c>
      <c r="S1486" s="102">
        <f t="shared" si="71"/>
        <v>0</v>
      </c>
    </row>
    <row r="1487" spans="11:19" x14ac:dyDescent="0.15">
      <c r="K1487" s="102">
        <f>tbl_ArchitectureOffices!D1487</f>
        <v>0</v>
      </c>
      <c r="L1487" s="102">
        <f>tbl_ArchitectureOffices!C1487</f>
        <v>0</v>
      </c>
      <c r="M1487" s="102">
        <f t="shared" si="69"/>
        <v>0</v>
      </c>
      <c r="N1487" s="102">
        <f>tbl_Companys!D1487</f>
        <v>0</v>
      </c>
      <c r="O1487" s="102">
        <f>tbl_Companys!C1487</f>
        <v>0</v>
      </c>
      <c r="P1487" s="102">
        <f t="shared" si="70"/>
        <v>0</v>
      </c>
      <c r="Q1487" s="102">
        <f>tbl_ConsultingCompanys!D1487</f>
        <v>0</v>
      </c>
      <c r="R1487" s="102">
        <f>tbl_ConsultingCompanys!C1487</f>
        <v>0</v>
      </c>
      <c r="S1487" s="102">
        <f t="shared" si="71"/>
        <v>0</v>
      </c>
    </row>
    <row r="1488" spans="11:19" x14ac:dyDescent="0.15">
      <c r="K1488" s="102">
        <f>tbl_ArchitectureOffices!D1488</f>
        <v>0</v>
      </c>
      <c r="L1488" s="102">
        <f>tbl_ArchitectureOffices!C1488</f>
        <v>0</v>
      </c>
      <c r="M1488" s="102">
        <f t="shared" si="69"/>
        <v>0</v>
      </c>
      <c r="N1488" s="102">
        <f>tbl_Companys!D1488</f>
        <v>0</v>
      </c>
      <c r="O1488" s="102">
        <f>tbl_Companys!C1488</f>
        <v>0</v>
      </c>
      <c r="P1488" s="102">
        <f t="shared" si="70"/>
        <v>0</v>
      </c>
      <c r="Q1488" s="102">
        <f>tbl_ConsultingCompanys!D1488</f>
        <v>0</v>
      </c>
      <c r="R1488" s="102">
        <f>tbl_ConsultingCompanys!C1488</f>
        <v>0</v>
      </c>
      <c r="S1488" s="102">
        <f t="shared" si="71"/>
        <v>0</v>
      </c>
    </row>
    <row r="1489" spans="11:19" x14ac:dyDescent="0.15">
      <c r="K1489" s="102">
        <f>tbl_ArchitectureOffices!D1489</f>
        <v>0</v>
      </c>
      <c r="L1489" s="102">
        <f>tbl_ArchitectureOffices!C1489</f>
        <v>0</v>
      </c>
      <c r="M1489" s="102">
        <f t="shared" si="69"/>
        <v>0</v>
      </c>
      <c r="N1489" s="102">
        <f>tbl_Companys!D1489</f>
        <v>0</v>
      </c>
      <c r="O1489" s="102">
        <f>tbl_Companys!C1489</f>
        <v>0</v>
      </c>
      <c r="P1489" s="102">
        <f t="shared" si="70"/>
        <v>0</v>
      </c>
      <c r="Q1489" s="102">
        <f>tbl_ConsultingCompanys!D1489</f>
        <v>0</v>
      </c>
      <c r="R1489" s="102">
        <f>tbl_ConsultingCompanys!C1489</f>
        <v>0</v>
      </c>
      <c r="S1489" s="102">
        <f t="shared" si="71"/>
        <v>0</v>
      </c>
    </row>
    <row r="1490" spans="11:19" x14ac:dyDescent="0.15">
      <c r="K1490" s="102">
        <f>tbl_ArchitectureOffices!D1490</f>
        <v>0</v>
      </c>
      <c r="L1490" s="102">
        <f>tbl_ArchitectureOffices!C1490</f>
        <v>0</v>
      </c>
      <c r="M1490" s="102">
        <f t="shared" si="69"/>
        <v>0</v>
      </c>
      <c r="N1490" s="102">
        <f>tbl_Companys!D1490</f>
        <v>0</v>
      </c>
      <c r="O1490" s="102">
        <f>tbl_Companys!C1490</f>
        <v>0</v>
      </c>
      <c r="P1490" s="102">
        <f t="shared" si="70"/>
        <v>0</v>
      </c>
      <c r="Q1490" s="102">
        <f>tbl_ConsultingCompanys!D1490</f>
        <v>0</v>
      </c>
      <c r="R1490" s="102">
        <f>tbl_ConsultingCompanys!C1490</f>
        <v>0</v>
      </c>
      <c r="S1490" s="102">
        <f t="shared" si="71"/>
        <v>0</v>
      </c>
    </row>
    <row r="1491" spans="11:19" x14ac:dyDescent="0.15">
      <c r="K1491" s="102">
        <f>tbl_ArchitectureOffices!D1491</f>
        <v>0</v>
      </c>
      <c r="L1491" s="102">
        <f>tbl_ArchitectureOffices!C1491</f>
        <v>0</v>
      </c>
      <c r="M1491" s="102">
        <f t="shared" si="69"/>
        <v>0</v>
      </c>
      <c r="N1491" s="102">
        <f>tbl_Companys!D1491</f>
        <v>0</v>
      </c>
      <c r="O1491" s="102">
        <f>tbl_Companys!C1491</f>
        <v>0</v>
      </c>
      <c r="P1491" s="102">
        <f t="shared" si="70"/>
        <v>0</v>
      </c>
      <c r="Q1491" s="102">
        <f>tbl_ConsultingCompanys!D1491</f>
        <v>0</v>
      </c>
      <c r="R1491" s="102">
        <f>tbl_ConsultingCompanys!C1491</f>
        <v>0</v>
      </c>
      <c r="S1491" s="102">
        <f t="shared" si="71"/>
        <v>0</v>
      </c>
    </row>
    <row r="1492" spans="11:19" x14ac:dyDescent="0.15">
      <c r="K1492" s="102">
        <f>tbl_ArchitectureOffices!D1492</f>
        <v>0</v>
      </c>
      <c r="L1492" s="102">
        <f>tbl_ArchitectureOffices!C1492</f>
        <v>0</v>
      </c>
      <c r="M1492" s="102">
        <f t="shared" si="69"/>
        <v>0</v>
      </c>
      <c r="N1492" s="102">
        <f>tbl_Companys!D1492</f>
        <v>0</v>
      </c>
      <c r="O1492" s="102">
        <f>tbl_Companys!C1492</f>
        <v>0</v>
      </c>
      <c r="P1492" s="102">
        <f t="shared" si="70"/>
        <v>0</v>
      </c>
      <c r="Q1492" s="102">
        <f>tbl_ConsultingCompanys!D1492</f>
        <v>0</v>
      </c>
      <c r="R1492" s="102">
        <f>tbl_ConsultingCompanys!C1492</f>
        <v>0</v>
      </c>
      <c r="S1492" s="102">
        <f t="shared" si="71"/>
        <v>0</v>
      </c>
    </row>
    <row r="1493" spans="11:19" x14ac:dyDescent="0.15">
      <c r="K1493" s="102">
        <f>tbl_ArchitectureOffices!D1493</f>
        <v>0</v>
      </c>
      <c r="L1493" s="102">
        <f>tbl_ArchitectureOffices!C1493</f>
        <v>0</v>
      </c>
      <c r="M1493" s="102">
        <f t="shared" si="69"/>
        <v>0</v>
      </c>
      <c r="N1493" s="102">
        <f>tbl_Companys!D1493</f>
        <v>0</v>
      </c>
      <c r="O1493" s="102">
        <f>tbl_Companys!C1493</f>
        <v>0</v>
      </c>
      <c r="P1493" s="102">
        <f t="shared" si="70"/>
        <v>0</v>
      </c>
      <c r="Q1493" s="102">
        <f>tbl_ConsultingCompanys!D1493</f>
        <v>0</v>
      </c>
      <c r="R1493" s="102">
        <f>tbl_ConsultingCompanys!C1493</f>
        <v>0</v>
      </c>
      <c r="S1493" s="102">
        <f t="shared" si="71"/>
        <v>0</v>
      </c>
    </row>
    <row r="1494" spans="11:19" x14ac:dyDescent="0.15">
      <c r="K1494" s="102">
        <f>tbl_ArchitectureOffices!D1494</f>
        <v>0</v>
      </c>
      <c r="L1494" s="102">
        <f>tbl_ArchitectureOffices!C1494</f>
        <v>0</v>
      </c>
      <c r="M1494" s="102">
        <f t="shared" si="69"/>
        <v>0</v>
      </c>
      <c r="N1494" s="102">
        <f>tbl_Companys!D1494</f>
        <v>0</v>
      </c>
      <c r="O1494" s="102">
        <f>tbl_Companys!C1494</f>
        <v>0</v>
      </c>
      <c r="P1494" s="102">
        <f t="shared" si="70"/>
        <v>0</v>
      </c>
      <c r="Q1494" s="102">
        <f>tbl_ConsultingCompanys!D1494</f>
        <v>0</v>
      </c>
      <c r="R1494" s="102">
        <f>tbl_ConsultingCompanys!C1494</f>
        <v>0</v>
      </c>
      <c r="S1494" s="102">
        <f t="shared" si="71"/>
        <v>0</v>
      </c>
    </row>
    <row r="1495" spans="11:19" x14ac:dyDescent="0.15">
      <c r="K1495" s="102">
        <f>tbl_ArchitectureOffices!D1495</f>
        <v>0</v>
      </c>
      <c r="L1495" s="102">
        <f>tbl_ArchitectureOffices!C1495</f>
        <v>0</v>
      </c>
      <c r="M1495" s="102">
        <f t="shared" si="69"/>
        <v>0</v>
      </c>
      <c r="N1495" s="102">
        <f>tbl_Companys!D1495</f>
        <v>0</v>
      </c>
      <c r="O1495" s="102">
        <f>tbl_Companys!C1495</f>
        <v>0</v>
      </c>
      <c r="P1495" s="102">
        <f t="shared" si="70"/>
        <v>0</v>
      </c>
      <c r="Q1495" s="102">
        <f>tbl_ConsultingCompanys!D1495</f>
        <v>0</v>
      </c>
      <c r="R1495" s="102">
        <f>tbl_ConsultingCompanys!C1495</f>
        <v>0</v>
      </c>
      <c r="S1495" s="102">
        <f t="shared" si="71"/>
        <v>0</v>
      </c>
    </row>
    <row r="1496" spans="11:19" x14ac:dyDescent="0.15">
      <c r="K1496" s="102">
        <f>tbl_ArchitectureOffices!D1496</f>
        <v>0</v>
      </c>
      <c r="L1496" s="102">
        <f>tbl_ArchitectureOffices!C1496</f>
        <v>0</v>
      </c>
      <c r="M1496" s="102">
        <f t="shared" si="69"/>
        <v>0</v>
      </c>
      <c r="N1496" s="102">
        <f>tbl_Companys!D1496</f>
        <v>0</v>
      </c>
      <c r="O1496" s="102">
        <f>tbl_Companys!C1496</f>
        <v>0</v>
      </c>
      <c r="P1496" s="102">
        <f t="shared" si="70"/>
        <v>0</v>
      </c>
      <c r="Q1496" s="102">
        <f>tbl_ConsultingCompanys!D1496</f>
        <v>0</v>
      </c>
      <c r="R1496" s="102">
        <f>tbl_ConsultingCompanys!C1496</f>
        <v>0</v>
      </c>
      <c r="S1496" s="102">
        <f t="shared" si="71"/>
        <v>0</v>
      </c>
    </row>
    <row r="1497" spans="11:19" x14ac:dyDescent="0.15">
      <c r="K1497" s="102">
        <f>tbl_ArchitectureOffices!D1497</f>
        <v>0</v>
      </c>
      <c r="L1497" s="102">
        <f>tbl_ArchitectureOffices!C1497</f>
        <v>0</v>
      </c>
      <c r="M1497" s="102">
        <f t="shared" si="69"/>
        <v>0</v>
      </c>
      <c r="N1497" s="102">
        <f>tbl_Companys!D1497</f>
        <v>0</v>
      </c>
      <c r="O1497" s="102">
        <f>tbl_Companys!C1497</f>
        <v>0</v>
      </c>
      <c r="P1497" s="102">
        <f t="shared" si="70"/>
        <v>0</v>
      </c>
      <c r="Q1497" s="102">
        <f>tbl_ConsultingCompanys!D1497</f>
        <v>0</v>
      </c>
      <c r="R1497" s="102">
        <f>tbl_ConsultingCompanys!C1497</f>
        <v>0</v>
      </c>
      <c r="S1497" s="102">
        <f t="shared" si="71"/>
        <v>0</v>
      </c>
    </row>
    <row r="1498" spans="11:19" x14ac:dyDescent="0.15">
      <c r="K1498" s="102">
        <f>tbl_ArchitectureOffices!D1498</f>
        <v>0</v>
      </c>
      <c r="L1498" s="102">
        <f>tbl_ArchitectureOffices!C1498</f>
        <v>0</v>
      </c>
      <c r="M1498" s="102">
        <f t="shared" si="69"/>
        <v>0</v>
      </c>
      <c r="N1498" s="102">
        <f>tbl_Companys!D1498</f>
        <v>0</v>
      </c>
      <c r="O1498" s="102">
        <f>tbl_Companys!C1498</f>
        <v>0</v>
      </c>
      <c r="P1498" s="102">
        <f t="shared" si="70"/>
        <v>0</v>
      </c>
      <c r="Q1498" s="102">
        <f>tbl_ConsultingCompanys!D1498</f>
        <v>0</v>
      </c>
      <c r="R1498" s="102">
        <f>tbl_ConsultingCompanys!C1498</f>
        <v>0</v>
      </c>
      <c r="S1498" s="102">
        <f t="shared" si="71"/>
        <v>0</v>
      </c>
    </row>
    <row r="1499" spans="11:19" x14ac:dyDescent="0.15">
      <c r="K1499" s="102">
        <f>tbl_ArchitectureOffices!D1499</f>
        <v>0</v>
      </c>
      <c r="L1499" s="102">
        <f>tbl_ArchitectureOffices!C1499</f>
        <v>0</v>
      </c>
      <c r="M1499" s="102">
        <f t="shared" si="69"/>
        <v>0</v>
      </c>
      <c r="N1499" s="102">
        <f>tbl_Companys!D1499</f>
        <v>0</v>
      </c>
      <c r="O1499" s="102">
        <f>tbl_Companys!C1499</f>
        <v>0</v>
      </c>
      <c r="P1499" s="102">
        <f t="shared" si="70"/>
        <v>0</v>
      </c>
      <c r="Q1499" s="102">
        <f>tbl_ConsultingCompanys!D1499</f>
        <v>0</v>
      </c>
      <c r="R1499" s="102">
        <f>tbl_ConsultingCompanys!C1499</f>
        <v>0</v>
      </c>
      <c r="S1499" s="102">
        <f t="shared" si="71"/>
        <v>0</v>
      </c>
    </row>
    <row r="1500" spans="11:19" x14ac:dyDescent="0.15">
      <c r="K1500" s="102">
        <f>tbl_ArchitectureOffices!D1500</f>
        <v>0</v>
      </c>
      <c r="L1500" s="102">
        <f>tbl_ArchitectureOffices!C1500</f>
        <v>0</v>
      </c>
      <c r="M1500" s="102">
        <f t="shared" si="69"/>
        <v>0</v>
      </c>
      <c r="N1500" s="102">
        <f>tbl_Companys!D1500</f>
        <v>0</v>
      </c>
      <c r="O1500" s="102">
        <f>tbl_Companys!C1500</f>
        <v>0</v>
      </c>
      <c r="P1500" s="102">
        <f t="shared" si="70"/>
        <v>0</v>
      </c>
      <c r="Q1500" s="102">
        <f>tbl_ConsultingCompanys!D1500</f>
        <v>0</v>
      </c>
      <c r="R1500" s="102">
        <f>tbl_ConsultingCompanys!C1500</f>
        <v>0</v>
      </c>
      <c r="S1500" s="102">
        <f t="shared" si="71"/>
        <v>0</v>
      </c>
    </row>
    <row r="1501" spans="11:19" x14ac:dyDescent="0.15">
      <c r="K1501" s="102">
        <f>tbl_ArchitectureOffices!D1501</f>
        <v>0</v>
      </c>
      <c r="L1501" s="102">
        <f>tbl_ArchitectureOffices!C1501</f>
        <v>0</v>
      </c>
      <c r="M1501" s="102">
        <f t="shared" si="69"/>
        <v>0</v>
      </c>
      <c r="N1501" s="102">
        <f>tbl_Companys!D1501</f>
        <v>0</v>
      </c>
      <c r="O1501" s="102">
        <f>tbl_Companys!C1501</f>
        <v>0</v>
      </c>
      <c r="P1501" s="102">
        <f t="shared" si="70"/>
        <v>0</v>
      </c>
      <c r="Q1501" s="102">
        <f>tbl_ConsultingCompanys!D1501</f>
        <v>0</v>
      </c>
      <c r="R1501" s="102">
        <f>tbl_ConsultingCompanys!C1501</f>
        <v>0</v>
      </c>
      <c r="S1501" s="102">
        <f t="shared" si="71"/>
        <v>0</v>
      </c>
    </row>
    <row r="1502" spans="11:19" x14ac:dyDescent="0.15">
      <c r="K1502" s="102">
        <f>tbl_ArchitectureOffices!D1502</f>
        <v>0</v>
      </c>
      <c r="L1502" s="102">
        <f>tbl_ArchitectureOffices!C1502</f>
        <v>0</v>
      </c>
      <c r="M1502" s="102">
        <f t="shared" si="69"/>
        <v>0</v>
      </c>
      <c r="N1502" s="102">
        <f>tbl_Companys!D1502</f>
        <v>0</v>
      </c>
      <c r="O1502" s="102">
        <f>tbl_Companys!C1502</f>
        <v>0</v>
      </c>
      <c r="P1502" s="102">
        <f t="shared" si="70"/>
        <v>0</v>
      </c>
      <c r="Q1502" s="102">
        <f>tbl_ConsultingCompanys!D1502</f>
        <v>0</v>
      </c>
      <c r="R1502" s="102">
        <f>tbl_ConsultingCompanys!C1502</f>
        <v>0</v>
      </c>
      <c r="S1502" s="102">
        <f t="shared" si="71"/>
        <v>0</v>
      </c>
    </row>
    <row r="1503" spans="11:19" x14ac:dyDescent="0.15">
      <c r="K1503" s="102">
        <f>tbl_ArchitectureOffices!D1503</f>
        <v>0</v>
      </c>
      <c r="L1503" s="102">
        <f>tbl_ArchitectureOffices!C1503</f>
        <v>0</v>
      </c>
      <c r="M1503" s="102">
        <f t="shared" si="69"/>
        <v>0</v>
      </c>
      <c r="N1503" s="102">
        <f>tbl_Companys!D1503</f>
        <v>0</v>
      </c>
      <c r="O1503" s="102">
        <f>tbl_Companys!C1503</f>
        <v>0</v>
      </c>
      <c r="P1503" s="102">
        <f t="shared" si="70"/>
        <v>0</v>
      </c>
      <c r="Q1503" s="102">
        <f>tbl_ConsultingCompanys!D1503</f>
        <v>0</v>
      </c>
      <c r="R1503" s="102">
        <f>tbl_ConsultingCompanys!C1503</f>
        <v>0</v>
      </c>
      <c r="S1503" s="102">
        <f t="shared" si="71"/>
        <v>0</v>
      </c>
    </row>
    <row r="1504" spans="11:19" x14ac:dyDescent="0.15">
      <c r="K1504" s="102">
        <f>tbl_ArchitectureOffices!D1504</f>
        <v>0</v>
      </c>
      <c r="L1504" s="102">
        <f>tbl_ArchitectureOffices!C1504</f>
        <v>0</v>
      </c>
      <c r="M1504" s="102">
        <f t="shared" si="69"/>
        <v>0</v>
      </c>
      <c r="N1504" s="102">
        <f>tbl_Companys!D1504</f>
        <v>0</v>
      </c>
      <c r="O1504" s="102">
        <f>tbl_Companys!C1504</f>
        <v>0</v>
      </c>
      <c r="P1504" s="102">
        <f t="shared" si="70"/>
        <v>0</v>
      </c>
      <c r="Q1504" s="102">
        <f>tbl_ConsultingCompanys!D1504</f>
        <v>0</v>
      </c>
      <c r="R1504" s="102">
        <f>tbl_ConsultingCompanys!C1504</f>
        <v>0</v>
      </c>
      <c r="S1504" s="102">
        <f t="shared" si="71"/>
        <v>0</v>
      </c>
    </row>
    <row r="1505" spans="11:19" x14ac:dyDescent="0.15">
      <c r="K1505" s="102">
        <f>tbl_ArchitectureOffices!D1505</f>
        <v>0</v>
      </c>
      <c r="L1505" s="102">
        <f>tbl_ArchitectureOffices!C1505</f>
        <v>0</v>
      </c>
      <c r="M1505" s="102">
        <f t="shared" si="69"/>
        <v>0</v>
      </c>
      <c r="N1505" s="102">
        <f>tbl_Companys!D1505</f>
        <v>0</v>
      </c>
      <c r="O1505" s="102">
        <f>tbl_Companys!C1505</f>
        <v>0</v>
      </c>
      <c r="P1505" s="102">
        <f t="shared" si="70"/>
        <v>0</v>
      </c>
      <c r="Q1505" s="102">
        <f>tbl_ConsultingCompanys!D1505</f>
        <v>0</v>
      </c>
      <c r="R1505" s="102">
        <f>tbl_ConsultingCompanys!C1505</f>
        <v>0</v>
      </c>
      <c r="S1505" s="102">
        <f t="shared" si="71"/>
        <v>0</v>
      </c>
    </row>
    <row r="1506" spans="11:19" x14ac:dyDescent="0.15">
      <c r="K1506" s="102">
        <f>tbl_ArchitectureOffices!D1506</f>
        <v>0</v>
      </c>
      <c r="L1506" s="102">
        <f>tbl_ArchitectureOffices!C1506</f>
        <v>0</v>
      </c>
      <c r="M1506" s="102">
        <f t="shared" si="69"/>
        <v>0</v>
      </c>
      <c r="N1506" s="102">
        <f>tbl_Companys!D1506</f>
        <v>0</v>
      </c>
      <c r="O1506" s="102">
        <f>tbl_Companys!C1506</f>
        <v>0</v>
      </c>
      <c r="P1506" s="102">
        <f t="shared" si="70"/>
        <v>0</v>
      </c>
      <c r="Q1506" s="102">
        <f>tbl_ConsultingCompanys!D1506</f>
        <v>0</v>
      </c>
      <c r="R1506" s="102">
        <f>tbl_ConsultingCompanys!C1506</f>
        <v>0</v>
      </c>
      <c r="S1506" s="102">
        <f t="shared" si="71"/>
        <v>0</v>
      </c>
    </row>
    <row r="1507" spans="11:19" x14ac:dyDescent="0.15">
      <c r="K1507" s="102">
        <f>tbl_ArchitectureOffices!D1507</f>
        <v>0</v>
      </c>
      <c r="L1507" s="102">
        <f>tbl_ArchitectureOffices!C1507</f>
        <v>0</v>
      </c>
      <c r="M1507" s="102">
        <f t="shared" si="69"/>
        <v>0</v>
      </c>
      <c r="N1507" s="102">
        <f>tbl_Companys!D1507</f>
        <v>0</v>
      </c>
      <c r="O1507" s="102">
        <f>tbl_Companys!C1507</f>
        <v>0</v>
      </c>
      <c r="P1507" s="102">
        <f t="shared" si="70"/>
        <v>0</v>
      </c>
      <c r="Q1507" s="102">
        <f>tbl_ConsultingCompanys!D1507</f>
        <v>0</v>
      </c>
      <c r="R1507" s="102">
        <f>tbl_ConsultingCompanys!C1507</f>
        <v>0</v>
      </c>
      <c r="S1507" s="102">
        <f t="shared" si="71"/>
        <v>0</v>
      </c>
    </row>
    <row r="1508" spans="11:19" x14ac:dyDescent="0.15">
      <c r="K1508" s="102">
        <f>tbl_ArchitectureOffices!D1508</f>
        <v>0</v>
      </c>
      <c r="L1508" s="102">
        <f>tbl_ArchitectureOffices!C1508</f>
        <v>0</v>
      </c>
      <c r="M1508" s="102">
        <f t="shared" si="69"/>
        <v>0</v>
      </c>
      <c r="N1508" s="102">
        <f>tbl_Companys!D1508</f>
        <v>0</v>
      </c>
      <c r="O1508" s="102">
        <f>tbl_Companys!C1508</f>
        <v>0</v>
      </c>
      <c r="P1508" s="102">
        <f t="shared" si="70"/>
        <v>0</v>
      </c>
      <c r="Q1508" s="102">
        <f>tbl_ConsultingCompanys!D1508</f>
        <v>0</v>
      </c>
      <c r="R1508" s="102">
        <f>tbl_ConsultingCompanys!C1508</f>
        <v>0</v>
      </c>
      <c r="S1508" s="102">
        <f t="shared" si="71"/>
        <v>0</v>
      </c>
    </row>
    <row r="1509" spans="11:19" x14ac:dyDescent="0.15">
      <c r="K1509" s="102">
        <f>tbl_ArchitectureOffices!D1509</f>
        <v>0</v>
      </c>
      <c r="L1509" s="102">
        <f>tbl_ArchitectureOffices!C1509</f>
        <v>0</v>
      </c>
      <c r="M1509" s="102">
        <f t="shared" si="69"/>
        <v>0</v>
      </c>
      <c r="N1509" s="102">
        <f>tbl_Companys!D1509</f>
        <v>0</v>
      </c>
      <c r="O1509" s="102">
        <f>tbl_Companys!C1509</f>
        <v>0</v>
      </c>
      <c r="P1509" s="102">
        <f t="shared" si="70"/>
        <v>0</v>
      </c>
      <c r="Q1509" s="102">
        <f>tbl_ConsultingCompanys!D1509</f>
        <v>0</v>
      </c>
      <c r="R1509" s="102">
        <f>tbl_ConsultingCompanys!C1509</f>
        <v>0</v>
      </c>
      <c r="S1509" s="102">
        <f t="shared" si="71"/>
        <v>0</v>
      </c>
    </row>
    <row r="1510" spans="11:19" x14ac:dyDescent="0.15">
      <c r="K1510" s="102">
        <f>tbl_ArchitectureOffices!D1510</f>
        <v>0</v>
      </c>
      <c r="L1510" s="102">
        <f>tbl_ArchitectureOffices!C1510</f>
        <v>0</v>
      </c>
      <c r="M1510" s="102">
        <f t="shared" si="69"/>
        <v>0</v>
      </c>
      <c r="N1510" s="102">
        <f>tbl_Companys!D1510</f>
        <v>0</v>
      </c>
      <c r="O1510" s="102">
        <f>tbl_Companys!C1510</f>
        <v>0</v>
      </c>
      <c r="P1510" s="102">
        <f t="shared" si="70"/>
        <v>0</v>
      </c>
      <c r="Q1510" s="102">
        <f>tbl_ConsultingCompanys!D1510</f>
        <v>0</v>
      </c>
      <c r="R1510" s="102">
        <f>tbl_ConsultingCompanys!C1510</f>
        <v>0</v>
      </c>
      <c r="S1510" s="102">
        <f t="shared" si="71"/>
        <v>0</v>
      </c>
    </row>
    <row r="1511" spans="11:19" x14ac:dyDescent="0.15">
      <c r="K1511" s="102">
        <f>tbl_ArchitectureOffices!D1511</f>
        <v>0</v>
      </c>
      <c r="L1511" s="102">
        <f>tbl_ArchitectureOffices!C1511</f>
        <v>0</v>
      </c>
      <c r="M1511" s="102">
        <f t="shared" si="69"/>
        <v>0</v>
      </c>
      <c r="N1511" s="102">
        <f>tbl_Companys!D1511</f>
        <v>0</v>
      </c>
      <c r="O1511" s="102">
        <f>tbl_Companys!C1511</f>
        <v>0</v>
      </c>
      <c r="P1511" s="102">
        <f t="shared" si="70"/>
        <v>0</v>
      </c>
      <c r="Q1511" s="102">
        <f>tbl_ConsultingCompanys!D1511</f>
        <v>0</v>
      </c>
      <c r="R1511" s="102">
        <f>tbl_ConsultingCompanys!C1511</f>
        <v>0</v>
      </c>
      <c r="S1511" s="102">
        <f t="shared" si="71"/>
        <v>0</v>
      </c>
    </row>
    <row r="1512" spans="11:19" x14ac:dyDescent="0.15">
      <c r="K1512" s="102">
        <f>tbl_ArchitectureOffices!D1512</f>
        <v>0</v>
      </c>
      <c r="L1512" s="102">
        <f>tbl_ArchitectureOffices!C1512</f>
        <v>0</v>
      </c>
      <c r="M1512" s="102">
        <f t="shared" si="69"/>
        <v>0</v>
      </c>
      <c r="N1512" s="102">
        <f>tbl_Companys!D1512</f>
        <v>0</v>
      </c>
      <c r="O1512" s="102">
        <f>tbl_Companys!C1512</f>
        <v>0</v>
      </c>
      <c r="P1512" s="102">
        <f t="shared" si="70"/>
        <v>0</v>
      </c>
      <c r="Q1512" s="102">
        <f>tbl_ConsultingCompanys!D1512</f>
        <v>0</v>
      </c>
      <c r="R1512" s="102">
        <f>tbl_ConsultingCompanys!C1512</f>
        <v>0</v>
      </c>
      <c r="S1512" s="102">
        <f t="shared" si="71"/>
        <v>0</v>
      </c>
    </row>
    <row r="1513" spans="11:19" x14ac:dyDescent="0.15">
      <c r="K1513" s="102">
        <f>tbl_ArchitectureOffices!D1513</f>
        <v>0</v>
      </c>
      <c r="L1513" s="102">
        <f>tbl_ArchitectureOffices!C1513</f>
        <v>0</v>
      </c>
      <c r="M1513" s="102">
        <f t="shared" si="69"/>
        <v>0</v>
      </c>
      <c r="N1513" s="102">
        <f>tbl_Companys!D1513</f>
        <v>0</v>
      </c>
      <c r="O1513" s="102">
        <f>tbl_Companys!C1513</f>
        <v>0</v>
      </c>
      <c r="P1513" s="102">
        <f t="shared" si="70"/>
        <v>0</v>
      </c>
      <c r="Q1513" s="102">
        <f>tbl_ConsultingCompanys!D1513</f>
        <v>0</v>
      </c>
      <c r="R1513" s="102">
        <f>tbl_ConsultingCompanys!C1513</f>
        <v>0</v>
      </c>
      <c r="S1513" s="102">
        <f t="shared" si="71"/>
        <v>0</v>
      </c>
    </row>
    <row r="1514" spans="11:19" x14ac:dyDescent="0.15">
      <c r="K1514" s="102">
        <f>tbl_ArchitectureOffices!D1514</f>
        <v>0</v>
      </c>
      <c r="L1514" s="102">
        <f>tbl_ArchitectureOffices!C1514</f>
        <v>0</v>
      </c>
      <c r="M1514" s="102">
        <f t="shared" si="69"/>
        <v>0</v>
      </c>
      <c r="N1514" s="102">
        <f>tbl_Companys!D1514</f>
        <v>0</v>
      </c>
      <c r="O1514" s="102">
        <f>tbl_Companys!C1514</f>
        <v>0</v>
      </c>
      <c r="P1514" s="102">
        <f t="shared" si="70"/>
        <v>0</v>
      </c>
      <c r="Q1514" s="102">
        <f>tbl_ConsultingCompanys!D1514</f>
        <v>0</v>
      </c>
      <c r="R1514" s="102">
        <f>tbl_ConsultingCompanys!C1514</f>
        <v>0</v>
      </c>
      <c r="S1514" s="102">
        <f t="shared" si="71"/>
        <v>0</v>
      </c>
    </row>
    <row r="1515" spans="11:19" x14ac:dyDescent="0.15">
      <c r="K1515" s="102">
        <f>tbl_ArchitectureOffices!D1515</f>
        <v>0</v>
      </c>
      <c r="L1515" s="102">
        <f>tbl_ArchitectureOffices!C1515</f>
        <v>0</v>
      </c>
      <c r="M1515" s="102">
        <f t="shared" si="69"/>
        <v>0</v>
      </c>
      <c r="N1515" s="102">
        <f>tbl_Companys!D1515</f>
        <v>0</v>
      </c>
      <c r="O1515" s="102">
        <f>tbl_Companys!C1515</f>
        <v>0</v>
      </c>
      <c r="P1515" s="102">
        <f t="shared" si="70"/>
        <v>0</v>
      </c>
      <c r="Q1515" s="102">
        <f>tbl_ConsultingCompanys!D1515</f>
        <v>0</v>
      </c>
      <c r="R1515" s="102">
        <f>tbl_ConsultingCompanys!C1515</f>
        <v>0</v>
      </c>
      <c r="S1515" s="102">
        <f t="shared" si="71"/>
        <v>0</v>
      </c>
    </row>
    <row r="1516" spans="11:19" x14ac:dyDescent="0.15">
      <c r="K1516" s="102">
        <f>tbl_ArchitectureOffices!D1516</f>
        <v>0</v>
      </c>
      <c r="L1516" s="102">
        <f>tbl_ArchitectureOffices!C1516</f>
        <v>0</v>
      </c>
      <c r="M1516" s="102">
        <f t="shared" si="69"/>
        <v>0</v>
      </c>
      <c r="N1516" s="102">
        <f>tbl_Companys!D1516</f>
        <v>0</v>
      </c>
      <c r="O1516" s="102">
        <f>tbl_Companys!C1516</f>
        <v>0</v>
      </c>
      <c r="P1516" s="102">
        <f t="shared" si="70"/>
        <v>0</v>
      </c>
      <c r="Q1516" s="102">
        <f>tbl_ConsultingCompanys!D1516</f>
        <v>0</v>
      </c>
      <c r="R1516" s="102">
        <f>tbl_ConsultingCompanys!C1516</f>
        <v>0</v>
      </c>
      <c r="S1516" s="102">
        <f t="shared" si="71"/>
        <v>0</v>
      </c>
    </row>
    <row r="1517" spans="11:19" x14ac:dyDescent="0.15">
      <c r="K1517" s="102">
        <f>tbl_ArchitectureOffices!D1517</f>
        <v>0</v>
      </c>
      <c r="L1517" s="102">
        <f>tbl_ArchitectureOffices!C1517</f>
        <v>0</v>
      </c>
      <c r="M1517" s="102">
        <f t="shared" si="69"/>
        <v>0</v>
      </c>
      <c r="N1517" s="102">
        <f>tbl_Companys!D1517</f>
        <v>0</v>
      </c>
      <c r="O1517" s="102">
        <f>tbl_Companys!C1517</f>
        <v>0</v>
      </c>
      <c r="P1517" s="102">
        <f t="shared" si="70"/>
        <v>0</v>
      </c>
      <c r="Q1517" s="102">
        <f>tbl_ConsultingCompanys!D1517</f>
        <v>0</v>
      </c>
      <c r="R1517" s="102">
        <f>tbl_ConsultingCompanys!C1517</f>
        <v>0</v>
      </c>
      <c r="S1517" s="102">
        <f t="shared" si="71"/>
        <v>0</v>
      </c>
    </row>
    <row r="1518" spans="11:19" x14ac:dyDescent="0.15">
      <c r="K1518" s="102">
        <f>tbl_ArchitectureOffices!D1518</f>
        <v>0</v>
      </c>
      <c r="L1518" s="102">
        <f>tbl_ArchitectureOffices!C1518</f>
        <v>0</v>
      </c>
      <c r="M1518" s="102">
        <f t="shared" si="69"/>
        <v>0</v>
      </c>
      <c r="N1518" s="102">
        <f>tbl_Companys!D1518</f>
        <v>0</v>
      </c>
      <c r="O1518" s="102">
        <f>tbl_Companys!C1518</f>
        <v>0</v>
      </c>
      <c r="P1518" s="102">
        <f t="shared" si="70"/>
        <v>0</v>
      </c>
      <c r="Q1518" s="102">
        <f>tbl_ConsultingCompanys!D1518</f>
        <v>0</v>
      </c>
      <c r="R1518" s="102">
        <f>tbl_ConsultingCompanys!C1518</f>
        <v>0</v>
      </c>
      <c r="S1518" s="102">
        <f t="shared" si="71"/>
        <v>0</v>
      </c>
    </row>
    <row r="1519" spans="11:19" x14ac:dyDescent="0.15">
      <c r="K1519" s="102">
        <f>tbl_ArchitectureOffices!D1519</f>
        <v>0</v>
      </c>
      <c r="L1519" s="102">
        <f>tbl_ArchitectureOffices!C1519</f>
        <v>0</v>
      </c>
      <c r="M1519" s="102">
        <f t="shared" si="69"/>
        <v>0</v>
      </c>
      <c r="N1519" s="102">
        <f>tbl_Companys!D1519</f>
        <v>0</v>
      </c>
      <c r="O1519" s="102">
        <f>tbl_Companys!C1519</f>
        <v>0</v>
      </c>
      <c r="P1519" s="102">
        <f t="shared" si="70"/>
        <v>0</v>
      </c>
      <c r="Q1519" s="102">
        <f>tbl_ConsultingCompanys!D1519</f>
        <v>0</v>
      </c>
      <c r="R1519" s="102">
        <f>tbl_ConsultingCompanys!C1519</f>
        <v>0</v>
      </c>
      <c r="S1519" s="102">
        <f t="shared" si="71"/>
        <v>0</v>
      </c>
    </row>
    <row r="1520" spans="11:19" x14ac:dyDescent="0.15">
      <c r="K1520" s="102">
        <f>tbl_ArchitectureOffices!D1520</f>
        <v>0</v>
      </c>
      <c r="L1520" s="102">
        <f>tbl_ArchitectureOffices!C1520</f>
        <v>0</v>
      </c>
      <c r="M1520" s="102">
        <f t="shared" si="69"/>
        <v>0</v>
      </c>
      <c r="N1520" s="102">
        <f>tbl_Companys!D1520</f>
        <v>0</v>
      </c>
      <c r="O1520" s="102">
        <f>tbl_Companys!C1520</f>
        <v>0</v>
      </c>
      <c r="P1520" s="102">
        <f t="shared" si="70"/>
        <v>0</v>
      </c>
      <c r="Q1520" s="102">
        <f>tbl_ConsultingCompanys!D1520</f>
        <v>0</v>
      </c>
      <c r="R1520" s="102">
        <f>tbl_ConsultingCompanys!C1520</f>
        <v>0</v>
      </c>
      <c r="S1520" s="102">
        <f t="shared" si="71"/>
        <v>0</v>
      </c>
    </row>
    <row r="1521" spans="11:19" x14ac:dyDescent="0.15">
      <c r="K1521" s="102">
        <f>tbl_ArchitectureOffices!D1521</f>
        <v>0</v>
      </c>
      <c r="L1521" s="102">
        <f>tbl_ArchitectureOffices!C1521</f>
        <v>0</v>
      </c>
      <c r="M1521" s="102">
        <f t="shared" si="69"/>
        <v>0</v>
      </c>
      <c r="N1521" s="102">
        <f>tbl_Companys!D1521</f>
        <v>0</v>
      </c>
      <c r="O1521" s="102">
        <f>tbl_Companys!C1521</f>
        <v>0</v>
      </c>
      <c r="P1521" s="102">
        <f t="shared" si="70"/>
        <v>0</v>
      </c>
      <c r="Q1521" s="102">
        <f>tbl_ConsultingCompanys!D1521</f>
        <v>0</v>
      </c>
      <c r="R1521" s="102">
        <f>tbl_ConsultingCompanys!C1521</f>
        <v>0</v>
      </c>
      <c r="S1521" s="102">
        <f t="shared" si="71"/>
        <v>0</v>
      </c>
    </row>
    <row r="1522" spans="11:19" x14ac:dyDescent="0.15">
      <c r="K1522" s="102">
        <f>tbl_ArchitectureOffices!D1522</f>
        <v>0</v>
      </c>
      <c r="L1522" s="102">
        <f>tbl_ArchitectureOffices!C1522</f>
        <v>0</v>
      </c>
      <c r="M1522" s="102">
        <f t="shared" si="69"/>
        <v>0</v>
      </c>
      <c r="N1522" s="102">
        <f>tbl_Companys!D1522</f>
        <v>0</v>
      </c>
      <c r="O1522" s="102">
        <f>tbl_Companys!C1522</f>
        <v>0</v>
      </c>
      <c r="P1522" s="102">
        <f t="shared" si="70"/>
        <v>0</v>
      </c>
      <c r="Q1522" s="102">
        <f>tbl_ConsultingCompanys!D1522</f>
        <v>0</v>
      </c>
      <c r="R1522" s="102">
        <f>tbl_ConsultingCompanys!C1522</f>
        <v>0</v>
      </c>
      <c r="S1522" s="102">
        <f t="shared" si="71"/>
        <v>0</v>
      </c>
    </row>
    <row r="1523" spans="11:19" x14ac:dyDescent="0.15">
      <c r="K1523" s="102">
        <f>tbl_ArchitectureOffices!D1523</f>
        <v>0</v>
      </c>
      <c r="L1523" s="102">
        <f>tbl_ArchitectureOffices!C1523</f>
        <v>0</v>
      </c>
      <c r="M1523" s="102">
        <f t="shared" si="69"/>
        <v>0</v>
      </c>
      <c r="N1523" s="102">
        <f>tbl_Companys!D1523</f>
        <v>0</v>
      </c>
      <c r="O1523" s="102">
        <f>tbl_Companys!C1523</f>
        <v>0</v>
      </c>
      <c r="P1523" s="102">
        <f t="shared" si="70"/>
        <v>0</v>
      </c>
      <c r="Q1523" s="102">
        <f>tbl_ConsultingCompanys!D1523</f>
        <v>0</v>
      </c>
      <c r="R1523" s="102">
        <f>tbl_ConsultingCompanys!C1523</f>
        <v>0</v>
      </c>
      <c r="S1523" s="102">
        <f t="shared" si="71"/>
        <v>0</v>
      </c>
    </row>
    <row r="1524" spans="11:19" x14ac:dyDescent="0.15">
      <c r="K1524" s="102">
        <f>tbl_ArchitectureOffices!D1524</f>
        <v>0</v>
      </c>
      <c r="L1524" s="102">
        <f>tbl_ArchitectureOffices!C1524</f>
        <v>0</v>
      </c>
      <c r="M1524" s="102">
        <f t="shared" si="69"/>
        <v>0</v>
      </c>
      <c r="N1524" s="102">
        <f>tbl_Companys!D1524</f>
        <v>0</v>
      </c>
      <c r="O1524" s="102">
        <f>tbl_Companys!C1524</f>
        <v>0</v>
      </c>
      <c r="P1524" s="102">
        <f t="shared" si="70"/>
        <v>0</v>
      </c>
      <c r="Q1524" s="102">
        <f>tbl_ConsultingCompanys!D1524</f>
        <v>0</v>
      </c>
      <c r="R1524" s="102">
        <f>tbl_ConsultingCompanys!C1524</f>
        <v>0</v>
      </c>
      <c r="S1524" s="102">
        <f t="shared" si="71"/>
        <v>0</v>
      </c>
    </row>
    <row r="1525" spans="11:19" x14ac:dyDescent="0.15">
      <c r="K1525" s="102">
        <f>tbl_ArchitectureOffices!D1525</f>
        <v>0</v>
      </c>
      <c r="L1525" s="102">
        <f>tbl_ArchitectureOffices!C1525</f>
        <v>0</v>
      </c>
      <c r="M1525" s="102">
        <f t="shared" si="69"/>
        <v>0</v>
      </c>
      <c r="N1525" s="102">
        <f>tbl_Companys!D1525</f>
        <v>0</v>
      </c>
      <c r="O1525" s="102">
        <f>tbl_Companys!C1525</f>
        <v>0</v>
      </c>
      <c r="P1525" s="102">
        <f t="shared" si="70"/>
        <v>0</v>
      </c>
      <c r="Q1525" s="102">
        <f>tbl_ConsultingCompanys!D1525</f>
        <v>0</v>
      </c>
      <c r="R1525" s="102">
        <f>tbl_ConsultingCompanys!C1525</f>
        <v>0</v>
      </c>
      <c r="S1525" s="102">
        <f t="shared" si="71"/>
        <v>0</v>
      </c>
    </row>
    <row r="1526" spans="11:19" x14ac:dyDescent="0.15">
      <c r="K1526" s="102">
        <f>tbl_ArchitectureOffices!D1526</f>
        <v>0</v>
      </c>
      <c r="L1526" s="102">
        <f>tbl_ArchitectureOffices!C1526</f>
        <v>0</v>
      </c>
      <c r="M1526" s="102">
        <f t="shared" ref="M1526:M1589" si="72">IFERROR(REPLACE(K1526,FIND(" ",K1526,LEN(K1526)),1,""),K1526)</f>
        <v>0</v>
      </c>
      <c r="N1526" s="102">
        <f>tbl_Companys!D1526</f>
        <v>0</v>
      </c>
      <c r="O1526" s="102">
        <f>tbl_Companys!C1526</f>
        <v>0</v>
      </c>
      <c r="P1526" s="102">
        <f t="shared" si="70"/>
        <v>0</v>
      </c>
      <c r="Q1526" s="102">
        <f>tbl_ConsultingCompanys!D1526</f>
        <v>0</v>
      </c>
      <c r="R1526" s="102">
        <f>tbl_ConsultingCompanys!C1526</f>
        <v>0</v>
      </c>
      <c r="S1526" s="102">
        <f t="shared" si="71"/>
        <v>0</v>
      </c>
    </row>
    <row r="1527" spans="11:19" x14ac:dyDescent="0.15">
      <c r="K1527" s="102">
        <f>tbl_ArchitectureOffices!D1527</f>
        <v>0</v>
      </c>
      <c r="L1527" s="102">
        <f>tbl_ArchitectureOffices!C1527</f>
        <v>0</v>
      </c>
      <c r="M1527" s="102">
        <f t="shared" si="72"/>
        <v>0</v>
      </c>
      <c r="N1527" s="102">
        <f>tbl_Companys!D1527</f>
        <v>0</v>
      </c>
      <c r="O1527" s="102">
        <f>tbl_Companys!C1527</f>
        <v>0</v>
      </c>
      <c r="P1527" s="102">
        <f t="shared" si="70"/>
        <v>0</v>
      </c>
      <c r="Q1527" s="102">
        <f>tbl_ConsultingCompanys!D1527</f>
        <v>0</v>
      </c>
      <c r="R1527" s="102">
        <f>tbl_ConsultingCompanys!C1527</f>
        <v>0</v>
      </c>
      <c r="S1527" s="102">
        <f t="shared" si="71"/>
        <v>0</v>
      </c>
    </row>
    <row r="1528" spans="11:19" x14ac:dyDescent="0.15">
      <c r="K1528" s="102">
        <f>tbl_ArchitectureOffices!D1528</f>
        <v>0</v>
      </c>
      <c r="L1528" s="102">
        <f>tbl_ArchitectureOffices!C1528</f>
        <v>0</v>
      </c>
      <c r="M1528" s="102">
        <f t="shared" si="72"/>
        <v>0</v>
      </c>
      <c r="N1528" s="102">
        <f>tbl_Companys!D1528</f>
        <v>0</v>
      </c>
      <c r="O1528" s="102">
        <f>tbl_Companys!C1528</f>
        <v>0</v>
      </c>
      <c r="P1528" s="102">
        <f t="shared" si="70"/>
        <v>0</v>
      </c>
      <c r="Q1528" s="102">
        <f>tbl_ConsultingCompanys!D1528</f>
        <v>0</v>
      </c>
      <c r="R1528" s="102">
        <f>tbl_ConsultingCompanys!C1528</f>
        <v>0</v>
      </c>
      <c r="S1528" s="102">
        <f t="shared" si="71"/>
        <v>0</v>
      </c>
    </row>
    <row r="1529" spans="11:19" x14ac:dyDescent="0.15">
      <c r="K1529" s="102">
        <f>tbl_ArchitectureOffices!D1529</f>
        <v>0</v>
      </c>
      <c r="L1529" s="102">
        <f>tbl_ArchitectureOffices!C1529</f>
        <v>0</v>
      </c>
      <c r="M1529" s="102">
        <f t="shared" si="72"/>
        <v>0</v>
      </c>
      <c r="N1529" s="102">
        <f>tbl_Companys!D1529</f>
        <v>0</v>
      </c>
      <c r="O1529" s="102">
        <f>tbl_Companys!C1529</f>
        <v>0</v>
      </c>
      <c r="P1529" s="102">
        <f t="shared" si="70"/>
        <v>0</v>
      </c>
      <c r="Q1529" s="102">
        <f>tbl_ConsultingCompanys!D1529</f>
        <v>0</v>
      </c>
      <c r="R1529" s="102">
        <f>tbl_ConsultingCompanys!C1529</f>
        <v>0</v>
      </c>
      <c r="S1529" s="102">
        <f t="shared" si="71"/>
        <v>0</v>
      </c>
    </row>
    <row r="1530" spans="11:19" x14ac:dyDescent="0.15">
      <c r="K1530" s="102">
        <f>tbl_ArchitectureOffices!D1530</f>
        <v>0</v>
      </c>
      <c r="L1530" s="102">
        <f>tbl_ArchitectureOffices!C1530</f>
        <v>0</v>
      </c>
      <c r="M1530" s="102">
        <f t="shared" si="72"/>
        <v>0</v>
      </c>
      <c r="N1530" s="102">
        <f>tbl_Companys!D1530</f>
        <v>0</v>
      </c>
      <c r="O1530" s="102">
        <f>tbl_Companys!C1530</f>
        <v>0</v>
      </c>
      <c r="P1530" s="102">
        <f t="shared" si="70"/>
        <v>0</v>
      </c>
      <c r="Q1530" s="102">
        <f>tbl_ConsultingCompanys!D1530</f>
        <v>0</v>
      </c>
      <c r="R1530" s="102">
        <f>tbl_ConsultingCompanys!C1530</f>
        <v>0</v>
      </c>
      <c r="S1530" s="102">
        <f t="shared" si="71"/>
        <v>0</v>
      </c>
    </row>
    <row r="1531" spans="11:19" x14ac:dyDescent="0.15">
      <c r="K1531" s="102">
        <f>tbl_ArchitectureOffices!D1531</f>
        <v>0</v>
      </c>
      <c r="L1531" s="102">
        <f>tbl_ArchitectureOffices!C1531</f>
        <v>0</v>
      </c>
      <c r="M1531" s="102">
        <f t="shared" si="72"/>
        <v>0</v>
      </c>
      <c r="N1531" s="102">
        <f>tbl_Companys!D1531</f>
        <v>0</v>
      </c>
      <c r="O1531" s="102">
        <f>tbl_Companys!C1531</f>
        <v>0</v>
      </c>
      <c r="P1531" s="102">
        <f t="shared" si="70"/>
        <v>0</v>
      </c>
      <c r="Q1531" s="102">
        <f>tbl_ConsultingCompanys!D1531</f>
        <v>0</v>
      </c>
      <c r="R1531" s="102">
        <f>tbl_ConsultingCompanys!C1531</f>
        <v>0</v>
      </c>
      <c r="S1531" s="102">
        <f t="shared" si="71"/>
        <v>0</v>
      </c>
    </row>
    <row r="1532" spans="11:19" x14ac:dyDescent="0.15">
      <c r="K1532" s="102">
        <f>tbl_ArchitectureOffices!D1532</f>
        <v>0</v>
      </c>
      <c r="L1532" s="102">
        <f>tbl_ArchitectureOffices!C1532</f>
        <v>0</v>
      </c>
      <c r="M1532" s="102">
        <f t="shared" si="72"/>
        <v>0</v>
      </c>
      <c r="N1532" s="102">
        <f>tbl_Companys!D1532</f>
        <v>0</v>
      </c>
      <c r="O1532" s="102">
        <f>tbl_Companys!C1532</f>
        <v>0</v>
      </c>
      <c r="P1532" s="102">
        <f t="shared" si="70"/>
        <v>0</v>
      </c>
      <c r="Q1532" s="102">
        <f>tbl_ConsultingCompanys!D1532</f>
        <v>0</v>
      </c>
      <c r="R1532" s="102">
        <f>tbl_ConsultingCompanys!C1532</f>
        <v>0</v>
      </c>
      <c r="S1532" s="102">
        <f t="shared" si="71"/>
        <v>0</v>
      </c>
    </row>
    <row r="1533" spans="11:19" x14ac:dyDescent="0.15">
      <c r="K1533" s="102">
        <f>tbl_ArchitectureOffices!D1533</f>
        <v>0</v>
      </c>
      <c r="L1533" s="102">
        <f>tbl_ArchitectureOffices!C1533</f>
        <v>0</v>
      </c>
      <c r="M1533" s="102">
        <f t="shared" si="72"/>
        <v>0</v>
      </c>
      <c r="N1533" s="102">
        <f>tbl_Companys!D1533</f>
        <v>0</v>
      </c>
      <c r="O1533" s="102">
        <f>tbl_Companys!C1533</f>
        <v>0</v>
      </c>
      <c r="P1533" s="102">
        <f t="shared" si="70"/>
        <v>0</v>
      </c>
      <c r="Q1533" s="102">
        <f>tbl_ConsultingCompanys!D1533</f>
        <v>0</v>
      </c>
      <c r="R1533" s="102">
        <f>tbl_ConsultingCompanys!C1533</f>
        <v>0</v>
      </c>
      <c r="S1533" s="102">
        <f t="shared" si="71"/>
        <v>0</v>
      </c>
    </row>
    <row r="1534" spans="11:19" x14ac:dyDescent="0.15">
      <c r="K1534" s="102">
        <f>tbl_ArchitectureOffices!D1534</f>
        <v>0</v>
      </c>
      <c r="L1534" s="102">
        <f>tbl_ArchitectureOffices!C1534</f>
        <v>0</v>
      </c>
      <c r="M1534" s="102">
        <f t="shared" si="72"/>
        <v>0</v>
      </c>
      <c r="N1534" s="102">
        <f>tbl_Companys!D1534</f>
        <v>0</v>
      </c>
      <c r="O1534" s="102">
        <f>tbl_Companys!C1534</f>
        <v>0</v>
      </c>
      <c r="P1534" s="102">
        <f t="shared" si="70"/>
        <v>0</v>
      </c>
      <c r="Q1534" s="102">
        <f>tbl_ConsultingCompanys!D1534</f>
        <v>0</v>
      </c>
      <c r="R1534" s="102">
        <f>tbl_ConsultingCompanys!C1534</f>
        <v>0</v>
      </c>
      <c r="S1534" s="102">
        <f t="shared" si="71"/>
        <v>0</v>
      </c>
    </row>
    <row r="1535" spans="11:19" x14ac:dyDescent="0.15">
      <c r="K1535" s="102">
        <f>tbl_ArchitectureOffices!D1535</f>
        <v>0</v>
      </c>
      <c r="L1535" s="102">
        <f>tbl_ArchitectureOffices!C1535</f>
        <v>0</v>
      </c>
      <c r="M1535" s="102">
        <f t="shared" si="72"/>
        <v>0</v>
      </c>
      <c r="N1535" s="102">
        <f>tbl_Companys!D1535</f>
        <v>0</v>
      </c>
      <c r="O1535" s="102">
        <f>tbl_Companys!C1535</f>
        <v>0</v>
      </c>
      <c r="P1535" s="102">
        <f t="shared" si="70"/>
        <v>0</v>
      </c>
      <c r="Q1535" s="102">
        <f>tbl_ConsultingCompanys!D1535</f>
        <v>0</v>
      </c>
      <c r="R1535" s="102">
        <f>tbl_ConsultingCompanys!C1535</f>
        <v>0</v>
      </c>
      <c r="S1535" s="102">
        <f t="shared" si="71"/>
        <v>0</v>
      </c>
    </row>
    <row r="1536" spans="11:19" x14ac:dyDescent="0.15">
      <c r="K1536" s="102">
        <f>tbl_ArchitectureOffices!D1536</f>
        <v>0</v>
      </c>
      <c r="L1536" s="102">
        <f>tbl_ArchitectureOffices!C1536</f>
        <v>0</v>
      </c>
      <c r="M1536" s="102">
        <f t="shared" si="72"/>
        <v>0</v>
      </c>
      <c r="N1536" s="102">
        <f>tbl_Companys!D1536</f>
        <v>0</v>
      </c>
      <c r="O1536" s="102">
        <f>tbl_Companys!C1536</f>
        <v>0</v>
      </c>
      <c r="P1536" s="102">
        <f t="shared" si="70"/>
        <v>0</v>
      </c>
      <c r="Q1536" s="102">
        <f>tbl_ConsultingCompanys!D1536</f>
        <v>0</v>
      </c>
      <c r="R1536" s="102">
        <f>tbl_ConsultingCompanys!C1536</f>
        <v>0</v>
      </c>
      <c r="S1536" s="102">
        <f t="shared" si="71"/>
        <v>0</v>
      </c>
    </row>
    <row r="1537" spans="11:19" x14ac:dyDescent="0.15">
      <c r="K1537" s="102">
        <f>tbl_ArchitectureOffices!D1537</f>
        <v>0</v>
      </c>
      <c r="L1537" s="102">
        <f>tbl_ArchitectureOffices!C1537</f>
        <v>0</v>
      </c>
      <c r="M1537" s="102">
        <f t="shared" si="72"/>
        <v>0</v>
      </c>
      <c r="N1537" s="102">
        <f>tbl_Companys!D1537</f>
        <v>0</v>
      </c>
      <c r="O1537" s="102">
        <f>tbl_Companys!C1537</f>
        <v>0</v>
      </c>
      <c r="P1537" s="102">
        <f t="shared" si="70"/>
        <v>0</v>
      </c>
      <c r="Q1537" s="102">
        <f>tbl_ConsultingCompanys!D1537</f>
        <v>0</v>
      </c>
      <c r="R1537" s="102">
        <f>tbl_ConsultingCompanys!C1537</f>
        <v>0</v>
      </c>
      <c r="S1537" s="102">
        <f t="shared" si="71"/>
        <v>0</v>
      </c>
    </row>
    <row r="1538" spans="11:19" x14ac:dyDescent="0.15">
      <c r="K1538" s="102">
        <f>tbl_ArchitectureOffices!D1538</f>
        <v>0</v>
      </c>
      <c r="L1538" s="102">
        <f>tbl_ArchitectureOffices!C1538</f>
        <v>0</v>
      </c>
      <c r="M1538" s="102">
        <f t="shared" si="72"/>
        <v>0</v>
      </c>
      <c r="N1538" s="102">
        <f>tbl_Companys!D1538</f>
        <v>0</v>
      </c>
      <c r="O1538" s="102">
        <f>tbl_Companys!C1538</f>
        <v>0</v>
      </c>
      <c r="P1538" s="102">
        <f t="shared" si="70"/>
        <v>0</v>
      </c>
      <c r="Q1538" s="102">
        <f>tbl_ConsultingCompanys!D1538</f>
        <v>0</v>
      </c>
      <c r="R1538" s="102">
        <f>tbl_ConsultingCompanys!C1538</f>
        <v>0</v>
      </c>
      <c r="S1538" s="102">
        <f t="shared" si="71"/>
        <v>0</v>
      </c>
    </row>
    <row r="1539" spans="11:19" x14ac:dyDescent="0.15">
      <c r="K1539" s="102">
        <f>tbl_ArchitectureOffices!D1539</f>
        <v>0</v>
      </c>
      <c r="L1539" s="102">
        <f>tbl_ArchitectureOffices!C1539</f>
        <v>0</v>
      </c>
      <c r="M1539" s="102">
        <f t="shared" si="72"/>
        <v>0</v>
      </c>
      <c r="N1539" s="102">
        <f>tbl_Companys!D1539</f>
        <v>0</v>
      </c>
      <c r="O1539" s="102">
        <f>tbl_Companys!C1539</f>
        <v>0</v>
      </c>
      <c r="P1539" s="102">
        <f t="shared" ref="P1539:P1602" si="73">IFERROR(REPLACE(N1539,FIND(" ",N1539,LEN(N1539)),1,""),N1539)</f>
        <v>0</v>
      </c>
      <c r="Q1539" s="102">
        <f>tbl_ConsultingCompanys!D1539</f>
        <v>0</v>
      </c>
      <c r="R1539" s="102">
        <f>tbl_ConsultingCompanys!C1539</f>
        <v>0</v>
      </c>
      <c r="S1539" s="102">
        <f t="shared" ref="S1539:S1602" si="74">IFERROR(REPLACE(Q1539,FIND(" ",Q1539,LEN(Q1539)),1,""),Q1539)</f>
        <v>0</v>
      </c>
    </row>
    <row r="1540" spans="11:19" x14ac:dyDescent="0.15">
      <c r="K1540" s="102">
        <f>tbl_ArchitectureOffices!D1540</f>
        <v>0</v>
      </c>
      <c r="L1540" s="102">
        <f>tbl_ArchitectureOffices!C1540</f>
        <v>0</v>
      </c>
      <c r="M1540" s="102">
        <f t="shared" si="72"/>
        <v>0</v>
      </c>
      <c r="N1540" s="102">
        <f>tbl_Companys!D1540</f>
        <v>0</v>
      </c>
      <c r="O1540" s="102">
        <f>tbl_Companys!C1540</f>
        <v>0</v>
      </c>
      <c r="P1540" s="102">
        <f t="shared" si="73"/>
        <v>0</v>
      </c>
      <c r="Q1540" s="102">
        <f>tbl_ConsultingCompanys!D1540</f>
        <v>0</v>
      </c>
      <c r="R1540" s="102">
        <f>tbl_ConsultingCompanys!C1540</f>
        <v>0</v>
      </c>
      <c r="S1540" s="102">
        <f t="shared" si="74"/>
        <v>0</v>
      </c>
    </row>
    <row r="1541" spans="11:19" x14ac:dyDescent="0.15">
      <c r="K1541" s="102">
        <f>tbl_ArchitectureOffices!D1541</f>
        <v>0</v>
      </c>
      <c r="L1541" s="102">
        <f>tbl_ArchitectureOffices!C1541</f>
        <v>0</v>
      </c>
      <c r="M1541" s="102">
        <f t="shared" si="72"/>
        <v>0</v>
      </c>
      <c r="N1541" s="102">
        <f>tbl_Companys!D1541</f>
        <v>0</v>
      </c>
      <c r="O1541" s="102">
        <f>tbl_Companys!C1541</f>
        <v>0</v>
      </c>
      <c r="P1541" s="102">
        <f t="shared" si="73"/>
        <v>0</v>
      </c>
      <c r="Q1541" s="102">
        <f>tbl_ConsultingCompanys!D1541</f>
        <v>0</v>
      </c>
      <c r="R1541" s="102">
        <f>tbl_ConsultingCompanys!C1541</f>
        <v>0</v>
      </c>
      <c r="S1541" s="102">
        <f t="shared" si="74"/>
        <v>0</v>
      </c>
    </row>
    <row r="1542" spans="11:19" x14ac:dyDescent="0.15">
      <c r="K1542" s="102">
        <f>tbl_ArchitectureOffices!D1542</f>
        <v>0</v>
      </c>
      <c r="L1542" s="102">
        <f>tbl_ArchitectureOffices!C1542</f>
        <v>0</v>
      </c>
      <c r="M1542" s="102">
        <f t="shared" si="72"/>
        <v>0</v>
      </c>
      <c r="N1542" s="102">
        <f>tbl_Companys!D1542</f>
        <v>0</v>
      </c>
      <c r="O1542" s="102">
        <f>tbl_Companys!C1542</f>
        <v>0</v>
      </c>
      <c r="P1542" s="102">
        <f t="shared" si="73"/>
        <v>0</v>
      </c>
      <c r="Q1542" s="102">
        <f>tbl_ConsultingCompanys!D1542</f>
        <v>0</v>
      </c>
      <c r="R1542" s="102">
        <f>tbl_ConsultingCompanys!C1542</f>
        <v>0</v>
      </c>
      <c r="S1542" s="102">
        <f t="shared" si="74"/>
        <v>0</v>
      </c>
    </row>
    <row r="1543" spans="11:19" x14ac:dyDescent="0.15">
      <c r="K1543" s="102">
        <f>tbl_ArchitectureOffices!D1543</f>
        <v>0</v>
      </c>
      <c r="L1543" s="102">
        <f>tbl_ArchitectureOffices!C1543</f>
        <v>0</v>
      </c>
      <c r="M1543" s="102">
        <f t="shared" si="72"/>
        <v>0</v>
      </c>
      <c r="N1543" s="102">
        <f>tbl_Companys!D1543</f>
        <v>0</v>
      </c>
      <c r="O1543" s="102">
        <f>tbl_Companys!C1543</f>
        <v>0</v>
      </c>
      <c r="P1543" s="102">
        <f t="shared" si="73"/>
        <v>0</v>
      </c>
      <c r="Q1543" s="102">
        <f>tbl_ConsultingCompanys!D1543</f>
        <v>0</v>
      </c>
      <c r="R1543" s="102">
        <f>tbl_ConsultingCompanys!C1543</f>
        <v>0</v>
      </c>
      <c r="S1543" s="102">
        <f t="shared" si="74"/>
        <v>0</v>
      </c>
    </row>
    <row r="1544" spans="11:19" x14ac:dyDescent="0.15">
      <c r="K1544" s="102">
        <f>tbl_ArchitectureOffices!D1544</f>
        <v>0</v>
      </c>
      <c r="L1544" s="102">
        <f>tbl_ArchitectureOffices!C1544</f>
        <v>0</v>
      </c>
      <c r="M1544" s="102">
        <f t="shared" si="72"/>
        <v>0</v>
      </c>
      <c r="N1544" s="102">
        <f>tbl_Companys!D1544</f>
        <v>0</v>
      </c>
      <c r="O1544" s="102">
        <f>tbl_Companys!C1544</f>
        <v>0</v>
      </c>
      <c r="P1544" s="102">
        <f t="shared" si="73"/>
        <v>0</v>
      </c>
      <c r="Q1544" s="102">
        <f>tbl_ConsultingCompanys!D1544</f>
        <v>0</v>
      </c>
      <c r="R1544" s="102">
        <f>tbl_ConsultingCompanys!C1544</f>
        <v>0</v>
      </c>
      <c r="S1544" s="102">
        <f t="shared" si="74"/>
        <v>0</v>
      </c>
    </row>
    <row r="1545" spans="11:19" x14ac:dyDescent="0.15">
      <c r="K1545" s="102">
        <f>tbl_ArchitectureOffices!D1545</f>
        <v>0</v>
      </c>
      <c r="L1545" s="102">
        <f>tbl_ArchitectureOffices!C1545</f>
        <v>0</v>
      </c>
      <c r="M1545" s="102">
        <f t="shared" si="72"/>
        <v>0</v>
      </c>
      <c r="N1545" s="102">
        <f>tbl_Companys!D1545</f>
        <v>0</v>
      </c>
      <c r="O1545" s="102">
        <f>tbl_Companys!C1545</f>
        <v>0</v>
      </c>
      <c r="P1545" s="102">
        <f t="shared" si="73"/>
        <v>0</v>
      </c>
      <c r="Q1545" s="102">
        <f>tbl_ConsultingCompanys!D1545</f>
        <v>0</v>
      </c>
      <c r="R1545" s="102">
        <f>tbl_ConsultingCompanys!C1545</f>
        <v>0</v>
      </c>
      <c r="S1545" s="102">
        <f t="shared" si="74"/>
        <v>0</v>
      </c>
    </row>
    <row r="1546" spans="11:19" x14ac:dyDescent="0.15">
      <c r="K1546" s="102">
        <f>tbl_ArchitectureOffices!D1546</f>
        <v>0</v>
      </c>
      <c r="L1546" s="102">
        <f>tbl_ArchitectureOffices!C1546</f>
        <v>0</v>
      </c>
      <c r="M1546" s="102">
        <f t="shared" si="72"/>
        <v>0</v>
      </c>
      <c r="N1546" s="102">
        <f>tbl_Companys!D1546</f>
        <v>0</v>
      </c>
      <c r="O1546" s="102">
        <f>tbl_Companys!C1546</f>
        <v>0</v>
      </c>
      <c r="P1546" s="102">
        <f t="shared" si="73"/>
        <v>0</v>
      </c>
      <c r="Q1546" s="102">
        <f>tbl_ConsultingCompanys!D1546</f>
        <v>0</v>
      </c>
      <c r="R1546" s="102">
        <f>tbl_ConsultingCompanys!C1546</f>
        <v>0</v>
      </c>
      <c r="S1546" s="102">
        <f t="shared" si="74"/>
        <v>0</v>
      </c>
    </row>
    <row r="1547" spans="11:19" x14ac:dyDescent="0.15">
      <c r="K1547" s="102">
        <f>tbl_ArchitectureOffices!D1547</f>
        <v>0</v>
      </c>
      <c r="L1547" s="102">
        <f>tbl_ArchitectureOffices!C1547</f>
        <v>0</v>
      </c>
      <c r="M1547" s="102">
        <f t="shared" si="72"/>
        <v>0</v>
      </c>
      <c r="N1547" s="102">
        <f>tbl_Companys!D1547</f>
        <v>0</v>
      </c>
      <c r="O1547" s="102">
        <f>tbl_Companys!C1547</f>
        <v>0</v>
      </c>
      <c r="P1547" s="102">
        <f t="shared" si="73"/>
        <v>0</v>
      </c>
      <c r="Q1547" s="102">
        <f>tbl_ConsultingCompanys!D1547</f>
        <v>0</v>
      </c>
      <c r="R1547" s="102">
        <f>tbl_ConsultingCompanys!C1547</f>
        <v>0</v>
      </c>
      <c r="S1547" s="102">
        <f t="shared" si="74"/>
        <v>0</v>
      </c>
    </row>
    <row r="1548" spans="11:19" x14ac:dyDescent="0.15">
      <c r="K1548" s="102">
        <f>tbl_ArchitectureOffices!D1548</f>
        <v>0</v>
      </c>
      <c r="L1548" s="102">
        <f>tbl_ArchitectureOffices!C1548</f>
        <v>0</v>
      </c>
      <c r="M1548" s="102">
        <f t="shared" si="72"/>
        <v>0</v>
      </c>
      <c r="N1548" s="102">
        <f>tbl_Companys!D1548</f>
        <v>0</v>
      </c>
      <c r="O1548" s="102">
        <f>tbl_Companys!C1548</f>
        <v>0</v>
      </c>
      <c r="P1548" s="102">
        <f t="shared" si="73"/>
        <v>0</v>
      </c>
      <c r="Q1548" s="102">
        <f>tbl_ConsultingCompanys!D1548</f>
        <v>0</v>
      </c>
      <c r="R1548" s="102">
        <f>tbl_ConsultingCompanys!C1548</f>
        <v>0</v>
      </c>
      <c r="S1548" s="102">
        <f t="shared" si="74"/>
        <v>0</v>
      </c>
    </row>
    <row r="1549" spans="11:19" x14ac:dyDescent="0.15">
      <c r="K1549" s="102">
        <f>tbl_ArchitectureOffices!D1549</f>
        <v>0</v>
      </c>
      <c r="L1549" s="102">
        <f>tbl_ArchitectureOffices!C1549</f>
        <v>0</v>
      </c>
      <c r="M1549" s="102">
        <f t="shared" si="72"/>
        <v>0</v>
      </c>
      <c r="N1549" s="102">
        <f>tbl_Companys!D1549</f>
        <v>0</v>
      </c>
      <c r="O1549" s="102">
        <f>tbl_Companys!C1549</f>
        <v>0</v>
      </c>
      <c r="P1549" s="102">
        <f t="shared" si="73"/>
        <v>0</v>
      </c>
      <c r="Q1549" s="102">
        <f>tbl_ConsultingCompanys!D1549</f>
        <v>0</v>
      </c>
      <c r="R1549" s="102">
        <f>tbl_ConsultingCompanys!C1549</f>
        <v>0</v>
      </c>
      <c r="S1549" s="102">
        <f t="shared" si="74"/>
        <v>0</v>
      </c>
    </row>
    <row r="1550" spans="11:19" x14ac:dyDescent="0.15">
      <c r="K1550" s="102">
        <f>tbl_ArchitectureOffices!D1550</f>
        <v>0</v>
      </c>
      <c r="L1550" s="102">
        <f>tbl_ArchitectureOffices!C1550</f>
        <v>0</v>
      </c>
      <c r="M1550" s="102">
        <f t="shared" si="72"/>
        <v>0</v>
      </c>
      <c r="N1550" s="102">
        <f>tbl_Companys!D1550</f>
        <v>0</v>
      </c>
      <c r="O1550" s="102">
        <f>tbl_Companys!C1550</f>
        <v>0</v>
      </c>
      <c r="P1550" s="102">
        <f t="shared" si="73"/>
        <v>0</v>
      </c>
      <c r="Q1550" s="102">
        <f>tbl_ConsultingCompanys!D1550</f>
        <v>0</v>
      </c>
      <c r="R1550" s="102">
        <f>tbl_ConsultingCompanys!C1550</f>
        <v>0</v>
      </c>
      <c r="S1550" s="102">
        <f t="shared" si="74"/>
        <v>0</v>
      </c>
    </row>
    <row r="1551" spans="11:19" x14ac:dyDescent="0.15">
      <c r="K1551" s="102">
        <f>tbl_ArchitectureOffices!D1551</f>
        <v>0</v>
      </c>
      <c r="L1551" s="102">
        <f>tbl_ArchitectureOffices!C1551</f>
        <v>0</v>
      </c>
      <c r="M1551" s="102">
        <f t="shared" si="72"/>
        <v>0</v>
      </c>
      <c r="N1551" s="102">
        <f>tbl_Companys!D1551</f>
        <v>0</v>
      </c>
      <c r="O1551" s="102">
        <f>tbl_Companys!C1551</f>
        <v>0</v>
      </c>
      <c r="P1551" s="102">
        <f t="shared" si="73"/>
        <v>0</v>
      </c>
      <c r="Q1551" s="102">
        <f>tbl_ConsultingCompanys!D1551</f>
        <v>0</v>
      </c>
      <c r="R1551" s="102">
        <f>tbl_ConsultingCompanys!C1551</f>
        <v>0</v>
      </c>
      <c r="S1551" s="102">
        <f t="shared" si="74"/>
        <v>0</v>
      </c>
    </row>
    <row r="1552" spans="11:19" x14ac:dyDescent="0.15">
      <c r="K1552" s="102">
        <f>tbl_ArchitectureOffices!D1552</f>
        <v>0</v>
      </c>
      <c r="L1552" s="102">
        <f>tbl_ArchitectureOffices!C1552</f>
        <v>0</v>
      </c>
      <c r="M1552" s="102">
        <f t="shared" si="72"/>
        <v>0</v>
      </c>
      <c r="N1552" s="102">
        <f>tbl_Companys!D1552</f>
        <v>0</v>
      </c>
      <c r="O1552" s="102">
        <f>tbl_Companys!C1552</f>
        <v>0</v>
      </c>
      <c r="P1552" s="102">
        <f t="shared" si="73"/>
        <v>0</v>
      </c>
      <c r="Q1552" s="102">
        <f>tbl_ConsultingCompanys!D1552</f>
        <v>0</v>
      </c>
      <c r="R1552" s="102">
        <f>tbl_ConsultingCompanys!C1552</f>
        <v>0</v>
      </c>
      <c r="S1552" s="102">
        <f t="shared" si="74"/>
        <v>0</v>
      </c>
    </row>
    <row r="1553" spans="11:19" x14ac:dyDescent="0.15">
      <c r="K1553" s="102">
        <f>tbl_ArchitectureOffices!D1553</f>
        <v>0</v>
      </c>
      <c r="L1553" s="102">
        <f>tbl_ArchitectureOffices!C1553</f>
        <v>0</v>
      </c>
      <c r="M1553" s="102">
        <f t="shared" si="72"/>
        <v>0</v>
      </c>
      <c r="N1553" s="102">
        <f>tbl_Companys!D1553</f>
        <v>0</v>
      </c>
      <c r="O1553" s="102">
        <f>tbl_Companys!C1553</f>
        <v>0</v>
      </c>
      <c r="P1553" s="102">
        <f t="shared" si="73"/>
        <v>0</v>
      </c>
      <c r="Q1553" s="102">
        <f>tbl_ConsultingCompanys!D1553</f>
        <v>0</v>
      </c>
      <c r="R1553" s="102">
        <f>tbl_ConsultingCompanys!C1553</f>
        <v>0</v>
      </c>
      <c r="S1553" s="102">
        <f t="shared" si="74"/>
        <v>0</v>
      </c>
    </row>
    <row r="1554" spans="11:19" x14ac:dyDescent="0.15">
      <c r="K1554" s="102">
        <f>tbl_ArchitectureOffices!D1554</f>
        <v>0</v>
      </c>
      <c r="L1554" s="102">
        <f>tbl_ArchitectureOffices!C1554</f>
        <v>0</v>
      </c>
      <c r="M1554" s="102">
        <f t="shared" si="72"/>
        <v>0</v>
      </c>
      <c r="N1554" s="102">
        <f>tbl_Companys!D1554</f>
        <v>0</v>
      </c>
      <c r="O1554" s="102">
        <f>tbl_Companys!C1554</f>
        <v>0</v>
      </c>
      <c r="P1554" s="102">
        <f t="shared" si="73"/>
        <v>0</v>
      </c>
      <c r="Q1554" s="102">
        <f>tbl_ConsultingCompanys!D1554</f>
        <v>0</v>
      </c>
      <c r="R1554" s="102">
        <f>tbl_ConsultingCompanys!C1554</f>
        <v>0</v>
      </c>
      <c r="S1554" s="102">
        <f t="shared" si="74"/>
        <v>0</v>
      </c>
    </row>
    <row r="1555" spans="11:19" x14ac:dyDescent="0.15">
      <c r="K1555" s="102">
        <f>tbl_ArchitectureOffices!D1555</f>
        <v>0</v>
      </c>
      <c r="L1555" s="102">
        <f>tbl_ArchitectureOffices!C1555</f>
        <v>0</v>
      </c>
      <c r="M1555" s="102">
        <f t="shared" si="72"/>
        <v>0</v>
      </c>
      <c r="N1555" s="102">
        <f>tbl_Companys!D1555</f>
        <v>0</v>
      </c>
      <c r="O1555" s="102">
        <f>tbl_Companys!C1555</f>
        <v>0</v>
      </c>
      <c r="P1555" s="102">
        <f t="shared" si="73"/>
        <v>0</v>
      </c>
      <c r="Q1555" s="102">
        <f>tbl_ConsultingCompanys!D1555</f>
        <v>0</v>
      </c>
      <c r="R1555" s="102">
        <f>tbl_ConsultingCompanys!C1555</f>
        <v>0</v>
      </c>
      <c r="S1555" s="102">
        <f t="shared" si="74"/>
        <v>0</v>
      </c>
    </row>
    <row r="1556" spans="11:19" x14ac:dyDescent="0.15">
      <c r="K1556" s="102">
        <f>tbl_ArchitectureOffices!D1556</f>
        <v>0</v>
      </c>
      <c r="L1556" s="102">
        <f>tbl_ArchitectureOffices!C1556</f>
        <v>0</v>
      </c>
      <c r="M1556" s="102">
        <f t="shared" si="72"/>
        <v>0</v>
      </c>
      <c r="N1556" s="102">
        <f>tbl_Companys!D1556</f>
        <v>0</v>
      </c>
      <c r="O1556" s="102">
        <f>tbl_Companys!C1556</f>
        <v>0</v>
      </c>
      <c r="P1556" s="102">
        <f t="shared" si="73"/>
        <v>0</v>
      </c>
      <c r="Q1556" s="102">
        <f>tbl_ConsultingCompanys!D1556</f>
        <v>0</v>
      </c>
      <c r="R1556" s="102">
        <f>tbl_ConsultingCompanys!C1556</f>
        <v>0</v>
      </c>
      <c r="S1556" s="102">
        <f t="shared" si="74"/>
        <v>0</v>
      </c>
    </row>
    <row r="1557" spans="11:19" x14ac:dyDescent="0.15">
      <c r="K1557" s="102">
        <f>tbl_ArchitectureOffices!D1557</f>
        <v>0</v>
      </c>
      <c r="L1557" s="102">
        <f>tbl_ArchitectureOffices!C1557</f>
        <v>0</v>
      </c>
      <c r="M1557" s="102">
        <f t="shared" si="72"/>
        <v>0</v>
      </c>
      <c r="N1557" s="102">
        <f>tbl_Companys!D1557</f>
        <v>0</v>
      </c>
      <c r="O1557" s="102">
        <f>tbl_Companys!C1557</f>
        <v>0</v>
      </c>
      <c r="P1557" s="102">
        <f t="shared" si="73"/>
        <v>0</v>
      </c>
      <c r="Q1557" s="102">
        <f>tbl_ConsultingCompanys!D1557</f>
        <v>0</v>
      </c>
      <c r="R1557" s="102">
        <f>tbl_ConsultingCompanys!C1557</f>
        <v>0</v>
      </c>
      <c r="S1557" s="102">
        <f t="shared" si="74"/>
        <v>0</v>
      </c>
    </row>
    <row r="1558" spans="11:19" x14ac:dyDescent="0.15">
      <c r="K1558" s="102">
        <f>tbl_ArchitectureOffices!D1558</f>
        <v>0</v>
      </c>
      <c r="L1558" s="102">
        <f>tbl_ArchitectureOffices!C1558</f>
        <v>0</v>
      </c>
      <c r="M1558" s="102">
        <f t="shared" si="72"/>
        <v>0</v>
      </c>
      <c r="N1558" s="102">
        <f>tbl_Companys!D1558</f>
        <v>0</v>
      </c>
      <c r="O1558" s="102">
        <f>tbl_Companys!C1558</f>
        <v>0</v>
      </c>
      <c r="P1558" s="102">
        <f t="shared" si="73"/>
        <v>0</v>
      </c>
      <c r="Q1558" s="102">
        <f>tbl_ConsultingCompanys!D1558</f>
        <v>0</v>
      </c>
      <c r="R1558" s="102">
        <f>tbl_ConsultingCompanys!C1558</f>
        <v>0</v>
      </c>
      <c r="S1558" s="102">
        <f t="shared" si="74"/>
        <v>0</v>
      </c>
    </row>
    <row r="1559" spans="11:19" x14ac:dyDescent="0.15">
      <c r="K1559" s="102">
        <f>tbl_ArchitectureOffices!D1559</f>
        <v>0</v>
      </c>
      <c r="L1559" s="102">
        <f>tbl_ArchitectureOffices!C1559</f>
        <v>0</v>
      </c>
      <c r="M1559" s="102">
        <f t="shared" si="72"/>
        <v>0</v>
      </c>
      <c r="N1559" s="102">
        <f>tbl_Companys!D1559</f>
        <v>0</v>
      </c>
      <c r="O1559" s="102">
        <f>tbl_Companys!C1559</f>
        <v>0</v>
      </c>
      <c r="P1559" s="102">
        <f t="shared" si="73"/>
        <v>0</v>
      </c>
      <c r="Q1559" s="102">
        <f>tbl_ConsultingCompanys!D1559</f>
        <v>0</v>
      </c>
      <c r="R1559" s="102">
        <f>tbl_ConsultingCompanys!C1559</f>
        <v>0</v>
      </c>
      <c r="S1559" s="102">
        <f t="shared" si="74"/>
        <v>0</v>
      </c>
    </row>
    <row r="1560" spans="11:19" x14ac:dyDescent="0.15">
      <c r="K1560" s="102">
        <f>tbl_ArchitectureOffices!D1560</f>
        <v>0</v>
      </c>
      <c r="L1560" s="102">
        <f>tbl_ArchitectureOffices!C1560</f>
        <v>0</v>
      </c>
      <c r="M1560" s="102">
        <f t="shared" si="72"/>
        <v>0</v>
      </c>
      <c r="N1560" s="102">
        <f>tbl_Companys!D1560</f>
        <v>0</v>
      </c>
      <c r="O1560" s="102">
        <f>tbl_Companys!C1560</f>
        <v>0</v>
      </c>
      <c r="P1560" s="102">
        <f t="shared" si="73"/>
        <v>0</v>
      </c>
      <c r="Q1560" s="102">
        <f>tbl_ConsultingCompanys!D1560</f>
        <v>0</v>
      </c>
      <c r="R1560" s="102">
        <f>tbl_ConsultingCompanys!C1560</f>
        <v>0</v>
      </c>
      <c r="S1560" s="102">
        <f t="shared" si="74"/>
        <v>0</v>
      </c>
    </row>
    <row r="1561" spans="11:19" x14ac:dyDescent="0.15">
      <c r="K1561" s="102">
        <f>tbl_ArchitectureOffices!D1561</f>
        <v>0</v>
      </c>
      <c r="L1561" s="102">
        <f>tbl_ArchitectureOffices!C1561</f>
        <v>0</v>
      </c>
      <c r="M1561" s="102">
        <f t="shared" si="72"/>
        <v>0</v>
      </c>
      <c r="N1561" s="102">
        <f>tbl_Companys!D1561</f>
        <v>0</v>
      </c>
      <c r="O1561" s="102">
        <f>tbl_Companys!C1561</f>
        <v>0</v>
      </c>
      <c r="P1561" s="102">
        <f t="shared" si="73"/>
        <v>0</v>
      </c>
      <c r="Q1561" s="102">
        <f>tbl_ConsultingCompanys!D1561</f>
        <v>0</v>
      </c>
      <c r="R1561" s="102">
        <f>tbl_ConsultingCompanys!C1561</f>
        <v>0</v>
      </c>
      <c r="S1561" s="102">
        <f t="shared" si="74"/>
        <v>0</v>
      </c>
    </row>
    <row r="1562" spans="11:19" x14ac:dyDescent="0.15">
      <c r="K1562" s="102">
        <f>tbl_ArchitectureOffices!D1562</f>
        <v>0</v>
      </c>
      <c r="L1562" s="102">
        <f>tbl_ArchitectureOffices!C1562</f>
        <v>0</v>
      </c>
      <c r="M1562" s="102">
        <f t="shared" si="72"/>
        <v>0</v>
      </c>
      <c r="N1562" s="102">
        <f>tbl_Companys!D1562</f>
        <v>0</v>
      </c>
      <c r="O1562" s="102">
        <f>tbl_Companys!C1562</f>
        <v>0</v>
      </c>
      <c r="P1562" s="102">
        <f t="shared" si="73"/>
        <v>0</v>
      </c>
      <c r="Q1562" s="102">
        <f>tbl_ConsultingCompanys!D1562</f>
        <v>0</v>
      </c>
      <c r="R1562" s="102">
        <f>tbl_ConsultingCompanys!C1562</f>
        <v>0</v>
      </c>
      <c r="S1562" s="102">
        <f t="shared" si="74"/>
        <v>0</v>
      </c>
    </row>
    <row r="1563" spans="11:19" x14ac:dyDescent="0.15">
      <c r="K1563" s="102">
        <f>tbl_ArchitectureOffices!D1563</f>
        <v>0</v>
      </c>
      <c r="L1563" s="102">
        <f>tbl_ArchitectureOffices!C1563</f>
        <v>0</v>
      </c>
      <c r="M1563" s="102">
        <f t="shared" si="72"/>
        <v>0</v>
      </c>
      <c r="N1563" s="102">
        <f>tbl_Companys!D1563</f>
        <v>0</v>
      </c>
      <c r="O1563" s="102">
        <f>tbl_Companys!C1563</f>
        <v>0</v>
      </c>
      <c r="P1563" s="102">
        <f t="shared" si="73"/>
        <v>0</v>
      </c>
      <c r="Q1563" s="102">
        <f>tbl_ConsultingCompanys!D1563</f>
        <v>0</v>
      </c>
      <c r="R1563" s="102">
        <f>tbl_ConsultingCompanys!C1563</f>
        <v>0</v>
      </c>
      <c r="S1563" s="102">
        <f t="shared" si="74"/>
        <v>0</v>
      </c>
    </row>
    <row r="1564" spans="11:19" x14ac:dyDescent="0.15">
      <c r="K1564" s="102">
        <f>tbl_ArchitectureOffices!D1564</f>
        <v>0</v>
      </c>
      <c r="L1564" s="102">
        <f>tbl_ArchitectureOffices!C1564</f>
        <v>0</v>
      </c>
      <c r="M1564" s="102">
        <f t="shared" si="72"/>
        <v>0</v>
      </c>
      <c r="N1564" s="102">
        <f>tbl_Companys!D1564</f>
        <v>0</v>
      </c>
      <c r="O1564" s="102">
        <f>tbl_Companys!C1564</f>
        <v>0</v>
      </c>
      <c r="P1564" s="102">
        <f t="shared" si="73"/>
        <v>0</v>
      </c>
      <c r="Q1564" s="102">
        <f>tbl_ConsultingCompanys!D1564</f>
        <v>0</v>
      </c>
      <c r="R1564" s="102">
        <f>tbl_ConsultingCompanys!C1564</f>
        <v>0</v>
      </c>
      <c r="S1564" s="102">
        <f t="shared" si="74"/>
        <v>0</v>
      </c>
    </row>
    <row r="1565" spans="11:19" x14ac:dyDescent="0.15">
      <c r="K1565" s="102">
        <f>tbl_ArchitectureOffices!D1565</f>
        <v>0</v>
      </c>
      <c r="L1565" s="102">
        <f>tbl_ArchitectureOffices!C1565</f>
        <v>0</v>
      </c>
      <c r="M1565" s="102">
        <f t="shared" si="72"/>
        <v>0</v>
      </c>
      <c r="N1565" s="102">
        <f>tbl_Companys!D1565</f>
        <v>0</v>
      </c>
      <c r="O1565" s="102">
        <f>tbl_Companys!C1565</f>
        <v>0</v>
      </c>
      <c r="P1565" s="102">
        <f t="shared" si="73"/>
        <v>0</v>
      </c>
      <c r="Q1565" s="102">
        <f>tbl_ConsultingCompanys!D1565</f>
        <v>0</v>
      </c>
      <c r="R1565" s="102">
        <f>tbl_ConsultingCompanys!C1565</f>
        <v>0</v>
      </c>
      <c r="S1565" s="102">
        <f t="shared" si="74"/>
        <v>0</v>
      </c>
    </row>
    <row r="1566" spans="11:19" x14ac:dyDescent="0.15">
      <c r="K1566" s="102">
        <f>tbl_ArchitectureOffices!D1566</f>
        <v>0</v>
      </c>
      <c r="L1566" s="102">
        <f>tbl_ArchitectureOffices!C1566</f>
        <v>0</v>
      </c>
      <c r="M1566" s="102">
        <f t="shared" si="72"/>
        <v>0</v>
      </c>
      <c r="N1566" s="102">
        <f>tbl_Companys!D1566</f>
        <v>0</v>
      </c>
      <c r="O1566" s="102">
        <f>tbl_Companys!C1566</f>
        <v>0</v>
      </c>
      <c r="P1566" s="102">
        <f t="shared" si="73"/>
        <v>0</v>
      </c>
      <c r="Q1566" s="102">
        <f>tbl_ConsultingCompanys!D1566</f>
        <v>0</v>
      </c>
      <c r="R1566" s="102">
        <f>tbl_ConsultingCompanys!C1566</f>
        <v>0</v>
      </c>
      <c r="S1566" s="102">
        <f t="shared" si="74"/>
        <v>0</v>
      </c>
    </row>
    <row r="1567" spans="11:19" x14ac:dyDescent="0.15">
      <c r="K1567" s="102">
        <f>tbl_ArchitectureOffices!D1567</f>
        <v>0</v>
      </c>
      <c r="L1567" s="102">
        <f>tbl_ArchitectureOffices!C1567</f>
        <v>0</v>
      </c>
      <c r="M1567" s="102">
        <f t="shared" si="72"/>
        <v>0</v>
      </c>
      <c r="N1567" s="102">
        <f>tbl_Companys!D1567</f>
        <v>0</v>
      </c>
      <c r="O1567" s="102">
        <f>tbl_Companys!C1567</f>
        <v>0</v>
      </c>
      <c r="P1567" s="102">
        <f t="shared" si="73"/>
        <v>0</v>
      </c>
      <c r="Q1567" s="102">
        <f>tbl_ConsultingCompanys!D1567</f>
        <v>0</v>
      </c>
      <c r="R1567" s="102">
        <f>tbl_ConsultingCompanys!C1567</f>
        <v>0</v>
      </c>
      <c r="S1567" s="102">
        <f t="shared" si="74"/>
        <v>0</v>
      </c>
    </row>
    <row r="1568" spans="11:19" x14ac:dyDescent="0.15">
      <c r="K1568" s="102">
        <f>tbl_ArchitectureOffices!D1568</f>
        <v>0</v>
      </c>
      <c r="L1568" s="102">
        <f>tbl_ArchitectureOffices!C1568</f>
        <v>0</v>
      </c>
      <c r="M1568" s="102">
        <f t="shared" si="72"/>
        <v>0</v>
      </c>
      <c r="N1568" s="102">
        <f>tbl_Companys!D1568</f>
        <v>0</v>
      </c>
      <c r="O1568" s="102">
        <f>tbl_Companys!C1568</f>
        <v>0</v>
      </c>
      <c r="P1568" s="102">
        <f t="shared" si="73"/>
        <v>0</v>
      </c>
      <c r="Q1568" s="102">
        <f>tbl_ConsultingCompanys!D1568</f>
        <v>0</v>
      </c>
      <c r="R1568" s="102">
        <f>tbl_ConsultingCompanys!C1568</f>
        <v>0</v>
      </c>
      <c r="S1568" s="102">
        <f t="shared" si="74"/>
        <v>0</v>
      </c>
    </row>
    <row r="1569" spans="11:19" x14ac:dyDescent="0.15">
      <c r="K1569" s="102">
        <f>tbl_ArchitectureOffices!D1569</f>
        <v>0</v>
      </c>
      <c r="L1569" s="102">
        <f>tbl_ArchitectureOffices!C1569</f>
        <v>0</v>
      </c>
      <c r="M1569" s="102">
        <f t="shared" si="72"/>
        <v>0</v>
      </c>
      <c r="N1569" s="102">
        <f>tbl_Companys!D1569</f>
        <v>0</v>
      </c>
      <c r="O1569" s="102">
        <f>tbl_Companys!C1569</f>
        <v>0</v>
      </c>
      <c r="P1569" s="102">
        <f t="shared" si="73"/>
        <v>0</v>
      </c>
      <c r="Q1569" s="102">
        <f>tbl_ConsultingCompanys!D1569</f>
        <v>0</v>
      </c>
      <c r="R1569" s="102">
        <f>tbl_ConsultingCompanys!C1569</f>
        <v>0</v>
      </c>
      <c r="S1569" s="102">
        <f t="shared" si="74"/>
        <v>0</v>
      </c>
    </row>
    <row r="1570" spans="11:19" x14ac:dyDescent="0.15">
      <c r="K1570" s="102">
        <f>tbl_ArchitectureOffices!D1570</f>
        <v>0</v>
      </c>
      <c r="L1570" s="102">
        <f>tbl_ArchitectureOffices!C1570</f>
        <v>0</v>
      </c>
      <c r="M1570" s="102">
        <f t="shared" si="72"/>
        <v>0</v>
      </c>
      <c r="N1570" s="102">
        <f>tbl_Companys!D1570</f>
        <v>0</v>
      </c>
      <c r="O1570" s="102">
        <f>tbl_Companys!C1570</f>
        <v>0</v>
      </c>
      <c r="P1570" s="102">
        <f t="shared" si="73"/>
        <v>0</v>
      </c>
      <c r="Q1570" s="102">
        <f>tbl_ConsultingCompanys!D1570</f>
        <v>0</v>
      </c>
      <c r="R1570" s="102">
        <f>tbl_ConsultingCompanys!C1570</f>
        <v>0</v>
      </c>
      <c r="S1570" s="102">
        <f t="shared" si="74"/>
        <v>0</v>
      </c>
    </row>
    <row r="1571" spans="11:19" x14ac:dyDescent="0.15">
      <c r="K1571" s="102">
        <f>tbl_ArchitectureOffices!D1571</f>
        <v>0</v>
      </c>
      <c r="L1571" s="102">
        <f>tbl_ArchitectureOffices!C1571</f>
        <v>0</v>
      </c>
      <c r="M1571" s="102">
        <f t="shared" si="72"/>
        <v>0</v>
      </c>
      <c r="N1571" s="102">
        <f>tbl_Companys!D1571</f>
        <v>0</v>
      </c>
      <c r="O1571" s="102">
        <f>tbl_Companys!C1571</f>
        <v>0</v>
      </c>
      <c r="P1571" s="102">
        <f t="shared" si="73"/>
        <v>0</v>
      </c>
      <c r="Q1571" s="102">
        <f>tbl_ConsultingCompanys!D1571</f>
        <v>0</v>
      </c>
      <c r="R1571" s="102">
        <f>tbl_ConsultingCompanys!C1571</f>
        <v>0</v>
      </c>
      <c r="S1571" s="102">
        <f t="shared" si="74"/>
        <v>0</v>
      </c>
    </row>
    <row r="1572" spans="11:19" x14ac:dyDescent="0.15">
      <c r="K1572" s="102">
        <f>tbl_ArchitectureOffices!D1572</f>
        <v>0</v>
      </c>
      <c r="L1572" s="102">
        <f>tbl_ArchitectureOffices!C1572</f>
        <v>0</v>
      </c>
      <c r="M1572" s="102">
        <f t="shared" si="72"/>
        <v>0</v>
      </c>
      <c r="N1572" s="102">
        <f>tbl_Companys!D1572</f>
        <v>0</v>
      </c>
      <c r="O1572" s="102">
        <f>tbl_Companys!C1572</f>
        <v>0</v>
      </c>
      <c r="P1572" s="102">
        <f t="shared" si="73"/>
        <v>0</v>
      </c>
      <c r="Q1572" s="102">
        <f>tbl_ConsultingCompanys!D1572</f>
        <v>0</v>
      </c>
      <c r="R1572" s="102">
        <f>tbl_ConsultingCompanys!C1572</f>
        <v>0</v>
      </c>
      <c r="S1572" s="102">
        <f t="shared" si="74"/>
        <v>0</v>
      </c>
    </row>
    <row r="1573" spans="11:19" x14ac:dyDescent="0.15">
      <c r="K1573" s="102">
        <f>tbl_ArchitectureOffices!D1573</f>
        <v>0</v>
      </c>
      <c r="L1573" s="102">
        <f>tbl_ArchitectureOffices!C1573</f>
        <v>0</v>
      </c>
      <c r="M1573" s="102">
        <f t="shared" si="72"/>
        <v>0</v>
      </c>
      <c r="N1573" s="102">
        <f>tbl_Companys!D1573</f>
        <v>0</v>
      </c>
      <c r="O1573" s="102">
        <f>tbl_Companys!C1573</f>
        <v>0</v>
      </c>
      <c r="P1573" s="102">
        <f t="shared" si="73"/>
        <v>0</v>
      </c>
      <c r="Q1573" s="102">
        <f>tbl_ConsultingCompanys!D1573</f>
        <v>0</v>
      </c>
      <c r="R1573" s="102">
        <f>tbl_ConsultingCompanys!C1573</f>
        <v>0</v>
      </c>
      <c r="S1573" s="102">
        <f t="shared" si="74"/>
        <v>0</v>
      </c>
    </row>
    <row r="1574" spans="11:19" x14ac:dyDescent="0.15">
      <c r="K1574" s="102">
        <f>tbl_ArchitectureOffices!D1574</f>
        <v>0</v>
      </c>
      <c r="L1574" s="102">
        <f>tbl_ArchitectureOffices!C1574</f>
        <v>0</v>
      </c>
      <c r="M1574" s="102">
        <f t="shared" si="72"/>
        <v>0</v>
      </c>
      <c r="N1574" s="102">
        <f>tbl_Companys!D1574</f>
        <v>0</v>
      </c>
      <c r="O1574" s="102">
        <f>tbl_Companys!C1574</f>
        <v>0</v>
      </c>
      <c r="P1574" s="102">
        <f t="shared" si="73"/>
        <v>0</v>
      </c>
      <c r="Q1574" s="102">
        <f>tbl_ConsultingCompanys!D1574</f>
        <v>0</v>
      </c>
      <c r="R1574" s="102">
        <f>tbl_ConsultingCompanys!C1574</f>
        <v>0</v>
      </c>
      <c r="S1574" s="102">
        <f t="shared" si="74"/>
        <v>0</v>
      </c>
    </row>
    <row r="1575" spans="11:19" x14ac:dyDescent="0.15">
      <c r="K1575" s="102">
        <f>tbl_ArchitectureOffices!D1575</f>
        <v>0</v>
      </c>
      <c r="L1575" s="102">
        <f>tbl_ArchitectureOffices!C1575</f>
        <v>0</v>
      </c>
      <c r="M1575" s="102">
        <f t="shared" si="72"/>
        <v>0</v>
      </c>
      <c r="N1575" s="102">
        <f>tbl_Companys!D1575</f>
        <v>0</v>
      </c>
      <c r="O1575" s="102">
        <f>tbl_Companys!C1575</f>
        <v>0</v>
      </c>
      <c r="P1575" s="102">
        <f t="shared" si="73"/>
        <v>0</v>
      </c>
      <c r="Q1575" s="102">
        <f>tbl_ConsultingCompanys!D1575</f>
        <v>0</v>
      </c>
      <c r="R1575" s="102">
        <f>tbl_ConsultingCompanys!C1575</f>
        <v>0</v>
      </c>
      <c r="S1575" s="102">
        <f t="shared" si="74"/>
        <v>0</v>
      </c>
    </row>
    <row r="1576" spans="11:19" x14ac:dyDescent="0.15">
      <c r="K1576" s="102">
        <f>tbl_ArchitectureOffices!D1576</f>
        <v>0</v>
      </c>
      <c r="L1576" s="102">
        <f>tbl_ArchitectureOffices!C1576</f>
        <v>0</v>
      </c>
      <c r="M1576" s="102">
        <f t="shared" si="72"/>
        <v>0</v>
      </c>
      <c r="N1576" s="102">
        <f>tbl_Companys!D1576</f>
        <v>0</v>
      </c>
      <c r="O1576" s="102">
        <f>tbl_Companys!C1576</f>
        <v>0</v>
      </c>
      <c r="P1576" s="102">
        <f t="shared" si="73"/>
        <v>0</v>
      </c>
      <c r="Q1576" s="102">
        <f>tbl_ConsultingCompanys!D1576</f>
        <v>0</v>
      </c>
      <c r="R1576" s="102">
        <f>tbl_ConsultingCompanys!C1576</f>
        <v>0</v>
      </c>
      <c r="S1576" s="102">
        <f t="shared" si="74"/>
        <v>0</v>
      </c>
    </row>
    <row r="1577" spans="11:19" x14ac:dyDescent="0.15">
      <c r="K1577" s="102">
        <f>tbl_ArchitectureOffices!D1577</f>
        <v>0</v>
      </c>
      <c r="L1577" s="102">
        <f>tbl_ArchitectureOffices!C1577</f>
        <v>0</v>
      </c>
      <c r="M1577" s="102">
        <f t="shared" si="72"/>
        <v>0</v>
      </c>
      <c r="N1577" s="102">
        <f>tbl_Companys!D1577</f>
        <v>0</v>
      </c>
      <c r="O1577" s="102">
        <f>tbl_Companys!C1577</f>
        <v>0</v>
      </c>
      <c r="P1577" s="102">
        <f t="shared" si="73"/>
        <v>0</v>
      </c>
      <c r="Q1577" s="102">
        <f>tbl_ConsultingCompanys!D1577</f>
        <v>0</v>
      </c>
      <c r="R1577" s="102">
        <f>tbl_ConsultingCompanys!C1577</f>
        <v>0</v>
      </c>
      <c r="S1577" s="102">
        <f t="shared" si="74"/>
        <v>0</v>
      </c>
    </row>
    <row r="1578" spans="11:19" x14ac:dyDescent="0.15">
      <c r="K1578" s="102">
        <f>tbl_ArchitectureOffices!D1578</f>
        <v>0</v>
      </c>
      <c r="L1578" s="102">
        <f>tbl_ArchitectureOffices!C1578</f>
        <v>0</v>
      </c>
      <c r="M1578" s="102">
        <f t="shared" si="72"/>
        <v>0</v>
      </c>
      <c r="N1578" s="102">
        <f>tbl_Companys!D1578</f>
        <v>0</v>
      </c>
      <c r="O1578" s="102">
        <f>tbl_Companys!C1578</f>
        <v>0</v>
      </c>
      <c r="P1578" s="102">
        <f t="shared" si="73"/>
        <v>0</v>
      </c>
      <c r="Q1578" s="102">
        <f>tbl_ConsultingCompanys!D1578</f>
        <v>0</v>
      </c>
      <c r="R1578" s="102">
        <f>tbl_ConsultingCompanys!C1578</f>
        <v>0</v>
      </c>
      <c r="S1578" s="102">
        <f t="shared" si="74"/>
        <v>0</v>
      </c>
    </row>
    <row r="1579" spans="11:19" x14ac:dyDescent="0.15">
      <c r="K1579" s="102">
        <f>tbl_ArchitectureOffices!D1579</f>
        <v>0</v>
      </c>
      <c r="L1579" s="102">
        <f>tbl_ArchitectureOffices!C1579</f>
        <v>0</v>
      </c>
      <c r="M1579" s="102">
        <f t="shared" si="72"/>
        <v>0</v>
      </c>
      <c r="N1579" s="102">
        <f>tbl_Companys!D1579</f>
        <v>0</v>
      </c>
      <c r="O1579" s="102">
        <f>tbl_Companys!C1579</f>
        <v>0</v>
      </c>
      <c r="P1579" s="102">
        <f t="shared" si="73"/>
        <v>0</v>
      </c>
      <c r="Q1579" s="102">
        <f>tbl_ConsultingCompanys!D1579</f>
        <v>0</v>
      </c>
      <c r="R1579" s="102">
        <f>tbl_ConsultingCompanys!C1579</f>
        <v>0</v>
      </c>
      <c r="S1579" s="102">
        <f t="shared" si="74"/>
        <v>0</v>
      </c>
    </row>
    <row r="1580" spans="11:19" x14ac:dyDescent="0.15">
      <c r="K1580" s="102">
        <f>tbl_ArchitectureOffices!D1580</f>
        <v>0</v>
      </c>
      <c r="L1580" s="102">
        <f>tbl_ArchitectureOffices!C1580</f>
        <v>0</v>
      </c>
      <c r="M1580" s="102">
        <f t="shared" si="72"/>
        <v>0</v>
      </c>
      <c r="N1580" s="102">
        <f>tbl_Companys!D1580</f>
        <v>0</v>
      </c>
      <c r="O1580" s="102">
        <f>tbl_Companys!C1580</f>
        <v>0</v>
      </c>
      <c r="P1580" s="102">
        <f t="shared" si="73"/>
        <v>0</v>
      </c>
      <c r="Q1580" s="102">
        <f>tbl_ConsultingCompanys!D1580</f>
        <v>0</v>
      </c>
      <c r="R1580" s="102">
        <f>tbl_ConsultingCompanys!C1580</f>
        <v>0</v>
      </c>
      <c r="S1580" s="102">
        <f t="shared" si="74"/>
        <v>0</v>
      </c>
    </row>
    <row r="1581" spans="11:19" x14ac:dyDescent="0.15">
      <c r="K1581" s="102">
        <f>tbl_ArchitectureOffices!D1581</f>
        <v>0</v>
      </c>
      <c r="L1581" s="102">
        <f>tbl_ArchitectureOffices!C1581</f>
        <v>0</v>
      </c>
      <c r="M1581" s="102">
        <f t="shared" si="72"/>
        <v>0</v>
      </c>
      <c r="N1581" s="102">
        <f>tbl_Companys!D1581</f>
        <v>0</v>
      </c>
      <c r="O1581" s="102">
        <f>tbl_Companys!C1581</f>
        <v>0</v>
      </c>
      <c r="P1581" s="102">
        <f t="shared" si="73"/>
        <v>0</v>
      </c>
      <c r="Q1581" s="102">
        <f>tbl_ConsultingCompanys!D1581</f>
        <v>0</v>
      </c>
      <c r="R1581" s="102">
        <f>tbl_ConsultingCompanys!C1581</f>
        <v>0</v>
      </c>
      <c r="S1581" s="102">
        <f t="shared" si="74"/>
        <v>0</v>
      </c>
    </row>
    <row r="1582" spans="11:19" x14ac:dyDescent="0.15">
      <c r="K1582" s="102">
        <f>tbl_ArchitectureOffices!D1582</f>
        <v>0</v>
      </c>
      <c r="L1582" s="102">
        <f>tbl_ArchitectureOffices!C1582</f>
        <v>0</v>
      </c>
      <c r="M1582" s="102">
        <f t="shared" si="72"/>
        <v>0</v>
      </c>
      <c r="N1582" s="102">
        <f>tbl_Companys!D1582</f>
        <v>0</v>
      </c>
      <c r="O1582" s="102">
        <f>tbl_Companys!C1582</f>
        <v>0</v>
      </c>
      <c r="P1582" s="102">
        <f t="shared" si="73"/>
        <v>0</v>
      </c>
      <c r="Q1582" s="102">
        <f>tbl_ConsultingCompanys!D1582</f>
        <v>0</v>
      </c>
      <c r="R1582" s="102">
        <f>tbl_ConsultingCompanys!C1582</f>
        <v>0</v>
      </c>
      <c r="S1582" s="102">
        <f t="shared" si="74"/>
        <v>0</v>
      </c>
    </row>
    <row r="1583" spans="11:19" x14ac:dyDescent="0.15">
      <c r="K1583" s="102">
        <f>tbl_ArchitectureOffices!D1583</f>
        <v>0</v>
      </c>
      <c r="L1583" s="102">
        <f>tbl_ArchitectureOffices!C1583</f>
        <v>0</v>
      </c>
      <c r="M1583" s="102">
        <f t="shared" si="72"/>
        <v>0</v>
      </c>
      <c r="N1583" s="102">
        <f>tbl_Companys!D1583</f>
        <v>0</v>
      </c>
      <c r="O1583" s="102">
        <f>tbl_Companys!C1583</f>
        <v>0</v>
      </c>
      <c r="P1583" s="102">
        <f t="shared" si="73"/>
        <v>0</v>
      </c>
      <c r="Q1583" s="102">
        <f>tbl_ConsultingCompanys!D1583</f>
        <v>0</v>
      </c>
      <c r="R1583" s="102">
        <f>tbl_ConsultingCompanys!C1583</f>
        <v>0</v>
      </c>
      <c r="S1583" s="102">
        <f t="shared" si="74"/>
        <v>0</v>
      </c>
    </row>
    <row r="1584" spans="11:19" x14ac:dyDescent="0.15">
      <c r="K1584" s="102">
        <f>tbl_ArchitectureOffices!D1584</f>
        <v>0</v>
      </c>
      <c r="L1584" s="102">
        <f>tbl_ArchitectureOffices!C1584</f>
        <v>0</v>
      </c>
      <c r="M1584" s="102">
        <f t="shared" si="72"/>
        <v>0</v>
      </c>
      <c r="N1584" s="102">
        <f>tbl_Companys!D1584</f>
        <v>0</v>
      </c>
      <c r="O1584" s="102">
        <f>tbl_Companys!C1584</f>
        <v>0</v>
      </c>
      <c r="P1584" s="102">
        <f t="shared" si="73"/>
        <v>0</v>
      </c>
      <c r="Q1584" s="102">
        <f>tbl_ConsultingCompanys!D1584</f>
        <v>0</v>
      </c>
      <c r="R1584" s="102">
        <f>tbl_ConsultingCompanys!C1584</f>
        <v>0</v>
      </c>
      <c r="S1584" s="102">
        <f t="shared" si="74"/>
        <v>0</v>
      </c>
    </row>
    <row r="1585" spans="11:19" x14ac:dyDescent="0.15">
      <c r="K1585" s="102">
        <f>tbl_ArchitectureOffices!D1585</f>
        <v>0</v>
      </c>
      <c r="L1585" s="102">
        <f>tbl_ArchitectureOffices!C1585</f>
        <v>0</v>
      </c>
      <c r="M1585" s="102">
        <f t="shared" si="72"/>
        <v>0</v>
      </c>
      <c r="N1585" s="102">
        <f>tbl_Companys!D1585</f>
        <v>0</v>
      </c>
      <c r="O1585" s="102">
        <f>tbl_Companys!C1585</f>
        <v>0</v>
      </c>
      <c r="P1585" s="102">
        <f t="shared" si="73"/>
        <v>0</v>
      </c>
      <c r="Q1585" s="102">
        <f>tbl_ConsultingCompanys!D1585</f>
        <v>0</v>
      </c>
      <c r="R1585" s="102">
        <f>tbl_ConsultingCompanys!C1585</f>
        <v>0</v>
      </c>
      <c r="S1585" s="102">
        <f t="shared" si="74"/>
        <v>0</v>
      </c>
    </row>
    <row r="1586" spans="11:19" x14ac:dyDescent="0.15">
      <c r="K1586" s="102">
        <f>tbl_ArchitectureOffices!D1586</f>
        <v>0</v>
      </c>
      <c r="L1586" s="102">
        <f>tbl_ArchitectureOffices!C1586</f>
        <v>0</v>
      </c>
      <c r="M1586" s="102">
        <f t="shared" si="72"/>
        <v>0</v>
      </c>
      <c r="N1586" s="102">
        <f>tbl_Companys!D1586</f>
        <v>0</v>
      </c>
      <c r="O1586" s="102">
        <f>tbl_Companys!C1586</f>
        <v>0</v>
      </c>
      <c r="P1586" s="102">
        <f t="shared" si="73"/>
        <v>0</v>
      </c>
      <c r="Q1586" s="102">
        <f>tbl_ConsultingCompanys!D1586</f>
        <v>0</v>
      </c>
      <c r="R1586" s="102">
        <f>tbl_ConsultingCompanys!C1586</f>
        <v>0</v>
      </c>
      <c r="S1586" s="102">
        <f t="shared" si="74"/>
        <v>0</v>
      </c>
    </row>
    <row r="1587" spans="11:19" x14ac:dyDescent="0.15">
      <c r="K1587" s="102">
        <f>tbl_ArchitectureOffices!D1587</f>
        <v>0</v>
      </c>
      <c r="L1587" s="102">
        <f>tbl_ArchitectureOffices!C1587</f>
        <v>0</v>
      </c>
      <c r="M1587" s="102">
        <f t="shared" si="72"/>
        <v>0</v>
      </c>
      <c r="N1587" s="102">
        <f>tbl_Companys!D1587</f>
        <v>0</v>
      </c>
      <c r="O1587" s="102">
        <f>tbl_Companys!C1587</f>
        <v>0</v>
      </c>
      <c r="P1587" s="102">
        <f t="shared" si="73"/>
        <v>0</v>
      </c>
      <c r="Q1587" s="102">
        <f>tbl_ConsultingCompanys!D1587</f>
        <v>0</v>
      </c>
      <c r="R1587" s="102">
        <f>tbl_ConsultingCompanys!C1587</f>
        <v>0</v>
      </c>
      <c r="S1587" s="102">
        <f t="shared" si="74"/>
        <v>0</v>
      </c>
    </row>
    <row r="1588" spans="11:19" x14ac:dyDescent="0.15">
      <c r="K1588" s="102">
        <f>tbl_ArchitectureOffices!D1588</f>
        <v>0</v>
      </c>
      <c r="L1588" s="102">
        <f>tbl_ArchitectureOffices!C1588</f>
        <v>0</v>
      </c>
      <c r="M1588" s="102">
        <f t="shared" si="72"/>
        <v>0</v>
      </c>
      <c r="N1588" s="102">
        <f>tbl_Companys!D1588</f>
        <v>0</v>
      </c>
      <c r="O1588" s="102">
        <f>tbl_Companys!C1588</f>
        <v>0</v>
      </c>
      <c r="P1588" s="102">
        <f t="shared" si="73"/>
        <v>0</v>
      </c>
      <c r="Q1588" s="102">
        <f>tbl_ConsultingCompanys!D1588</f>
        <v>0</v>
      </c>
      <c r="R1588" s="102">
        <f>tbl_ConsultingCompanys!C1588</f>
        <v>0</v>
      </c>
      <c r="S1588" s="102">
        <f t="shared" si="74"/>
        <v>0</v>
      </c>
    </row>
    <row r="1589" spans="11:19" x14ac:dyDescent="0.15">
      <c r="K1589" s="102">
        <f>tbl_ArchitectureOffices!D1589</f>
        <v>0</v>
      </c>
      <c r="L1589" s="102">
        <f>tbl_ArchitectureOffices!C1589</f>
        <v>0</v>
      </c>
      <c r="M1589" s="102">
        <f t="shared" si="72"/>
        <v>0</v>
      </c>
      <c r="N1589" s="102">
        <f>tbl_Companys!D1589</f>
        <v>0</v>
      </c>
      <c r="O1589" s="102">
        <f>tbl_Companys!C1589</f>
        <v>0</v>
      </c>
      <c r="P1589" s="102">
        <f t="shared" si="73"/>
        <v>0</v>
      </c>
      <c r="Q1589" s="102">
        <f>tbl_ConsultingCompanys!D1589</f>
        <v>0</v>
      </c>
      <c r="R1589" s="102">
        <f>tbl_ConsultingCompanys!C1589</f>
        <v>0</v>
      </c>
      <c r="S1589" s="102">
        <f t="shared" si="74"/>
        <v>0</v>
      </c>
    </row>
    <row r="1590" spans="11:19" x14ac:dyDescent="0.15">
      <c r="K1590" s="102">
        <f>tbl_ArchitectureOffices!D1590</f>
        <v>0</v>
      </c>
      <c r="L1590" s="102">
        <f>tbl_ArchitectureOffices!C1590</f>
        <v>0</v>
      </c>
      <c r="M1590" s="102">
        <f t="shared" ref="M1590:M1653" si="75">IFERROR(REPLACE(K1590,FIND(" ",K1590,LEN(K1590)),1,""),K1590)</f>
        <v>0</v>
      </c>
      <c r="N1590" s="102">
        <f>tbl_Companys!D1590</f>
        <v>0</v>
      </c>
      <c r="O1590" s="102">
        <f>tbl_Companys!C1590</f>
        <v>0</v>
      </c>
      <c r="P1590" s="102">
        <f t="shared" si="73"/>
        <v>0</v>
      </c>
      <c r="Q1590" s="102">
        <f>tbl_ConsultingCompanys!D1590</f>
        <v>0</v>
      </c>
      <c r="R1590" s="102">
        <f>tbl_ConsultingCompanys!C1590</f>
        <v>0</v>
      </c>
      <c r="S1590" s="102">
        <f t="shared" si="74"/>
        <v>0</v>
      </c>
    </row>
    <row r="1591" spans="11:19" x14ac:dyDescent="0.15">
      <c r="K1591" s="102">
        <f>tbl_ArchitectureOffices!D1591</f>
        <v>0</v>
      </c>
      <c r="L1591" s="102">
        <f>tbl_ArchitectureOffices!C1591</f>
        <v>0</v>
      </c>
      <c r="M1591" s="102">
        <f t="shared" si="75"/>
        <v>0</v>
      </c>
      <c r="N1591" s="102">
        <f>tbl_Companys!D1591</f>
        <v>0</v>
      </c>
      <c r="O1591" s="102">
        <f>tbl_Companys!C1591</f>
        <v>0</v>
      </c>
      <c r="P1591" s="102">
        <f t="shared" si="73"/>
        <v>0</v>
      </c>
      <c r="Q1591" s="102">
        <f>tbl_ConsultingCompanys!D1591</f>
        <v>0</v>
      </c>
      <c r="R1591" s="102">
        <f>tbl_ConsultingCompanys!C1591</f>
        <v>0</v>
      </c>
      <c r="S1591" s="102">
        <f t="shared" si="74"/>
        <v>0</v>
      </c>
    </row>
    <row r="1592" spans="11:19" x14ac:dyDescent="0.15">
      <c r="K1592" s="102">
        <f>tbl_ArchitectureOffices!D1592</f>
        <v>0</v>
      </c>
      <c r="L1592" s="102">
        <f>tbl_ArchitectureOffices!C1592</f>
        <v>0</v>
      </c>
      <c r="M1592" s="102">
        <f t="shared" si="75"/>
        <v>0</v>
      </c>
      <c r="N1592" s="102">
        <f>tbl_Companys!D1592</f>
        <v>0</v>
      </c>
      <c r="O1592" s="102">
        <f>tbl_Companys!C1592</f>
        <v>0</v>
      </c>
      <c r="P1592" s="102">
        <f t="shared" si="73"/>
        <v>0</v>
      </c>
      <c r="Q1592" s="102">
        <f>tbl_ConsultingCompanys!D1592</f>
        <v>0</v>
      </c>
      <c r="R1592" s="102">
        <f>tbl_ConsultingCompanys!C1592</f>
        <v>0</v>
      </c>
      <c r="S1592" s="102">
        <f t="shared" si="74"/>
        <v>0</v>
      </c>
    </row>
    <row r="1593" spans="11:19" x14ac:dyDescent="0.15">
      <c r="K1593" s="102">
        <f>tbl_ArchitectureOffices!D1593</f>
        <v>0</v>
      </c>
      <c r="L1593" s="102">
        <f>tbl_ArchitectureOffices!C1593</f>
        <v>0</v>
      </c>
      <c r="M1593" s="102">
        <f t="shared" si="75"/>
        <v>0</v>
      </c>
      <c r="N1593" s="102">
        <f>tbl_Companys!D1593</f>
        <v>0</v>
      </c>
      <c r="O1593" s="102">
        <f>tbl_Companys!C1593</f>
        <v>0</v>
      </c>
      <c r="P1593" s="102">
        <f t="shared" si="73"/>
        <v>0</v>
      </c>
      <c r="Q1593" s="102">
        <f>tbl_ConsultingCompanys!D1593</f>
        <v>0</v>
      </c>
      <c r="R1593" s="102">
        <f>tbl_ConsultingCompanys!C1593</f>
        <v>0</v>
      </c>
      <c r="S1593" s="102">
        <f t="shared" si="74"/>
        <v>0</v>
      </c>
    </row>
    <row r="1594" spans="11:19" x14ac:dyDescent="0.15">
      <c r="K1594" s="102">
        <f>tbl_ArchitectureOffices!D1594</f>
        <v>0</v>
      </c>
      <c r="L1594" s="102">
        <f>tbl_ArchitectureOffices!C1594</f>
        <v>0</v>
      </c>
      <c r="M1594" s="102">
        <f t="shared" si="75"/>
        <v>0</v>
      </c>
      <c r="N1594" s="102">
        <f>tbl_Companys!D1594</f>
        <v>0</v>
      </c>
      <c r="O1594" s="102">
        <f>tbl_Companys!C1594</f>
        <v>0</v>
      </c>
      <c r="P1594" s="102">
        <f t="shared" si="73"/>
        <v>0</v>
      </c>
      <c r="Q1594" s="102">
        <f>tbl_ConsultingCompanys!D1594</f>
        <v>0</v>
      </c>
      <c r="R1594" s="102">
        <f>tbl_ConsultingCompanys!C1594</f>
        <v>0</v>
      </c>
      <c r="S1594" s="102">
        <f t="shared" si="74"/>
        <v>0</v>
      </c>
    </row>
    <row r="1595" spans="11:19" x14ac:dyDescent="0.15">
      <c r="K1595" s="102">
        <f>tbl_ArchitectureOffices!D1595</f>
        <v>0</v>
      </c>
      <c r="L1595" s="102">
        <f>tbl_ArchitectureOffices!C1595</f>
        <v>0</v>
      </c>
      <c r="M1595" s="102">
        <f t="shared" si="75"/>
        <v>0</v>
      </c>
      <c r="N1595" s="102">
        <f>tbl_Companys!D1595</f>
        <v>0</v>
      </c>
      <c r="O1595" s="102">
        <f>tbl_Companys!C1595</f>
        <v>0</v>
      </c>
      <c r="P1595" s="102">
        <f t="shared" si="73"/>
        <v>0</v>
      </c>
      <c r="Q1595" s="102">
        <f>tbl_ConsultingCompanys!D1595</f>
        <v>0</v>
      </c>
      <c r="R1595" s="102">
        <f>tbl_ConsultingCompanys!C1595</f>
        <v>0</v>
      </c>
      <c r="S1595" s="102">
        <f t="shared" si="74"/>
        <v>0</v>
      </c>
    </row>
    <row r="1596" spans="11:19" x14ac:dyDescent="0.15">
      <c r="K1596" s="102">
        <f>tbl_ArchitectureOffices!D1596</f>
        <v>0</v>
      </c>
      <c r="L1596" s="102">
        <f>tbl_ArchitectureOffices!C1596</f>
        <v>0</v>
      </c>
      <c r="M1596" s="102">
        <f t="shared" si="75"/>
        <v>0</v>
      </c>
      <c r="N1596" s="102">
        <f>tbl_Companys!D1596</f>
        <v>0</v>
      </c>
      <c r="O1596" s="102">
        <f>tbl_Companys!C1596</f>
        <v>0</v>
      </c>
      <c r="P1596" s="102">
        <f t="shared" si="73"/>
        <v>0</v>
      </c>
      <c r="Q1596" s="102">
        <f>tbl_ConsultingCompanys!D1596</f>
        <v>0</v>
      </c>
      <c r="R1596" s="102">
        <f>tbl_ConsultingCompanys!C1596</f>
        <v>0</v>
      </c>
      <c r="S1596" s="102">
        <f t="shared" si="74"/>
        <v>0</v>
      </c>
    </row>
    <row r="1597" spans="11:19" x14ac:dyDescent="0.15">
      <c r="K1597" s="102">
        <f>tbl_ArchitectureOffices!D1597</f>
        <v>0</v>
      </c>
      <c r="L1597" s="102">
        <f>tbl_ArchitectureOffices!C1597</f>
        <v>0</v>
      </c>
      <c r="M1597" s="102">
        <f t="shared" si="75"/>
        <v>0</v>
      </c>
      <c r="N1597" s="102">
        <f>tbl_Companys!D1597</f>
        <v>0</v>
      </c>
      <c r="O1597" s="102">
        <f>tbl_Companys!C1597</f>
        <v>0</v>
      </c>
      <c r="P1597" s="102">
        <f t="shared" si="73"/>
        <v>0</v>
      </c>
      <c r="Q1597" s="102">
        <f>tbl_ConsultingCompanys!D1597</f>
        <v>0</v>
      </c>
      <c r="R1597" s="102">
        <f>tbl_ConsultingCompanys!C1597</f>
        <v>0</v>
      </c>
      <c r="S1597" s="102">
        <f t="shared" si="74"/>
        <v>0</v>
      </c>
    </row>
    <row r="1598" spans="11:19" x14ac:dyDescent="0.15">
      <c r="K1598" s="102">
        <f>tbl_ArchitectureOffices!D1598</f>
        <v>0</v>
      </c>
      <c r="L1598" s="102">
        <f>tbl_ArchitectureOffices!C1598</f>
        <v>0</v>
      </c>
      <c r="M1598" s="102">
        <f t="shared" si="75"/>
        <v>0</v>
      </c>
      <c r="N1598" s="102">
        <f>tbl_Companys!D1598</f>
        <v>0</v>
      </c>
      <c r="O1598" s="102">
        <f>tbl_Companys!C1598</f>
        <v>0</v>
      </c>
      <c r="P1598" s="102">
        <f t="shared" si="73"/>
        <v>0</v>
      </c>
      <c r="Q1598" s="102">
        <f>tbl_ConsultingCompanys!D1598</f>
        <v>0</v>
      </c>
      <c r="R1598" s="102">
        <f>tbl_ConsultingCompanys!C1598</f>
        <v>0</v>
      </c>
      <c r="S1598" s="102">
        <f t="shared" si="74"/>
        <v>0</v>
      </c>
    </row>
    <row r="1599" spans="11:19" x14ac:dyDescent="0.15">
      <c r="K1599" s="102">
        <f>tbl_ArchitectureOffices!D1599</f>
        <v>0</v>
      </c>
      <c r="L1599" s="102">
        <f>tbl_ArchitectureOffices!C1599</f>
        <v>0</v>
      </c>
      <c r="M1599" s="102">
        <f t="shared" si="75"/>
        <v>0</v>
      </c>
      <c r="N1599" s="102">
        <f>tbl_Companys!D1599</f>
        <v>0</v>
      </c>
      <c r="O1599" s="102">
        <f>tbl_Companys!C1599</f>
        <v>0</v>
      </c>
      <c r="P1599" s="102">
        <f t="shared" si="73"/>
        <v>0</v>
      </c>
      <c r="Q1599" s="102">
        <f>tbl_ConsultingCompanys!D1599</f>
        <v>0</v>
      </c>
      <c r="R1599" s="102">
        <f>tbl_ConsultingCompanys!C1599</f>
        <v>0</v>
      </c>
      <c r="S1599" s="102">
        <f t="shared" si="74"/>
        <v>0</v>
      </c>
    </row>
    <row r="1600" spans="11:19" x14ac:dyDescent="0.15">
      <c r="K1600" s="102">
        <f>tbl_ArchitectureOffices!D1600</f>
        <v>0</v>
      </c>
      <c r="L1600" s="102">
        <f>tbl_ArchitectureOffices!C1600</f>
        <v>0</v>
      </c>
      <c r="M1600" s="102">
        <f t="shared" si="75"/>
        <v>0</v>
      </c>
      <c r="N1600" s="102">
        <f>tbl_Companys!D1600</f>
        <v>0</v>
      </c>
      <c r="O1600" s="102">
        <f>tbl_Companys!C1600</f>
        <v>0</v>
      </c>
      <c r="P1600" s="102">
        <f t="shared" si="73"/>
        <v>0</v>
      </c>
      <c r="Q1600" s="102">
        <f>tbl_ConsultingCompanys!D1600</f>
        <v>0</v>
      </c>
      <c r="R1600" s="102">
        <f>tbl_ConsultingCompanys!C1600</f>
        <v>0</v>
      </c>
      <c r="S1600" s="102">
        <f t="shared" si="74"/>
        <v>0</v>
      </c>
    </row>
    <row r="1601" spans="11:19" x14ac:dyDescent="0.15">
      <c r="K1601" s="102">
        <f>tbl_ArchitectureOffices!D1601</f>
        <v>0</v>
      </c>
      <c r="L1601" s="102">
        <f>tbl_ArchitectureOffices!C1601</f>
        <v>0</v>
      </c>
      <c r="M1601" s="102">
        <f t="shared" si="75"/>
        <v>0</v>
      </c>
      <c r="N1601" s="102">
        <f>tbl_Companys!D1601</f>
        <v>0</v>
      </c>
      <c r="O1601" s="102">
        <f>tbl_Companys!C1601</f>
        <v>0</v>
      </c>
      <c r="P1601" s="102">
        <f t="shared" si="73"/>
        <v>0</v>
      </c>
      <c r="Q1601" s="102">
        <f>tbl_ConsultingCompanys!D1601</f>
        <v>0</v>
      </c>
      <c r="R1601" s="102">
        <f>tbl_ConsultingCompanys!C1601</f>
        <v>0</v>
      </c>
      <c r="S1601" s="102">
        <f t="shared" si="74"/>
        <v>0</v>
      </c>
    </row>
    <row r="1602" spans="11:19" x14ac:dyDescent="0.15">
      <c r="K1602" s="102">
        <f>tbl_ArchitectureOffices!D1602</f>
        <v>0</v>
      </c>
      <c r="L1602" s="102">
        <f>tbl_ArchitectureOffices!C1602</f>
        <v>0</v>
      </c>
      <c r="M1602" s="102">
        <f t="shared" si="75"/>
        <v>0</v>
      </c>
      <c r="N1602" s="102">
        <f>tbl_Companys!D1602</f>
        <v>0</v>
      </c>
      <c r="O1602" s="102">
        <f>tbl_Companys!C1602</f>
        <v>0</v>
      </c>
      <c r="P1602" s="102">
        <f t="shared" si="73"/>
        <v>0</v>
      </c>
      <c r="Q1602" s="102">
        <f>tbl_ConsultingCompanys!D1602</f>
        <v>0</v>
      </c>
      <c r="R1602" s="102">
        <f>tbl_ConsultingCompanys!C1602</f>
        <v>0</v>
      </c>
      <c r="S1602" s="102">
        <f t="shared" si="74"/>
        <v>0</v>
      </c>
    </row>
    <row r="1603" spans="11:19" x14ac:dyDescent="0.15">
      <c r="K1603" s="102">
        <f>tbl_ArchitectureOffices!D1603</f>
        <v>0</v>
      </c>
      <c r="L1603" s="102">
        <f>tbl_ArchitectureOffices!C1603</f>
        <v>0</v>
      </c>
      <c r="M1603" s="102">
        <f t="shared" si="75"/>
        <v>0</v>
      </c>
      <c r="N1603" s="102">
        <f>tbl_Companys!D1603</f>
        <v>0</v>
      </c>
      <c r="O1603" s="102">
        <f>tbl_Companys!C1603</f>
        <v>0</v>
      </c>
      <c r="P1603" s="102">
        <f t="shared" ref="P1603:P1666" si="76">IFERROR(REPLACE(N1603,FIND(" ",N1603,LEN(N1603)),1,""),N1603)</f>
        <v>0</v>
      </c>
      <c r="Q1603" s="102">
        <f>tbl_ConsultingCompanys!D1603</f>
        <v>0</v>
      </c>
      <c r="R1603" s="102">
        <f>tbl_ConsultingCompanys!C1603</f>
        <v>0</v>
      </c>
      <c r="S1603" s="102">
        <f t="shared" ref="S1603:S1666" si="77">IFERROR(REPLACE(Q1603,FIND(" ",Q1603,LEN(Q1603)),1,""),Q1603)</f>
        <v>0</v>
      </c>
    </row>
    <row r="1604" spans="11:19" x14ac:dyDescent="0.15">
      <c r="K1604" s="102">
        <f>tbl_ArchitectureOffices!D1604</f>
        <v>0</v>
      </c>
      <c r="L1604" s="102">
        <f>tbl_ArchitectureOffices!C1604</f>
        <v>0</v>
      </c>
      <c r="M1604" s="102">
        <f t="shared" si="75"/>
        <v>0</v>
      </c>
      <c r="N1604" s="102">
        <f>tbl_Companys!D1604</f>
        <v>0</v>
      </c>
      <c r="O1604" s="102">
        <f>tbl_Companys!C1604</f>
        <v>0</v>
      </c>
      <c r="P1604" s="102">
        <f t="shared" si="76"/>
        <v>0</v>
      </c>
      <c r="Q1604" s="102">
        <f>tbl_ConsultingCompanys!D1604</f>
        <v>0</v>
      </c>
      <c r="R1604" s="102">
        <f>tbl_ConsultingCompanys!C1604</f>
        <v>0</v>
      </c>
      <c r="S1604" s="102">
        <f t="shared" si="77"/>
        <v>0</v>
      </c>
    </row>
    <row r="1605" spans="11:19" x14ac:dyDescent="0.15">
      <c r="K1605" s="102">
        <f>tbl_ArchitectureOffices!D1605</f>
        <v>0</v>
      </c>
      <c r="L1605" s="102">
        <f>tbl_ArchitectureOffices!C1605</f>
        <v>0</v>
      </c>
      <c r="M1605" s="102">
        <f t="shared" si="75"/>
        <v>0</v>
      </c>
      <c r="N1605" s="102">
        <f>tbl_Companys!D1605</f>
        <v>0</v>
      </c>
      <c r="O1605" s="102">
        <f>tbl_Companys!C1605</f>
        <v>0</v>
      </c>
      <c r="P1605" s="102">
        <f t="shared" si="76"/>
        <v>0</v>
      </c>
      <c r="Q1605" s="102">
        <f>tbl_ConsultingCompanys!D1605</f>
        <v>0</v>
      </c>
      <c r="R1605" s="102">
        <f>tbl_ConsultingCompanys!C1605</f>
        <v>0</v>
      </c>
      <c r="S1605" s="102">
        <f t="shared" si="77"/>
        <v>0</v>
      </c>
    </row>
    <row r="1606" spans="11:19" x14ac:dyDescent="0.15">
      <c r="K1606" s="102">
        <f>tbl_ArchitectureOffices!D1606</f>
        <v>0</v>
      </c>
      <c r="L1606" s="102">
        <f>tbl_ArchitectureOffices!C1606</f>
        <v>0</v>
      </c>
      <c r="M1606" s="102">
        <f t="shared" si="75"/>
        <v>0</v>
      </c>
      <c r="N1606" s="102">
        <f>tbl_Companys!D1606</f>
        <v>0</v>
      </c>
      <c r="O1606" s="102">
        <f>tbl_Companys!C1606</f>
        <v>0</v>
      </c>
      <c r="P1606" s="102">
        <f t="shared" si="76"/>
        <v>0</v>
      </c>
      <c r="Q1606" s="102">
        <f>tbl_ConsultingCompanys!D1606</f>
        <v>0</v>
      </c>
      <c r="R1606" s="102">
        <f>tbl_ConsultingCompanys!C1606</f>
        <v>0</v>
      </c>
      <c r="S1606" s="102">
        <f t="shared" si="77"/>
        <v>0</v>
      </c>
    </row>
    <row r="1607" spans="11:19" x14ac:dyDescent="0.15">
      <c r="K1607" s="102">
        <f>tbl_ArchitectureOffices!D1607</f>
        <v>0</v>
      </c>
      <c r="L1607" s="102">
        <f>tbl_ArchitectureOffices!C1607</f>
        <v>0</v>
      </c>
      <c r="M1607" s="102">
        <f t="shared" si="75"/>
        <v>0</v>
      </c>
      <c r="N1607" s="102">
        <f>tbl_Companys!D1607</f>
        <v>0</v>
      </c>
      <c r="O1607" s="102">
        <f>tbl_Companys!C1607</f>
        <v>0</v>
      </c>
      <c r="P1607" s="102">
        <f t="shared" si="76"/>
        <v>0</v>
      </c>
      <c r="Q1607" s="102">
        <f>tbl_ConsultingCompanys!D1607</f>
        <v>0</v>
      </c>
      <c r="R1607" s="102">
        <f>tbl_ConsultingCompanys!C1607</f>
        <v>0</v>
      </c>
      <c r="S1607" s="102">
        <f t="shared" si="77"/>
        <v>0</v>
      </c>
    </row>
    <row r="1608" spans="11:19" x14ac:dyDescent="0.15">
      <c r="K1608" s="102">
        <f>tbl_ArchitectureOffices!D1608</f>
        <v>0</v>
      </c>
      <c r="L1608" s="102">
        <f>tbl_ArchitectureOffices!C1608</f>
        <v>0</v>
      </c>
      <c r="M1608" s="102">
        <f t="shared" si="75"/>
        <v>0</v>
      </c>
      <c r="N1608" s="102">
        <f>tbl_Companys!D1608</f>
        <v>0</v>
      </c>
      <c r="O1608" s="102">
        <f>tbl_Companys!C1608</f>
        <v>0</v>
      </c>
      <c r="P1608" s="102">
        <f t="shared" si="76"/>
        <v>0</v>
      </c>
      <c r="Q1608" s="102">
        <f>tbl_ConsultingCompanys!D1608</f>
        <v>0</v>
      </c>
      <c r="R1608" s="102">
        <f>tbl_ConsultingCompanys!C1608</f>
        <v>0</v>
      </c>
      <c r="S1608" s="102">
        <f t="shared" si="77"/>
        <v>0</v>
      </c>
    </row>
    <row r="1609" spans="11:19" x14ac:dyDescent="0.15">
      <c r="K1609" s="102">
        <f>tbl_ArchitectureOffices!D1609</f>
        <v>0</v>
      </c>
      <c r="L1609" s="102">
        <f>tbl_ArchitectureOffices!C1609</f>
        <v>0</v>
      </c>
      <c r="M1609" s="102">
        <f t="shared" si="75"/>
        <v>0</v>
      </c>
      <c r="N1609" s="102">
        <f>tbl_Companys!D1609</f>
        <v>0</v>
      </c>
      <c r="O1609" s="102">
        <f>tbl_Companys!C1609</f>
        <v>0</v>
      </c>
      <c r="P1609" s="102">
        <f t="shared" si="76"/>
        <v>0</v>
      </c>
      <c r="Q1609" s="102">
        <f>tbl_ConsultingCompanys!D1609</f>
        <v>0</v>
      </c>
      <c r="R1609" s="102">
        <f>tbl_ConsultingCompanys!C1609</f>
        <v>0</v>
      </c>
      <c r="S1609" s="102">
        <f t="shared" si="77"/>
        <v>0</v>
      </c>
    </row>
    <row r="1610" spans="11:19" x14ac:dyDescent="0.15">
      <c r="K1610" s="102">
        <f>tbl_ArchitectureOffices!D1610</f>
        <v>0</v>
      </c>
      <c r="L1610" s="102">
        <f>tbl_ArchitectureOffices!C1610</f>
        <v>0</v>
      </c>
      <c r="M1610" s="102">
        <f t="shared" si="75"/>
        <v>0</v>
      </c>
      <c r="N1610" s="102">
        <f>tbl_Companys!D1610</f>
        <v>0</v>
      </c>
      <c r="O1610" s="102">
        <f>tbl_Companys!C1610</f>
        <v>0</v>
      </c>
      <c r="P1610" s="102">
        <f t="shared" si="76"/>
        <v>0</v>
      </c>
      <c r="Q1610" s="102">
        <f>tbl_ConsultingCompanys!D1610</f>
        <v>0</v>
      </c>
      <c r="R1610" s="102">
        <f>tbl_ConsultingCompanys!C1610</f>
        <v>0</v>
      </c>
      <c r="S1610" s="102">
        <f t="shared" si="77"/>
        <v>0</v>
      </c>
    </row>
    <row r="1611" spans="11:19" x14ac:dyDescent="0.15">
      <c r="K1611" s="102">
        <f>tbl_ArchitectureOffices!D1611</f>
        <v>0</v>
      </c>
      <c r="L1611" s="102">
        <f>tbl_ArchitectureOffices!C1611</f>
        <v>0</v>
      </c>
      <c r="M1611" s="102">
        <f t="shared" si="75"/>
        <v>0</v>
      </c>
      <c r="N1611" s="102">
        <f>tbl_Companys!D1611</f>
        <v>0</v>
      </c>
      <c r="O1611" s="102">
        <f>tbl_Companys!C1611</f>
        <v>0</v>
      </c>
      <c r="P1611" s="102">
        <f t="shared" si="76"/>
        <v>0</v>
      </c>
      <c r="Q1611" s="102">
        <f>tbl_ConsultingCompanys!D1611</f>
        <v>0</v>
      </c>
      <c r="R1611" s="102">
        <f>tbl_ConsultingCompanys!C1611</f>
        <v>0</v>
      </c>
      <c r="S1611" s="102">
        <f t="shared" si="77"/>
        <v>0</v>
      </c>
    </row>
    <row r="1612" spans="11:19" x14ac:dyDescent="0.15">
      <c r="K1612" s="102">
        <f>tbl_ArchitectureOffices!D1612</f>
        <v>0</v>
      </c>
      <c r="L1612" s="102">
        <f>tbl_ArchitectureOffices!C1612</f>
        <v>0</v>
      </c>
      <c r="M1612" s="102">
        <f t="shared" si="75"/>
        <v>0</v>
      </c>
      <c r="N1612" s="102">
        <f>tbl_Companys!D1612</f>
        <v>0</v>
      </c>
      <c r="O1612" s="102">
        <f>tbl_Companys!C1612</f>
        <v>0</v>
      </c>
      <c r="P1612" s="102">
        <f t="shared" si="76"/>
        <v>0</v>
      </c>
      <c r="Q1612" s="102">
        <f>tbl_ConsultingCompanys!D1612</f>
        <v>0</v>
      </c>
      <c r="R1612" s="102">
        <f>tbl_ConsultingCompanys!C1612</f>
        <v>0</v>
      </c>
      <c r="S1612" s="102">
        <f t="shared" si="77"/>
        <v>0</v>
      </c>
    </row>
    <row r="1613" spans="11:19" x14ac:dyDescent="0.15">
      <c r="K1613" s="102">
        <f>tbl_ArchitectureOffices!D1613</f>
        <v>0</v>
      </c>
      <c r="L1613" s="102">
        <f>tbl_ArchitectureOffices!C1613</f>
        <v>0</v>
      </c>
      <c r="M1613" s="102">
        <f t="shared" si="75"/>
        <v>0</v>
      </c>
      <c r="N1613" s="102">
        <f>tbl_Companys!D1613</f>
        <v>0</v>
      </c>
      <c r="O1613" s="102">
        <f>tbl_Companys!C1613</f>
        <v>0</v>
      </c>
      <c r="P1613" s="102">
        <f t="shared" si="76"/>
        <v>0</v>
      </c>
      <c r="Q1613" s="102">
        <f>tbl_ConsultingCompanys!D1613</f>
        <v>0</v>
      </c>
      <c r="R1613" s="102">
        <f>tbl_ConsultingCompanys!C1613</f>
        <v>0</v>
      </c>
      <c r="S1613" s="102">
        <f t="shared" si="77"/>
        <v>0</v>
      </c>
    </row>
    <row r="1614" spans="11:19" x14ac:dyDescent="0.15">
      <c r="K1614" s="102">
        <f>tbl_ArchitectureOffices!D1614</f>
        <v>0</v>
      </c>
      <c r="L1614" s="102">
        <f>tbl_ArchitectureOffices!C1614</f>
        <v>0</v>
      </c>
      <c r="M1614" s="102">
        <f t="shared" si="75"/>
        <v>0</v>
      </c>
      <c r="N1614" s="102">
        <f>tbl_Companys!D1614</f>
        <v>0</v>
      </c>
      <c r="O1614" s="102">
        <f>tbl_Companys!C1614</f>
        <v>0</v>
      </c>
      <c r="P1614" s="102">
        <f t="shared" si="76"/>
        <v>0</v>
      </c>
      <c r="Q1614" s="102">
        <f>tbl_ConsultingCompanys!D1614</f>
        <v>0</v>
      </c>
      <c r="R1614" s="102">
        <f>tbl_ConsultingCompanys!C1614</f>
        <v>0</v>
      </c>
      <c r="S1614" s="102">
        <f t="shared" si="77"/>
        <v>0</v>
      </c>
    </row>
    <row r="1615" spans="11:19" x14ac:dyDescent="0.15">
      <c r="K1615" s="102">
        <f>tbl_ArchitectureOffices!D1615</f>
        <v>0</v>
      </c>
      <c r="L1615" s="102">
        <f>tbl_ArchitectureOffices!C1615</f>
        <v>0</v>
      </c>
      <c r="M1615" s="102">
        <f t="shared" si="75"/>
        <v>0</v>
      </c>
      <c r="N1615" s="102">
        <f>tbl_Companys!D1615</f>
        <v>0</v>
      </c>
      <c r="O1615" s="102">
        <f>tbl_Companys!C1615</f>
        <v>0</v>
      </c>
      <c r="P1615" s="102">
        <f t="shared" si="76"/>
        <v>0</v>
      </c>
      <c r="Q1615" s="102">
        <f>tbl_ConsultingCompanys!D1615</f>
        <v>0</v>
      </c>
      <c r="R1615" s="102">
        <f>tbl_ConsultingCompanys!C1615</f>
        <v>0</v>
      </c>
      <c r="S1615" s="102">
        <f t="shared" si="77"/>
        <v>0</v>
      </c>
    </row>
    <row r="1616" spans="11:19" x14ac:dyDescent="0.15">
      <c r="K1616" s="102">
        <f>tbl_ArchitectureOffices!D1616</f>
        <v>0</v>
      </c>
      <c r="L1616" s="102">
        <f>tbl_ArchitectureOffices!C1616</f>
        <v>0</v>
      </c>
      <c r="M1616" s="102">
        <f t="shared" si="75"/>
        <v>0</v>
      </c>
      <c r="N1616" s="102">
        <f>tbl_Companys!D1616</f>
        <v>0</v>
      </c>
      <c r="O1616" s="102">
        <f>tbl_Companys!C1616</f>
        <v>0</v>
      </c>
      <c r="P1616" s="102">
        <f t="shared" si="76"/>
        <v>0</v>
      </c>
      <c r="Q1616" s="102">
        <f>tbl_ConsultingCompanys!D1616</f>
        <v>0</v>
      </c>
      <c r="R1616" s="102">
        <f>tbl_ConsultingCompanys!C1616</f>
        <v>0</v>
      </c>
      <c r="S1616" s="102">
        <f t="shared" si="77"/>
        <v>0</v>
      </c>
    </row>
    <row r="1617" spans="11:19" x14ac:dyDescent="0.15">
      <c r="K1617" s="102">
        <f>tbl_ArchitectureOffices!D1617</f>
        <v>0</v>
      </c>
      <c r="L1617" s="102">
        <f>tbl_ArchitectureOffices!C1617</f>
        <v>0</v>
      </c>
      <c r="M1617" s="102">
        <f t="shared" si="75"/>
        <v>0</v>
      </c>
      <c r="N1617" s="102">
        <f>tbl_Companys!D1617</f>
        <v>0</v>
      </c>
      <c r="O1617" s="102">
        <f>tbl_Companys!C1617</f>
        <v>0</v>
      </c>
      <c r="P1617" s="102">
        <f t="shared" si="76"/>
        <v>0</v>
      </c>
      <c r="Q1617" s="102">
        <f>tbl_ConsultingCompanys!D1617</f>
        <v>0</v>
      </c>
      <c r="R1617" s="102">
        <f>tbl_ConsultingCompanys!C1617</f>
        <v>0</v>
      </c>
      <c r="S1617" s="102">
        <f t="shared" si="77"/>
        <v>0</v>
      </c>
    </row>
    <row r="1618" spans="11:19" x14ac:dyDescent="0.15">
      <c r="K1618" s="102">
        <f>tbl_ArchitectureOffices!D1618</f>
        <v>0</v>
      </c>
      <c r="L1618" s="102">
        <f>tbl_ArchitectureOffices!C1618</f>
        <v>0</v>
      </c>
      <c r="M1618" s="102">
        <f t="shared" si="75"/>
        <v>0</v>
      </c>
      <c r="N1618" s="102">
        <f>tbl_Companys!D1618</f>
        <v>0</v>
      </c>
      <c r="O1618" s="102">
        <f>tbl_Companys!C1618</f>
        <v>0</v>
      </c>
      <c r="P1618" s="102">
        <f t="shared" si="76"/>
        <v>0</v>
      </c>
      <c r="Q1618" s="102">
        <f>tbl_ConsultingCompanys!D1618</f>
        <v>0</v>
      </c>
      <c r="R1618" s="102">
        <f>tbl_ConsultingCompanys!C1618</f>
        <v>0</v>
      </c>
      <c r="S1618" s="102">
        <f t="shared" si="77"/>
        <v>0</v>
      </c>
    </row>
    <row r="1619" spans="11:19" x14ac:dyDescent="0.15">
      <c r="K1619" s="102">
        <f>tbl_ArchitectureOffices!D1619</f>
        <v>0</v>
      </c>
      <c r="L1619" s="102">
        <f>tbl_ArchitectureOffices!C1619</f>
        <v>0</v>
      </c>
      <c r="M1619" s="102">
        <f t="shared" si="75"/>
        <v>0</v>
      </c>
      <c r="N1619" s="102">
        <f>tbl_Companys!D1619</f>
        <v>0</v>
      </c>
      <c r="O1619" s="102">
        <f>tbl_Companys!C1619</f>
        <v>0</v>
      </c>
      <c r="P1619" s="102">
        <f t="shared" si="76"/>
        <v>0</v>
      </c>
      <c r="Q1619" s="102">
        <f>tbl_ConsultingCompanys!D1619</f>
        <v>0</v>
      </c>
      <c r="R1619" s="102">
        <f>tbl_ConsultingCompanys!C1619</f>
        <v>0</v>
      </c>
      <c r="S1619" s="102">
        <f t="shared" si="77"/>
        <v>0</v>
      </c>
    </row>
    <row r="1620" spans="11:19" x14ac:dyDescent="0.15">
      <c r="K1620" s="102">
        <f>tbl_ArchitectureOffices!D1620</f>
        <v>0</v>
      </c>
      <c r="L1620" s="102">
        <f>tbl_ArchitectureOffices!C1620</f>
        <v>0</v>
      </c>
      <c r="M1620" s="102">
        <f t="shared" si="75"/>
        <v>0</v>
      </c>
      <c r="N1620" s="102">
        <f>tbl_Companys!D1620</f>
        <v>0</v>
      </c>
      <c r="O1620" s="102">
        <f>tbl_Companys!C1620</f>
        <v>0</v>
      </c>
      <c r="P1620" s="102">
        <f t="shared" si="76"/>
        <v>0</v>
      </c>
      <c r="Q1620" s="102">
        <f>tbl_ConsultingCompanys!D1620</f>
        <v>0</v>
      </c>
      <c r="R1620" s="102">
        <f>tbl_ConsultingCompanys!C1620</f>
        <v>0</v>
      </c>
      <c r="S1620" s="102">
        <f t="shared" si="77"/>
        <v>0</v>
      </c>
    </row>
    <row r="1621" spans="11:19" x14ac:dyDescent="0.15">
      <c r="K1621" s="102">
        <f>tbl_ArchitectureOffices!D1621</f>
        <v>0</v>
      </c>
      <c r="L1621" s="102">
        <f>tbl_ArchitectureOffices!C1621</f>
        <v>0</v>
      </c>
      <c r="M1621" s="102">
        <f t="shared" si="75"/>
        <v>0</v>
      </c>
      <c r="N1621" s="102">
        <f>tbl_Companys!D1621</f>
        <v>0</v>
      </c>
      <c r="O1621" s="102">
        <f>tbl_Companys!C1621</f>
        <v>0</v>
      </c>
      <c r="P1621" s="102">
        <f t="shared" si="76"/>
        <v>0</v>
      </c>
      <c r="Q1621" s="102">
        <f>tbl_ConsultingCompanys!D1621</f>
        <v>0</v>
      </c>
      <c r="R1621" s="102">
        <f>tbl_ConsultingCompanys!C1621</f>
        <v>0</v>
      </c>
      <c r="S1621" s="102">
        <f t="shared" si="77"/>
        <v>0</v>
      </c>
    </row>
    <row r="1622" spans="11:19" x14ac:dyDescent="0.15">
      <c r="K1622" s="102">
        <f>tbl_ArchitectureOffices!D1622</f>
        <v>0</v>
      </c>
      <c r="L1622" s="102">
        <f>tbl_ArchitectureOffices!C1622</f>
        <v>0</v>
      </c>
      <c r="M1622" s="102">
        <f t="shared" si="75"/>
        <v>0</v>
      </c>
      <c r="N1622" s="102">
        <f>tbl_Companys!D1622</f>
        <v>0</v>
      </c>
      <c r="O1622" s="102">
        <f>tbl_Companys!C1622</f>
        <v>0</v>
      </c>
      <c r="P1622" s="102">
        <f t="shared" si="76"/>
        <v>0</v>
      </c>
      <c r="Q1622" s="102">
        <f>tbl_ConsultingCompanys!D1622</f>
        <v>0</v>
      </c>
      <c r="R1622" s="102">
        <f>tbl_ConsultingCompanys!C1622</f>
        <v>0</v>
      </c>
      <c r="S1622" s="102">
        <f t="shared" si="77"/>
        <v>0</v>
      </c>
    </row>
    <row r="1623" spans="11:19" x14ac:dyDescent="0.15">
      <c r="K1623" s="102">
        <f>tbl_ArchitectureOffices!D1623</f>
        <v>0</v>
      </c>
      <c r="L1623" s="102">
        <f>tbl_ArchitectureOffices!C1623</f>
        <v>0</v>
      </c>
      <c r="M1623" s="102">
        <f t="shared" si="75"/>
        <v>0</v>
      </c>
      <c r="N1623" s="102">
        <f>tbl_Companys!D1623</f>
        <v>0</v>
      </c>
      <c r="O1623" s="102">
        <f>tbl_Companys!C1623</f>
        <v>0</v>
      </c>
      <c r="P1623" s="102">
        <f t="shared" si="76"/>
        <v>0</v>
      </c>
      <c r="Q1623" s="102">
        <f>tbl_ConsultingCompanys!D1623</f>
        <v>0</v>
      </c>
      <c r="R1623" s="102">
        <f>tbl_ConsultingCompanys!C1623</f>
        <v>0</v>
      </c>
      <c r="S1623" s="102">
        <f t="shared" si="77"/>
        <v>0</v>
      </c>
    </row>
    <row r="1624" spans="11:19" x14ac:dyDescent="0.15">
      <c r="K1624" s="102">
        <f>tbl_ArchitectureOffices!D1624</f>
        <v>0</v>
      </c>
      <c r="L1624" s="102">
        <f>tbl_ArchitectureOffices!C1624</f>
        <v>0</v>
      </c>
      <c r="M1624" s="102">
        <f t="shared" si="75"/>
        <v>0</v>
      </c>
      <c r="N1624" s="102">
        <f>tbl_Companys!D1624</f>
        <v>0</v>
      </c>
      <c r="O1624" s="102">
        <f>tbl_Companys!C1624</f>
        <v>0</v>
      </c>
      <c r="P1624" s="102">
        <f t="shared" si="76"/>
        <v>0</v>
      </c>
      <c r="Q1624" s="102">
        <f>tbl_ConsultingCompanys!D1624</f>
        <v>0</v>
      </c>
      <c r="R1624" s="102">
        <f>tbl_ConsultingCompanys!C1624</f>
        <v>0</v>
      </c>
      <c r="S1624" s="102">
        <f t="shared" si="77"/>
        <v>0</v>
      </c>
    </row>
    <row r="1625" spans="11:19" x14ac:dyDescent="0.15">
      <c r="K1625" s="102">
        <f>tbl_ArchitectureOffices!D1625</f>
        <v>0</v>
      </c>
      <c r="L1625" s="102">
        <f>tbl_ArchitectureOffices!C1625</f>
        <v>0</v>
      </c>
      <c r="M1625" s="102">
        <f t="shared" si="75"/>
        <v>0</v>
      </c>
      <c r="N1625" s="102">
        <f>tbl_Companys!D1625</f>
        <v>0</v>
      </c>
      <c r="O1625" s="102">
        <f>tbl_Companys!C1625</f>
        <v>0</v>
      </c>
      <c r="P1625" s="102">
        <f t="shared" si="76"/>
        <v>0</v>
      </c>
      <c r="Q1625" s="102">
        <f>tbl_ConsultingCompanys!D1625</f>
        <v>0</v>
      </c>
      <c r="R1625" s="102">
        <f>tbl_ConsultingCompanys!C1625</f>
        <v>0</v>
      </c>
      <c r="S1625" s="102">
        <f t="shared" si="77"/>
        <v>0</v>
      </c>
    </row>
    <row r="1626" spans="11:19" x14ac:dyDescent="0.15">
      <c r="K1626" s="102">
        <f>tbl_ArchitectureOffices!D1626</f>
        <v>0</v>
      </c>
      <c r="L1626" s="102">
        <f>tbl_ArchitectureOffices!C1626</f>
        <v>0</v>
      </c>
      <c r="M1626" s="102">
        <f t="shared" si="75"/>
        <v>0</v>
      </c>
      <c r="N1626" s="102">
        <f>tbl_Companys!D1626</f>
        <v>0</v>
      </c>
      <c r="O1626" s="102">
        <f>tbl_Companys!C1626</f>
        <v>0</v>
      </c>
      <c r="P1626" s="102">
        <f t="shared" si="76"/>
        <v>0</v>
      </c>
      <c r="Q1626" s="102">
        <f>tbl_ConsultingCompanys!D1626</f>
        <v>0</v>
      </c>
      <c r="R1626" s="102">
        <f>tbl_ConsultingCompanys!C1626</f>
        <v>0</v>
      </c>
      <c r="S1626" s="102">
        <f t="shared" si="77"/>
        <v>0</v>
      </c>
    </row>
    <row r="1627" spans="11:19" x14ac:dyDescent="0.15">
      <c r="K1627" s="102">
        <f>tbl_ArchitectureOffices!D1627</f>
        <v>0</v>
      </c>
      <c r="L1627" s="102">
        <f>tbl_ArchitectureOffices!C1627</f>
        <v>0</v>
      </c>
      <c r="M1627" s="102">
        <f t="shared" si="75"/>
        <v>0</v>
      </c>
      <c r="N1627" s="102">
        <f>tbl_Companys!D1627</f>
        <v>0</v>
      </c>
      <c r="O1627" s="102">
        <f>tbl_Companys!C1627</f>
        <v>0</v>
      </c>
      <c r="P1627" s="102">
        <f t="shared" si="76"/>
        <v>0</v>
      </c>
      <c r="Q1627" s="102">
        <f>tbl_ConsultingCompanys!D1627</f>
        <v>0</v>
      </c>
      <c r="R1627" s="102">
        <f>tbl_ConsultingCompanys!C1627</f>
        <v>0</v>
      </c>
      <c r="S1627" s="102">
        <f t="shared" si="77"/>
        <v>0</v>
      </c>
    </row>
    <row r="1628" spans="11:19" x14ac:dyDescent="0.15">
      <c r="K1628" s="102">
        <f>tbl_ArchitectureOffices!D1628</f>
        <v>0</v>
      </c>
      <c r="L1628" s="102">
        <f>tbl_ArchitectureOffices!C1628</f>
        <v>0</v>
      </c>
      <c r="M1628" s="102">
        <f t="shared" si="75"/>
        <v>0</v>
      </c>
      <c r="N1628" s="102">
        <f>tbl_Companys!D1628</f>
        <v>0</v>
      </c>
      <c r="O1628" s="102">
        <f>tbl_Companys!C1628</f>
        <v>0</v>
      </c>
      <c r="P1628" s="102">
        <f t="shared" si="76"/>
        <v>0</v>
      </c>
      <c r="Q1628" s="102">
        <f>tbl_ConsultingCompanys!D1628</f>
        <v>0</v>
      </c>
      <c r="R1628" s="102">
        <f>tbl_ConsultingCompanys!C1628</f>
        <v>0</v>
      </c>
      <c r="S1628" s="102">
        <f t="shared" si="77"/>
        <v>0</v>
      </c>
    </row>
    <row r="1629" spans="11:19" x14ac:dyDescent="0.15">
      <c r="K1629" s="102">
        <f>tbl_ArchitectureOffices!D1629</f>
        <v>0</v>
      </c>
      <c r="L1629" s="102">
        <f>tbl_ArchitectureOffices!C1629</f>
        <v>0</v>
      </c>
      <c r="M1629" s="102">
        <f t="shared" si="75"/>
        <v>0</v>
      </c>
      <c r="N1629" s="102">
        <f>tbl_Companys!D1629</f>
        <v>0</v>
      </c>
      <c r="O1629" s="102">
        <f>tbl_Companys!C1629</f>
        <v>0</v>
      </c>
      <c r="P1629" s="102">
        <f t="shared" si="76"/>
        <v>0</v>
      </c>
      <c r="Q1629" s="102">
        <f>tbl_ConsultingCompanys!D1629</f>
        <v>0</v>
      </c>
      <c r="R1629" s="102">
        <f>tbl_ConsultingCompanys!C1629</f>
        <v>0</v>
      </c>
      <c r="S1629" s="102">
        <f t="shared" si="77"/>
        <v>0</v>
      </c>
    </row>
    <row r="1630" spans="11:19" x14ac:dyDescent="0.15">
      <c r="K1630" s="102">
        <f>tbl_ArchitectureOffices!D1630</f>
        <v>0</v>
      </c>
      <c r="L1630" s="102">
        <f>tbl_ArchitectureOffices!C1630</f>
        <v>0</v>
      </c>
      <c r="M1630" s="102">
        <f t="shared" si="75"/>
        <v>0</v>
      </c>
      <c r="N1630" s="102">
        <f>tbl_Companys!D1630</f>
        <v>0</v>
      </c>
      <c r="O1630" s="102">
        <f>tbl_Companys!C1630</f>
        <v>0</v>
      </c>
      <c r="P1630" s="102">
        <f t="shared" si="76"/>
        <v>0</v>
      </c>
      <c r="Q1630" s="102">
        <f>tbl_ConsultingCompanys!D1630</f>
        <v>0</v>
      </c>
      <c r="R1630" s="102">
        <f>tbl_ConsultingCompanys!C1630</f>
        <v>0</v>
      </c>
      <c r="S1630" s="102">
        <f t="shared" si="77"/>
        <v>0</v>
      </c>
    </row>
    <row r="1631" spans="11:19" x14ac:dyDescent="0.15">
      <c r="K1631" s="102">
        <f>tbl_ArchitectureOffices!D1631</f>
        <v>0</v>
      </c>
      <c r="L1631" s="102">
        <f>tbl_ArchitectureOffices!C1631</f>
        <v>0</v>
      </c>
      <c r="M1631" s="102">
        <f t="shared" si="75"/>
        <v>0</v>
      </c>
      <c r="N1631" s="102">
        <f>tbl_Companys!D1631</f>
        <v>0</v>
      </c>
      <c r="O1631" s="102">
        <f>tbl_Companys!C1631</f>
        <v>0</v>
      </c>
      <c r="P1631" s="102">
        <f t="shared" si="76"/>
        <v>0</v>
      </c>
      <c r="Q1631" s="102">
        <f>tbl_ConsultingCompanys!D1631</f>
        <v>0</v>
      </c>
      <c r="R1631" s="102">
        <f>tbl_ConsultingCompanys!C1631</f>
        <v>0</v>
      </c>
      <c r="S1631" s="102">
        <f t="shared" si="77"/>
        <v>0</v>
      </c>
    </row>
    <row r="1632" spans="11:19" x14ac:dyDescent="0.15">
      <c r="K1632" s="102">
        <f>tbl_ArchitectureOffices!D1632</f>
        <v>0</v>
      </c>
      <c r="L1632" s="102">
        <f>tbl_ArchitectureOffices!C1632</f>
        <v>0</v>
      </c>
      <c r="M1632" s="102">
        <f t="shared" si="75"/>
        <v>0</v>
      </c>
      <c r="N1632" s="102">
        <f>tbl_Companys!D1632</f>
        <v>0</v>
      </c>
      <c r="O1632" s="102">
        <f>tbl_Companys!C1632</f>
        <v>0</v>
      </c>
      <c r="P1632" s="102">
        <f t="shared" si="76"/>
        <v>0</v>
      </c>
      <c r="Q1632" s="102">
        <f>tbl_ConsultingCompanys!D1632</f>
        <v>0</v>
      </c>
      <c r="R1632" s="102">
        <f>tbl_ConsultingCompanys!C1632</f>
        <v>0</v>
      </c>
      <c r="S1632" s="102">
        <f t="shared" si="77"/>
        <v>0</v>
      </c>
    </row>
    <row r="1633" spans="11:19" x14ac:dyDescent="0.15">
      <c r="K1633" s="102">
        <f>tbl_ArchitectureOffices!D1633</f>
        <v>0</v>
      </c>
      <c r="L1633" s="102">
        <f>tbl_ArchitectureOffices!C1633</f>
        <v>0</v>
      </c>
      <c r="M1633" s="102">
        <f t="shared" si="75"/>
        <v>0</v>
      </c>
      <c r="N1633" s="102">
        <f>tbl_Companys!D1633</f>
        <v>0</v>
      </c>
      <c r="O1633" s="102">
        <f>tbl_Companys!C1633</f>
        <v>0</v>
      </c>
      <c r="P1633" s="102">
        <f t="shared" si="76"/>
        <v>0</v>
      </c>
      <c r="Q1633" s="102">
        <f>tbl_ConsultingCompanys!D1633</f>
        <v>0</v>
      </c>
      <c r="R1633" s="102">
        <f>tbl_ConsultingCompanys!C1633</f>
        <v>0</v>
      </c>
      <c r="S1633" s="102">
        <f t="shared" si="77"/>
        <v>0</v>
      </c>
    </row>
    <row r="1634" spans="11:19" x14ac:dyDescent="0.15">
      <c r="K1634" s="102">
        <f>tbl_ArchitectureOffices!D1634</f>
        <v>0</v>
      </c>
      <c r="L1634" s="102">
        <f>tbl_ArchitectureOffices!C1634</f>
        <v>0</v>
      </c>
      <c r="M1634" s="102">
        <f t="shared" si="75"/>
        <v>0</v>
      </c>
      <c r="N1634" s="102">
        <f>tbl_Companys!D1634</f>
        <v>0</v>
      </c>
      <c r="O1634" s="102">
        <f>tbl_Companys!C1634</f>
        <v>0</v>
      </c>
      <c r="P1634" s="102">
        <f t="shared" si="76"/>
        <v>0</v>
      </c>
      <c r="Q1634" s="102">
        <f>tbl_ConsultingCompanys!D1634</f>
        <v>0</v>
      </c>
      <c r="R1634" s="102">
        <f>tbl_ConsultingCompanys!C1634</f>
        <v>0</v>
      </c>
      <c r="S1634" s="102">
        <f t="shared" si="77"/>
        <v>0</v>
      </c>
    </row>
    <row r="1635" spans="11:19" x14ac:dyDescent="0.15">
      <c r="K1635" s="102">
        <f>tbl_ArchitectureOffices!D1635</f>
        <v>0</v>
      </c>
      <c r="L1635" s="102">
        <f>tbl_ArchitectureOffices!C1635</f>
        <v>0</v>
      </c>
      <c r="M1635" s="102">
        <f t="shared" si="75"/>
        <v>0</v>
      </c>
      <c r="N1635" s="102">
        <f>tbl_Companys!D1635</f>
        <v>0</v>
      </c>
      <c r="O1635" s="102">
        <f>tbl_Companys!C1635</f>
        <v>0</v>
      </c>
      <c r="P1635" s="102">
        <f t="shared" si="76"/>
        <v>0</v>
      </c>
      <c r="Q1635" s="102">
        <f>tbl_ConsultingCompanys!D1635</f>
        <v>0</v>
      </c>
      <c r="R1635" s="102">
        <f>tbl_ConsultingCompanys!C1635</f>
        <v>0</v>
      </c>
      <c r="S1635" s="102">
        <f t="shared" si="77"/>
        <v>0</v>
      </c>
    </row>
    <row r="1636" spans="11:19" x14ac:dyDescent="0.15">
      <c r="K1636" s="102">
        <f>tbl_ArchitectureOffices!D1636</f>
        <v>0</v>
      </c>
      <c r="L1636" s="102">
        <f>tbl_ArchitectureOffices!C1636</f>
        <v>0</v>
      </c>
      <c r="M1636" s="102">
        <f t="shared" si="75"/>
        <v>0</v>
      </c>
      <c r="N1636" s="102">
        <f>tbl_Companys!D1636</f>
        <v>0</v>
      </c>
      <c r="O1636" s="102">
        <f>tbl_Companys!C1636</f>
        <v>0</v>
      </c>
      <c r="P1636" s="102">
        <f t="shared" si="76"/>
        <v>0</v>
      </c>
      <c r="Q1636" s="102">
        <f>tbl_ConsultingCompanys!D1636</f>
        <v>0</v>
      </c>
      <c r="R1636" s="102">
        <f>tbl_ConsultingCompanys!C1636</f>
        <v>0</v>
      </c>
      <c r="S1636" s="102">
        <f t="shared" si="77"/>
        <v>0</v>
      </c>
    </row>
    <row r="1637" spans="11:19" x14ac:dyDescent="0.15">
      <c r="K1637" s="102">
        <f>tbl_ArchitectureOffices!D1637</f>
        <v>0</v>
      </c>
      <c r="L1637" s="102">
        <f>tbl_ArchitectureOffices!C1637</f>
        <v>0</v>
      </c>
      <c r="M1637" s="102">
        <f t="shared" si="75"/>
        <v>0</v>
      </c>
      <c r="N1637" s="102">
        <f>tbl_Companys!D1637</f>
        <v>0</v>
      </c>
      <c r="O1637" s="102">
        <f>tbl_Companys!C1637</f>
        <v>0</v>
      </c>
      <c r="P1637" s="102">
        <f t="shared" si="76"/>
        <v>0</v>
      </c>
      <c r="Q1637" s="102">
        <f>tbl_ConsultingCompanys!D1637</f>
        <v>0</v>
      </c>
      <c r="R1637" s="102">
        <f>tbl_ConsultingCompanys!C1637</f>
        <v>0</v>
      </c>
      <c r="S1637" s="102">
        <f t="shared" si="77"/>
        <v>0</v>
      </c>
    </row>
    <row r="1638" spans="11:19" x14ac:dyDescent="0.15">
      <c r="K1638" s="102">
        <f>tbl_ArchitectureOffices!D1638</f>
        <v>0</v>
      </c>
      <c r="L1638" s="102">
        <f>tbl_ArchitectureOffices!C1638</f>
        <v>0</v>
      </c>
      <c r="M1638" s="102">
        <f t="shared" si="75"/>
        <v>0</v>
      </c>
      <c r="N1638" s="102">
        <f>tbl_Companys!D1638</f>
        <v>0</v>
      </c>
      <c r="O1638" s="102">
        <f>tbl_Companys!C1638</f>
        <v>0</v>
      </c>
      <c r="P1638" s="102">
        <f t="shared" si="76"/>
        <v>0</v>
      </c>
      <c r="Q1638" s="102">
        <f>tbl_ConsultingCompanys!D1638</f>
        <v>0</v>
      </c>
      <c r="R1638" s="102">
        <f>tbl_ConsultingCompanys!C1638</f>
        <v>0</v>
      </c>
      <c r="S1638" s="102">
        <f t="shared" si="77"/>
        <v>0</v>
      </c>
    </row>
    <row r="1639" spans="11:19" x14ac:dyDescent="0.15">
      <c r="K1639" s="102">
        <f>tbl_ArchitectureOffices!D1639</f>
        <v>0</v>
      </c>
      <c r="L1639" s="102">
        <f>tbl_ArchitectureOffices!C1639</f>
        <v>0</v>
      </c>
      <c r="M1639" s="102">
        <f t="shared" si="75"/>
        <v>0</v>
      </c>
      <c r="N1639" s="102">
        <f>tbl_Companys!D1639</f>
        <v>0</v>
      </c>
      <c r="O1639" s="102">
        <f>tbl_Companys!C1639</f>
        <v>0</v>
      </c>
      <c r="P1639" s="102">
        <f t="shared" si="76"/>
        <v>0</v>
      </c>
      <c r="Q1639" s="102">
        <f>tbl_ConsultingCompanys!D1639</f>
        <v>0</v>
      </c>
      <c r="R1639" s="102">
        <f>tbl_ConsultingCompanys!C1639</f>
        <v>0</v>
      </c>
      <c r="S1639" s="102">
        <f t="shared" si="77"/>
        <v>0</v>
      </c>
    </row>
    <row r="1640" spans="11:19" x14ac:dyDescent="0.15">
      <c r="K1640" s="102">
        <f>tbl_ArchitectureOffices!D1640</f>
        <v>0</v>
      </c>
      <c r="L1640" s="102">
        <f>tbl_ArchitectureOffices!C1640</f>
        <v>0</v>
      </c>
      <c r="M1640" s="102">
        <f t="shared" si="75"/>
        <v>0</v>
      </c>
      <c r="N1640" s="102">
        <f>tbl_Companys!D1640</f>
        <v>0</v>
      </c>
      <c r="O1640" s="102">
        <f>tbl_Companys!C1640</f>
        <v>0</v>
      </c>
      <c r="P1640" s="102">
        <f t="shared" si="76"/>
        <v>0</v>
      </c>
      <c r="Q1640" s="102">
        <f>tbl_ConsultingCompanys!D1640</f>
        <v>0</v>
      </c>
      <c r="R1640" s="102">
        <f>tbl_ConsultingCompanys!C1640</f>
        <v>0</v>
      </c>
      <c r="S1640" s="102">
        <f t="shared" si="77"/>
        <v>0</v>
      </c>
    </row>
    <row r="1641" spans="11:19" x14ac:dyDescent="0.15">
      <c r="K1641" s="102">
        <f>tbl_ArchitectureOffices!D1641</f>
        <v>0</v>
      </c>
      <c r="L1641" s="102">
        <f>tbl_ArchitectureOffices!C1641</f>
        <v>0</v>
      </c>
      <c r="M1641" s="102">
        <f t="shared" si="75"/>
        <v>0</v>
      </c>
      <c r="N1641" s="102">
        <f>tbl_Companys!D1641</f>
        <v>0</v>
      </c>
      <c r="O1641" s="102">
        <f>tbl_Companys!C1641</f>
        <v>0</v>
      </c>
      <c r="P1641" s="102">
        <f t="shared" si="76"/>
        <v>0</v>
      </c>
      <c r="Q1641" s="102">
        <f>tbl_ConsultingCompanys!D1641</f>
        <v>0</v>
      </c>
      <c r="R1641" s="102">
        <f>tbl_ConsultingCompanys!C1641</f>
        <v>0</v>
      </c>
      <c r="S1641" s="102">
        <f t="shared" si="77"/>
        <v>0</v>
      </c>
    </row>
    <row r="1642" spans="11:19" x14ac:dyDescent="0.15">
      <c r="K1642" s="102">
        <f>tbl_ArchitectureOffices!D1642</f>
        <v>0</v>
      </c>
      <c r="L1642" s="102">
        <f>tbl_ArchitectureOffices!C1642</f>
        <v>0</v>
      </c>
      <c r="M1642" s="102">
        <f t="shared" si="75"/>
        <v>0</v>
      </c>
      <c r="N1642" s="102">
        <f>tbl_Companys!D1642</f>
        <v>0</v>
      </c>
      <c r="O1642" s="102">
        <f>tbl_Companys!C1642</f>
        <v>0</v>
      </c>
      <c r="P1642" s="102">
        <f t="shared" si="76"/>
        <v>0</v>
      </c>
      <c r="Q1642" s="102">
        <f>tbl_ConsultingCompanys!D1642</f>
        <v>0</v>
      </c>
      <c r="R1642" s="102">
        <f>tbl_ConsultingCompanys!C1642</f>
        <v>0</v>
      </c>
      <c r="S1642" s="102">
        <f t="shared" si="77"/>
        <v>0</v>
      </c>
    </row>
    <row r="1643" spans="11:19" x14ac:dyDescent="0.15">
      <c r="K1643" s="102">
        <f>tbl_ArchitectureOffices!D1643</f>
        <v>0</v>
      </c>
      <c r="L1643" s="102">
        <f>tbl_ArchitectureOffices!C1643</f>
        <v>0</v>
      </c>
      <c r="M1643" s="102">
        <f t="shared" si="75"/>
        <v>0</v>
      </c>
      <c r="N1643" s="102">
        <f>tbl_Companys!D1643</f>
        <v>0</v>
      </c>
      <c r="O1643" s="102">
        <f>tbl_Companys!C1643</f>
        <v>0</v>
      </c>
      <c r="P1643" s="102">
        <f t="shared" si="76"/>
        <v>0</v>
      </c>
      <c r="Q1643" s="102">
        <f>tbl_ConsultingCompanys!D1643</f>
        <v>0</v>
      </c>
      <c r="R1643" s="102">
        <f>tbl_ConsultingCompanys!C1643</f>
        <v>0</v>
      </c>
      <c r="S1643" s="102">
        <f t="shared" si="77"/>
        <v>0</v>
      </c>
    </row>
    <row r="1644" spans="11:19" x14ac:dyDescent="0.15">
      <c r="K1644" s="102">
        <f>tbl_ArchitectureOffices!D1644</f>
        <v>0</v>
      </c>
      <c r="L1644" s="102">
        <f>tbl_ArchitectureOffices!C1644</f>
        <v>0</v>
      </c>
      <c r="M1644" s="102">
        <f t="shared" si="75"/>
        <v>0</v>
      </c>
      <c r="N1644" s="102">
        <f>tbl_Companys!D1644</f>
        <v>0</v>
      </c>
      <c r="O1644" s="102">
        <f>tbl_Companys!C1644</f>
        <v>0</v>
      </c>
      <c r="P1644" s="102">
        <f t="shared" si="76"/>
        <v>0</v>
      </c>
      <c r="Q1644" s="102">
        <f>tbl_ConsultingCompanys!D1644</f>
        <v>0</v>
      </c>
      <c r="R1644" s="102">
        <f>tbl_ConsultingCompanys!C1644</f>
        <v>0</v>
      </c>
      <c r="S1644" s="102">
        <f t="shared" si="77"/>
        <v>0</v>
      </c>
    </row>
    <row r="1645" spans="11:19" x14ac:dyDescent="0.15">
      <c r="K1645" s="102">
        <f>tbl_ArchitectureOffices!D1645</f>
        <v>0</v>
      </c>
      <c r="L1645" s="102">
        <f>tbl_ArchitectureOffices!C1645</f>
        <v>0</v>
      </c>
      <c r="M1645" s="102">
        <f t="shared" si="75"/>
        <v>0</v>
      </c>
      <c r="N1645" s="102">
        <f>tbl_Companys!D1645</f>
        <v>0</v>
      </c>
      <c r="O1645" s="102">
        <f>tbl_Companys!C1645</f>
        <v>0</v>
      </c>
      <c r="P1645" s="102">
        <f t="shared" si="76"/>
        <v>0</v>
      </c>
      <c r="Q1645" s="102">
        <f>tbl_ConsultingCompanys!D1645</f>
        <v>0</v>
      </c>
      <c r="R1645" s="102">
        <f>tbl_ConsultingCompanys!C1645</f>
        <v>0</v>
      </c>
      <c r="S1645" s="102">
        <f t="shared" si="77"/>
        <v>0</v>
      </c>
    </row>
    <row r="1646" spans="11:19" x14ac:dyDescent="0.15">
      <c r="K1646" s="102">
        <f>tbl_ArchitectureOffices!D1646</f>
        <v>0</v>
      </c>
      <c r="L1646" s="102">
        <f>tbl_ArchitectureOffices!C1646</f>
        <v>0</v>
      </c>
      <c r="M1646" s="102">
        <f t="shared" si="75"/>
        <v>0</v>
      </c>
      <c r="N1646" s="102">
        <f>tbl_Companys!D1646</f>
        <v>0</v>
      </c>
      <c r="O1646" s="102">
        <f>tbl_Companys!C1646</f>
        <v>0</v>
      </c>
      <c r="P1646" s="102">
        <f t="shared" si="76"/>
        <v>0</v>
      </c>
      <c r="Q1646" s="102">
        <f>tbl_ConsultingCompanys!D1646</f>
        <v>0</v>
      </c>
      <c r="R1646" s="102">
        <f>tbl_ConsultingCompanys!C1646</f>
        <v>0</v>
      </c>
      <c r="S1646" s="102">
        <f t="shared" si="77"/>
        <v>0</v>
      </c>
    </row>
    <row r="1647" spans="11:19" x14ac:dyDescent="0.15">
      <c r="K1647" s="102">
        <f>tbl_ArchitectureOffices!D1647</f>
        <v>0</v>
      </c>
      <c r="L1647" s="102">
        <f>tbl_ArchitectureOffices!C1647</f>
        <v>0</v>
      </c>
      <c r="M1647" s="102">
        <f t="shared" si="75"/>
        <v>0</v>
      </c>
      <c r="N1647" s="102">
        <f>tbl_Companys!D1647</f>
        <v>0</v>
      </c>
      <c r="O1647" s="102">
        <f>tbl_Companys!C1647</f>
        <v>0</v>
      </c>
      <c r="P1647" s="102">
        <f t="shared" si="76"/>
        <v>0</v>
      </c>
      <c r="Q1647" s="102">
        <f>tbl_ConsultingCompanys!D1647</f>
        <v>0</v>
      </c>
      <c r="R1647" s="102">
        <f>tbl_ConsultingCompanys!C1647</f>
        <v>0</v>
      </c>
      <c r="S1647" s="102">
        <f t="shared" si="77"/>
        <v>0</v>
      </c>
    </row>
    <row r="1648" spans="11:19" x14ac:dyDescent="0.15">
      <c r="K1648" s="102">
        <f>tbl_ArchitectureOffices!D1648</f>
        <v>0</v>
      </c>
      <c r="L1648" s="102">
        <f>tbl_ArchitectureOffices!C1648</f>
        <v>0</v>
      </c>
      <c r="M1648" s="102">
        <f t="shared" si="75"/>
        <v>0</v>
      </c>
      <c r="N1648" s="102">
        <f>tbl_Companys!D1648</f>
        <v>0</v>
      </c>
      <c r="O1648" s="102">
        <f>tbl_Companys!C1648</f>
        <v>0</v>
      </c>
      <c r="P1648" s="102">
        <f t="shared" si="76"/>
        <v>0</v>
      </c>
      <c r="Q1648" s="102">
        <f>tbl_ConsultingCompanys!D1648</f>
        <v>0</v>
      </c>
      <c r="R1648" s="102">
        <f>tbl_ConsultingCompanys!C1648</f>
        <v>0</v>
      </c>
      <c r="S1648" s="102">
        <f t="shared" si="77"/>
        <v>0</v>
      </c>
    </row>
    <row r="1649" spans="11:19" x14ac:dyDescent="0.15">
      <c r="K1649" s="102">
        <f>tbl_ArchitectureOffices!D1649</f>
        <v>0</v>
      </c>
      <c r="L1649" s="102">
        <f>tbl_ArchitectureOffices!C1649</f>
        <v>0</v>
      </c>
      <c r="M1649" s="102">
        <f t="shared" si="75"/>
        <v>0</v>
      </c>
      <c r="N1649" s="102">
        <f>tbl_Companys!D1649</f>
        <v>0</v>
      </c>
      <c r="O1649" s="102">
        <f>tbl_Companys!C1649</f>
        <v>0</v>
      </c>
      <c r="P1649" s="102">
        <f t="shared" si="76"/>
        <v>0</v>
      </c>
      <c r="Q1649" s="102">
        <f>tbl_ConsultingCompanys!D1649</f>
        <v>0</v>
      </c>
      <c r="R1649" s="102">
        <f>tbl_ConsultingCompanys!C1649</f>
        <v>0</v>
      </c>
      <c r="S1649" s="102">
        <f t="shared" si="77"/>
        <v>0</v>
      </c>
    </row>
    <row r="1650" spans="11:19" x14ac:dyDescent="0.15">
      <c r="K1650" s="102">
        <f>tbl_ArchitectureOffices!D1650</f>
        <v>0</v>
      </c>
      <c r="L1650" s="102">
        <f>tbl_ArchitectureOffices!C1650</f>
        <v>0</v>
      </c>
      <c r="M1650" s="102">
        <f t="shared" si="75"/>
        <v>0</v>
      </c>
      <c r="N1650" s="102">
        <f>tbl_Companys!D1650</f>
        <v>0</v>
      </c>
      <c r="O1650" s="102">
        <f>tbl_Companys!C1650</f>
        <v>0</v>
      </c>
      <c r="P1650" s="102">
        <f t="shared" si="76"/>
        <v>0</v>
      </c>
      <c r="Q1650" s="102">
        <f>tbl_ConsultingCompanys!D1650</f>
        <v>0</v>
      </c>
      <c r="R1650" s="102">
        <f>tbl_ConsultingCompanys!C1650</f>
        <v>0</v>
      </c>
      <c r="S1650" s="102">
        <f t="shared" si="77"/>
        <v>0</v>
      </c>
    </row>
    <row r="1651" spans="11:19" x14ac:dyDescent="0.15">
      <c r="K1651" s="102">
        <f>tbl_ArchitectureOffices!D1651</f>
        <v>0</v>
      </c>
      <c r="L1651" s="102">
        <f>tbl_ArchitectureOffices!C1651</f>
        <v>0</v>
      </c>
      <c r="M1651" s="102">
        <f t="shared" si="75"/>
        <v>0</v>
      </c>
      <c r="N1651" s="102">
        <f>tbl_Companys!D1651</f>
        <v>0</v>
      </c>
      <c r="O1651" s="102">
        <f>tbl_Companys!C1651</f>
        <v>0</v>
      </c>
      <c r="P1651" s="102">
        <f t="shared" si="76"/>
        <v>0</v>
      </c>
      <c r="Q1651" s="102">
        <f>tbl_ConsultingCompanys!D1651</f>
        <v>0</v>
      </c>
      <c r="R1651" s="102">
        <f>tbl_ConsultingCompanys!C1651</f>
        <v>0</v>
      </c>
      <c r="S1651" s="102">
        <f t="shared" si="77"/>
        <v>0</v>
      </c>
    </row>
    <row r="1652" spans="11:19" x14ac:dyDescent="0.15">
      <c r="K1652" s="102">
        <f>tbl_ArchitectureOffices!D1652</f>
        <v>0</v>
      </c>
      <c r="L1652" s="102">
        <f>tbl_ArchitectureOffices!C1652</f>
        <v>0</v>
      </c>
      <c r="M1652" s="102">
        <f t="shared" si="75"/>
        <v>0</v>
      </c>
      <c r="N1652" s="102">
        <f>tbl_Companys!D1652</f>
        <v>0</v>
      </c>
      <c r="O1652" s="102">
        <f>tbl_Companys!C1652</f>
        <v>0</v>
      </c>
      <c r="P1652" s="102">
        <f t="shared" si="76"/>
        <v>0</v>
      </c>
      <c r="Q1652" s="102">
        <f>tbl_ConsultingCompanys!D1652</f>
        <v>0</v>
      </c>
      <c r="R1652" s="102">
        <f>tbl_ConsultingCompanys!C1652</f>
        <v>0</v>
      </c>
      <c r="S1652" s="102">
        <f t="shared" si="77"/>
        <v>0</v>
      </c>
    </row>
    <row r="1653" spans="11:19" x14ac:dyDescent="0.15">
      <c r="K1653" s="102">
        <f>tbl_ArchitectureOffices!D1653</f>
        <v>0</v>
      </c>
      <c r="L1653" s="102">
        <f>tbl_ArchitectureOffices!C1653</f>
        <v>0</v>
      </c>
      <c r="M1653" s="102">
        <f t="shared" si="75"/>
        <v>0</v>
      </c>
      <c r="N1653" s="102">
        <f>tbl_Companys!D1653</f>
        <v>0</v>
      </c>
      <c r="O1653" s="102">
        <f>tbl_Companys!C1653</f>
        <v>0</v>
      </c>
      <c r="P1653" s="102">
        <f t="shared" si="76"/>
        <v>0</v>
      </c>
      <c r="Q1653" s="102">
        <f>tbl_ConsultingCompanys!D1653</f>
        <v>0</v>
      </c>
      <c r="R1653" s="102">
        <f>tbl_ConsultingCompanys!C1653</f>
        <v>0</v>
      </c>
      <c r="S1653" s="102">
        <f t="shared" si="77"/>
        <v>0</v>
      </c>
    </row>
    <row r="1654" spans="11:19" x14ac:dyDescent="0.15">
      <c r="K1654" s="102">
        <f>tbl_ArchitectureOffices!D1654</f>
        <v>0</v>
      </c>
      <c r="L1654" s="102">
        <f>tbl_ArchitectureOffices!C1654</f>
        <v>0</v>
      </c>
      <c r="M1654" s="102">
        <f t="shared" ref="M1654:M1717" si="78">IFERROR(REPLACE(K1654,FIND(" ",K1654,LEN(K1654)),1,""),K1654)</f>
        <v>0</v>
      </c>
      <c r="N1654" s="102">
        <f>tbl_Companys!D1654</f>
        <v>0</v>
      </c>
      <c r="O1654" s="102">
        <f>tbl_Companys!C1654</f>
        <v>0</v>
      </c>
      <c r="P1654" s="102">
        <f t="shared" si="76"/>
        <v>0</v>
      </c>
      <c r="Q1654" s="102">
        <f>tbl_ConsultingCompanys!D1654</f>
        <v>0</v>
      </c>
      <c r="R1654" s="102">
        <f>tbl_ConsultingCompanys!C1654</f>
        <v>0</v>
      </c>
      <c r="S1654" s="102">
        <f t="shared" si="77"/>
        <v>0</v>
      </c>
    </row>
    <row r="1655" spans="11:19" x14ac:dyDescent="0.15">
      <c r="K1655" s="102">
        <f>tbl_ArchitectureOffices!D1655</f>
        <v>0</v>
      </c>
      <c r="L1655" s="102">
        <f>tbl_ArchitectureOffices!C1655</f>
        <v>0</v>
      </c>
      <c r="M1655" s="102">
        <f t="shared" si="78"/>
        <v>0</v>
      </c>
      <c r="N1655" s="102">
        <f>tbl_Companys!D1655</f>
        <v>0</v>
      </c>
      <c r="O1655" s="102">
        <f>tbl_Companys!C1655</f>
        <v>0</v>
      </c>
      <c r="P1655" s="102">
        <f t="shared" si="76"/>
        <v>0</v>
      </c>
      <c r="Q1655" s="102">
        <f>tbl_ConsultingCompanys!D1655</f>
        <v>0</v>
      </c>
      <c r="R1655" s="102">
        <f>tbl_ConsultingCompanys!C1655</f>
        <v>0</v>
      </c>
      <c r="S1655" s="102">
        <f t="shared" si="77"/>
        <v>0</v>
      </c>
    </row>
    <row r="1656" spans="11:19" x14ac:dyDescent="0.15">
      <c r="K1656" s="102">
        <f>tbl_ArchitectureOffices!D1656</f>
        <v>0</v>
      </c>
      <c r="L1656" s="102">
        <f>tbl_ArchitectureOffices!C1656</f>
        <v>0</v>
      </c>
      <c r="M1656" s="102">
        <f t="shared" si="78"/>
        <v>0</v>
      </c>
      <c r="N1656" s="102">
        <f>tbl_Companys!D1656</f>
        <v>0</v>
      </c>
      <c r="O1656" s="102">
        <f>tbl_Companys!C1656</f>
        <v>0</v>
      </c>
      <c r="P1656" s="102">
        <f t="shared" si="76"/>
        <v>0</v>
      </c>
      <c r="Q1656" s="102">
        <f>tbl_ConsultingCompanys!D1656</f>
        <v>0</v>
      </c>
      <c r="R1656" s="102">
        <f>tbl_ConsultingCompanys!C1656</f>
        <v>0</v>
      </c>
      <c r="S1656" s="102">
        <f t="shared" si="77"/>
        <v>0</v>
      </c>
    </row>
    <row r="1657" spans="11:19" x14ac:dyDescent="0.15">
      <c r="K1657" s="102">
        <f>tbl_ArchitectureOffices!D1657</f>
        <v>0</v>
      </c>
      <c r="L1657" s="102">
        <f>tbl_ArchitectureOffices!C1657</f>
        <v>0</v>
      </c>
      <c r="M1657" s="102">
        <f t="shared" si="78"/>
        <v>0</v>
      </c>
      <c r="N1657" s="102">
        <f>tbl_Companys!D1657</f>
        <v>0</v>
      </c>
      <c r="O1657" s="102">
        <f>tbl_Companys!C1657</f>
        <v>0</v>
      </c>
      <c r="P1657" s="102">
        <f t="shared" si="76"/>
        <v>0</v>
      </c>
      <c r="Q1657" s="102">
        <f>tbl_ConsultingCompanys!D1657</f>
        <v>0</v>
      </c>
      <c r="R1657" s="102">
        <f>tbl_ConsultingCompanys!C1657</f>
        <v>0</v>
      </c>
      <c r="S1657" s="102">
        <f t="shared" si="77"/>
        <v>0</v>
      </c>
    </row>
    <row r="1658" spans="11:19" x14ac:dyDescent="0.15">
      <c r="K1658" s="102">
        <f>tbl_ArchitectureOffices!D1658</f>
        <v>0</v>
      </c>
      <c r="L1658" s="102">
        <f>tbl_ArchitectureOffices!C1658</f>
        <v>0</v>
      </c>
      <c r="M1658" s="102">
        <f t="shared" si="78"/>
        <v>0</v>
      </c>
      <c r="N1658" s="102">
        <f>tbl_Companys!D1658</f>
        <v>0</v>
      </c>
      <c r="O1658" s="102">
        <f>tbl_Companys!C1658</f>
        <v>0</v>
      </c>
      <c r="P1658" s="102">
        <f t="shared" si="76"/>
        <v>0</v>
      </c>
      <c r="Q1658" s="102">
        <f>tbl_ConsultingCompanys!D1658</f>
        <v>0</v>
      </c>
      <c r="R1658" s="102">
        <f>tbl_ConsultingCompanys!C1658</f>
        <v>0</v>
      </c>
      <c r="S1658" s="102">
        <f t="shared" si="77"/>
        <v>0</v>
      </c>
    </row>
    <row r="1659" spans="11:19" x14ac:dyDescent="0.15">
      <c r="K1659" s="102">
        <f>tbl_ArchitectureOffices!D1659</f>
        <v>0</v>
      </c>
      <c r="L1659" s="102">
        <f>tbl_ArchitectureOffices!C1659</f>
        <v>0</v>
      </c>
      <c r="M1659" s="102">
        <f t="shared" si="78"/>
        <v>0</v>
      </c>
      <c r="N1659" s="102">
        <f>tbl_Companys!D1659</f>
        <v>0</v>
      </c>
      <c r="O1659" s="102">
        <f>tbl_Companys!C1659</f>
        <v>0</v>
      </c>
      <c r="P1659" s="102">
        <f t="shared" si="76"/>
        <v>0</v>
      </c>
      <c r="Q1659" s="102">
        <f>tbl_ConsultingCompanys!D1659</f>
        <v>0</v>
      </c>
      <c r="R1659" s="102">
        <f>tbl_ConsultingCompanys!C1659</f>
        <v>0</v>
      </c>
      <c r="S1659" s="102">
        <f t="shared" si="77"/>
        <v>0</v>
      </c>
    </row>
    <row r="1660" spans="11:19" x14ac:dyDescent="0.15">
      <c r="K1660" s="102">
        <f>tbl_ArchitectureOffices!D1660</f>
        <v>0</v>
      </c>
      <c r="L1660" s="102">
        <f>tbl_ArchitectureOffices!C1660</f>
        <v>0</v>
      </c>
      <c r="M1660" s="102">
        <f t="shared" si="78"/>
        <v>0</v>
      </c>
      <c r="N1660" s="102">
        <f>tbl_Companys!D1660</f>
        <v>0</v>
      </c>
      <c r="O1660" s="102">
        <f>tbl_Companys!C1660</f>
        <v>0</v>
      </c>
      <c r="P1660" s="102">
        <f t="shared" si="76"/>
        <v>0</v>
      </c>
      <c r="Q1660" s="102">
        <f>tbl_ConsultingCompanys!D1660</f>
        <v>0</v>
      </c>
      <c r="R1660" s="102">
        <f>tbl_ConsultingCompanys!C1660</f>
        <v>0</v>
      </c>
      <c r="S1660" s="102">
        <f t="shared" si="77"/>
        <v>0</v>
      </c>
    </row>
    <row r="1661" spans="11:19" x14ac:dyDescent="0.15">
      <c r="K1661" s="102">
        <f>tbl_ArchitectureOffices!D1661</f>
        <v>0</v>
      </c>
      <c r="L1661" s="102">
        <f>tbl_ArchitectureOffices!C1661</f>
        <v>0</v>
      </c>
      <c r="M1661" s="102">
        <f t="shared" si="78"/>
        <v>0</v>
      </c>
      <c r="N1661" s="102">
        <f>tbl_Companys!D1661</f>
        <v>0</v>
      </c>
      <c r="O1661" s="102">
        <f>tbl_Companys!C1661</f>
        <v>0</v>
      </c>
      <c r="P1661" s="102">
        <f t="shared" si="76"/>
        <v>0</v>
      </c>
      <c r="Q1661" s="102">
        <f>tbl_ConsultingCompanys!D1661</f>
        <v>0</v>
      </c>
      <c r="R1661" s="102">
        <f>tbl_ConsultingCompanys!C1661</f>
        <v>0</v>
      </c>
      <c r="S1661" s="102">
        <f t="shared" si="77"/>
        <v>0</v>
      </c>
    </row>
    <row r="1662" spans="11:19" x14ac:dyDescent="0.15">
      <c r="K1662" s="102">
        <f>tbl_ArchitectureOffices!D1662</f>
        <v>0</v>
      </c>
      <c r="L1662" s="102">
        <f>tbl_ArchitectureOffices!C1662</f>
        <v>0</v>
      </c>
      <c r="M1662" s="102">
        <f t="shared" si="78"/>
        <v>0</v>
      </c>
      <c r="N1662" s="102">
        <f>tbl_Companys!D1662</f>
        <v>0</v>
      </c>
      <c r="O1662" s="102">
        <f>tbl_Companys!C1662</f>
        <v>0</v>
      </c>
      <c r="P1662" s="102">
        <f t="shared" si="76"/>
        <v>0</v>
      </c>
      <c r="Q1662" s="102">
        <f>tbl_ConsultingCompanys!D1662</f>
        <v>0</v>
      </c>
      <c r="R1662" s="102">
        <f>tbl_ConsultingCompanys!C1662</f>
        <v>0</v>
      </c>
      <c r="S1662" s="102">
        <f t="shared" si="77"/>
        <v>0</v>
      </c>
    </row>
    <row r="1663" spans="11:19" x14ac:dyDescent="0.15">
      <c r="K1663" s="102">
        <f>tbl_ArchitectureOffices!D1663</f>
        <v>0</v>
      </c>
      <c r="L1663" s="102">
        <f>tbl_ArchitectureOffices!C1663</f>
        <v>0</v>
      </c>
      <c r="M1663" s="102">
        <f t="shared" si="78"/>
        <v>0</v>
      </c>
      <c r="N1663" s="102">
        <f>tbl_Companys!D1663</f>
        <v>0</v>
      </c>
      <c r="O1663" s="102">
        <f>tbl_Companys!C1663</f>
        <v>0</v>
      </c>
      <c r="P1663" s="102">
        <f t="shared" si="76"/>
        <v>0</v>
      </c>
      <c r="Q1663" s="102">
        <f>tbl_ConsultingCompanys!D1663</f>
        <v>0</v>
      </c>
      <c r="R1663" s="102">
        <f>tbl_ConsultingCompanys!C1663</f>
        <v>0</v>
      </c>
      <c r="S1663" s="102">
        <f t="shared" si="77"/>
        <v>0</v>
      </c>
    </row>
    <row r="1664" spans="11:19" x14ac:dyDescent="0.15">
      <c r="K1664" s="102">
        <f>tbl_ArchitectureOffices!D1664</f>
        <v>0</v>
      </c>
      <c r="L1664" s="102">
        <f>tbl_ArchitectureOffices!C1664</f>
        <v>0</v>
      </c>
      <c r="M1664" s="102">
        <f t="shared" si="78"/>
        <v>0</v>
      </c>
      <c r="N1664" s="102">
        <f>tbl_Companys!D1664</f>
        <v>0</v>
      </c>
      <c r="O1664" s="102">
        <f>tbl_Companys!C1664</f>
        <v>0</v>
      </c>
      <c r="P1664" s="102">
        <f t="shared" si="76"/>
        <v>0</v>
      </c>
      <c r="Q1664" s="102">
        <f>tbl_ConsultingCompanys!D1664</f>
        <v>0</v>
      </c>
      <c r="R1664" s="102">
        <f>tbl_ConsultingCompanys!C1664</f>
        <v>0</v>
      </c>
      <c r="S1664" s="102">
        <f t="shared" si="77"/>
        <v>0</v>
      </c>
    </row>
    <row r="1665" spans="11:19" x14ac:dyDescent="0.15">
      <c r="K1665" s="102">
        <f>tbl_ArchitectureOffices!D1665</f>
        <v>0</v>
      </c>
      <c r="L1665" s="102">
        <f>tbl_ArchitectureOffices!C1665</f>
        <v>0</v>
      </c>
      <c r="M1665" s="102">
        <f t="shared" si="78"/>
        <v>0</v>
      </c>
      <c r="N1665" s="102">
        <f>tbl_Companys!D1665</f>
        <v>0</v>
      </c>
      <c r="O1665" s="102">
        <f>tbl_Companys!C1665</f>
        <v>0</v>
      </c>
      <c r="P1665" s="102">
        <f t="shared" si="76"/>
        <v>0</v>
      </c>
      <c r="Q1665" s="102">
        <f>tbl_ConsultingCompanys!D1665</f>
        <v>0</v>
      </c>
      <c r="R1665" s="102">
        <f>tbl_ConsultingCompanys!C1665</f>
        <v>0</v>
      </c>
      <c r="S1665" s="102">
        <f t="shared" si="77"/>
        <v>0</v>
      </c>
    </row>
    <row r="1666" spans="11:19" x14ac:dyDescent="0.15">
      <c r="K1666" s="102">
        <f>tbl_ArchitectureOffices!D1666</f>
        <v>0</v>
      </c>
      <c r="L1666" s="102">
        <f>tbl_ArchitectureOffices!C1666</f>
        <v>0</v>
      </c>
      <c r="M1666" s="102">
        <f t="shared" si="78"/>
        <v>0</v>
      </c>
      <c r="N1666" s="102">
        <f>tbl_Companys!D1666</f>
        <v>0</v>
      </c>
      <c r="O1666" s="102">
        <f>tbl_Companys!C1666</f>
        <v>0</v>
      </c>
      <c r="P1666" s="102">
        <f t="shared" si="76"/>
        <v>0</v>
      </c>
      <c r="Q1666" s="102">
        <f>tbl_ConsultingCompanys!D1666</f>
        <v>0</v>
      </c>
      <c r="R1666" s="102">
        <f>tbl_ConsultingCompanys!C1666</f>
        <v>0</v>
      </c>
      <c r="S1666" s="102">
        <f t="shared" si="77"/>
        <v>0</v>
      </c>
    </row>
    <row r="1667" spans="11:19" x14ac:dyDescent="0.15">
      <c r="K1667" s="102">
        <f>tbl_ArchitectureOffices!D1667</f>
        <v>0</v>
      </c>
      <c r="L1667" s="102">
        <f>tbl_ArchitectureOffices!C1667</f>
        <v>0</v>
      </c>
      <c r="M1667" s="102">
        <f t="shared" si="78"/>
        <v>0</v>
      </c>
      <c r="N1667" s="102">
        <f>tbl_Companys!D1667</f>
        <v>0</v>
      </c>
      <c r="O1667" s="102">
        <f>tbl_Companys!C1667</f>
        <v>0</v>
      </c>
      <c r="P1667" s="102">
        <f t="shared" ref="P1667:P1730" si="79">IFERROR(REPLACE(N1667,FIND(" ",N1667,LEN(N1667)),1,""),N1667)</f>
        <v>0</v>
      </c>
      <c r="Q1667" s="102">
        <f>tbl_ConsultingCompanys!D1667</f>
        <v>0</v>
      </c>
      <c r="R1667" s="102">
        <f>tbl_ConsultingCompanys!C1667</f>
        <v>0</v>
      </c>
      <c r="S1667" s="102">
        <f t="shared" ref="S1667:S1730" si="80">IFERROR(REPLACE(Q1667,FIND(" ",Q1667,LEN(Q1667)),1,""),Q1667)</f>
        <v>0</v>
      </c>
    </row>
    <row r="1668" spans="11:19" x14ac:dyDescent="0.15">
      <c r="K1668" s="102">
        <f>tbl_ArchitectureOffices!D1668</f>
        <v>0</v>
      </c>
      <c r="L1668" s="102">
        <f>tbl_ArchitectureOffices!C1668</f>
        <v>0</v>
      </c>
      <c r="M1668" s="102">
        <f t="shared" si="78"/>
        <v>0</v>
      </c>
      <c r="N1668" s="102">
        <f>tbl_Companys!D1668</f>
        <v>0</v>
      </c>
      <c r="O1668" s="102">
        <f>tbl_Companys!C1668</f>
        <v>0</v>
      </c>
      <c r="P1668" s="102">
        <f t="shared" si="79"/>
        <v>0</v>
      </c>
      <c r="Q1668" s="102">
        <f>tbl_ConsultingCompanys!D1668</f>
        <v>0</v>
      </c>
      <c r="R1668" s="102">
        <f>tbl_ConsultingCompanys!C1668</f>
        <v>0</v>
      </c>
      <c r="S1668" s="102">
        <f t="shared" si="80"/>
        <v>0</v>
      </c>
    </row>
    <row r="1669" spans="11:19" x14ac:dyDescent="0.15">
      <c r="K1669" s="102">
        <f>tbl_ArchitectureOffices!D1669</f>
        <v>0</v>
      </c>
      <c r="L1669" s="102">
        <f>tbl_ArchitectureOffices!C1669</f>
        <v>0</v>
      </c>
      <c r="M1669" s="102">
        <f t="shared" si="78"/>
        <v>0</v>
      </c>
      <c r="N1669" s="102">
        <f>tbl_Companys!D1669</f>
        <v>0</v>
      </c>
      <c r="O1669" s="102">
        <f>tbl_Companys!C1669</f>
        <v>0</v>
      </c>
      <c r="P1669" s="102">
        <f t="shared" si="79"/>
        <v>0</v>
      </c>
      <c r="Q1669" s="102">
        <f>tbl_ConsultingCompanys!D1669</f>
        <v>0</v>
      </c>
      <c r="R1669" s="102">
        <f>tbl_ConsultingCompanys!C1669</f>
        <v>0</v>
      </c>
      <c r="S1669" s="102">
        <f t="shared" si="80"/>
        <v>0</v>
      </c>
    </row>
    <row r="1670" spans="11:19" x14ac:dyDescent="0.15">
      <c r="K1670" s="102">
        <f>tbl_ArchitectureOffices!D1670</f>
        <v>0</v>
      </c>
      <c r="L1670" s="102">
        <f>tbl_ArchitectureOffices!C1670</f>
        <v>0</v>
      </c>
      <c r="M1670" s="102">
        <f t="shared" si="78"/>
        <v>0</v>
      </c>
      <c r="N1670" s="102">
        <f>tbl_Companys!D1670</f>
        <v>0</v>
      </c>
      <c r="O1670" s="102">
        <f>tbl_Companys!C1670</f>
        <v>0</v>
      </c>
      <c r="P1670" s="102">
        <f t="shared" si="79"/>
        <v>0</v>
      </c>
      <c r="Q1670" s="102">
        <f>tbl_ConsultingCompanys!D1670</f>
        <v>0</v>
      </c>
      <c r="R1670" s="102">
        <f>tbl_ConsultingCompanys!C1670</f>
        <v>0</v>
      </c>
      <c r="S1670" s="102">
        <f t="shared" si="80"/>
        <v>0</v>
      </c>
    </row>
    <row r="1671" spans="11:19" x14ac:dyDescent="0.15">
      <c r="K1671" s="102">
        <f>tbl_ArchitectureOffices!D1671</f>
        <v>0</v>
      </c>
      <c r="L1671" s="102">
        <f>tbl_ArchitectureOffices!C1671</f>
        <v>0</v>
      </c>
      <c r="M1671" s="102">
        <f t="shared" si="78"/>
        <v>0</v>
      </c>
      <c r="N1671" s="102">
        <f>tbl_Companys!D1671</f>
        <v>0</v>
      </c>
      <c r="O1671" s="102">
        <f>tbl_Companys!C1671</f>
        <v>0</v>
      </c>
      <c r="P1671" s="102">
        <f t="shared" si="79"/>
        <v>0</v>
      </c>
      <c r="Q1671" s="102">
        <f>tbl_ConsultingCompanys!D1671</f>
        <v>0</v>
      </c>
      <c r="R1671" s="102">
        <f>tbl_ConsultingCompanys!C1671</f>
        <v>0</v>
      </c>
      <c r="S1671" s="102">
        <f t="shared" si="80"/>
        <v>0</v>
      </c>
    </row>
    <row r="1672" spans="11:19" x14ac:dyDescent="0.15">
      <c r="K1672" s="102">
        <f>tbl_ArchitectureOffices!D1672</f>
        <v>0</v>
      </c>
      <c r="L1672" s="102">
        <f>tbl_ArchitectureOffices!C1672</f>
        <v>0</v>
      </c>
      <c r="M1672" s="102">
        <f t="shared" si="78"/>
        <v>0</v>
      </c>
      <c r="N1672" s="102">
        <f>tbl_Companys!D1672</f>
        <v>0</v>
      </c>
      <c r="O1672" s="102">
        <f>tbl_Companys!C1672</f>
        <v>0</v>
      </c>
      <c r="P1672" s="102">
        <f t="shared" si="79"/>
        <v>0</v>
      </c>
      <c r="Q1672" s="102">
        <f>tbl_ConsultingCompanys!D1672</f>
        <v>0</v>
      </c>
      <c r="R1672" s="102">
        <f>tbl_ConsultingCompanys!C1672</f>
        <v>0</v>
      </c>
      <c r="S1672" s="102">
        <f t="shared" si="80"/>
        <v>0</v>
      </c>
    </row>
    <row r="1673" spans="11:19" x14ac:dyDescent="0.15">
      <c r="K1673" s="102">
        <f>tbl_ArchitectureOffices!D1673</f>
        <v>0</v>
      </c>
      <c r="L1673" s="102">
        <f>tbl_ArchitectureOffices!C1673</f>
        <v>0</v>
      </c>
      <c r="M1673" s="102">
        <f t="shared" si="78"/>
        <v>0</v>
      </c>
      <c r="N1673" s="102">
        <f>tbl_Companys!D1673</f>
        <v>0</v>
      </c>
      <c r="O1673" s="102">
        <f>tbl_Companys!C1673</f>
        <v>0</v>
      </c>
      <c r="P1673" s="102">
        <f t="shared" si="79"/>
        <v>0</v>
      </c>
      <c r="Q1673" s="102">
        <f>tbl_ConsultingCompanys!D1673</f>
        <v>0</v>
      </c>
      <c r="R1673" s="102">
        <f>tbl_ConsultingCompanys!C1673</f>
        <v>0</v>
      </c>
      <c r="S1673" s="102">
        <f t="shared" si="80"/>
        <v>0</v>
      </c>
    </row>
    <row r="1674" spans="11:19" x14ac:dyDescent="0.15">
      <c r="K1674" s="102">
        <f>tbl_ArchitectureOffices!D1674</f>
        <v>0</v>
      </c>
      <c r="L1674" s="102">
        <f>tbl_ArchitectureOffices!C1674</f>
        <v>0</v>
      </c>
      <c r="M1674" s="102">
        <f t="shared" si="78"/>
        <v>0</v>
      </c>
      <c r="N1674" s="102">
        <f>tbl_Companys!D1674</f>
        <v>0</v>
      </c>
      <c r="O1674" s="102">
        <f>tbl_Companys!C1674</f>
        <v>0</v>
      </c>
      <c r="P1674" s="102">
        <f t="shared" si="79"/>
        <v>0</v>
      </c>
      <c r="Q1674" s="102">
        <f>tbl_ConsultingCompanys!D1674</f>
        <v>0</v>
      </c>
      <c r="R1674" s="102">
        <f>tbl_ConsultingCompanys!C1674</f>
        <v>0</v>
      </c>
      <c r="S1674" s="102">
        <f t="shared" si="80"/>
        <v>0</v>
      </c>
    </row>
    <row r="1675" spans="11:19" x14ac:dyDescent="0.15">
      <c r="K1675" s="102">
        <f>tbl_ArchitectureOffices!D1675</f>
        <v>0</v>
      </c>
      <c r="L1675" s="102">
        <f>tbl_ArchitectureOffices!C1675</f>
        <v>0</v>
      </c>
      <c r="M1675" s="102">
        <f t="shared" si="78"/>
        <v>0</v>
      </c>
      <c r="N1675" s="102">
        <f>tbl_Companys!D1675</f>
        <v>0</v>
      </c>
      <c r="O1675" s="102">
        <f>tbl_Companys!C1675</f>
        <v>0</v>
      </c>
      <c r="P1675" s="102">
        <f t="shared" si="79"/>
        <v>0</v>
      </c>
      <c r="Q1675" s="102">
        <f>tbl_ConsultingCompanys!D1675</f>
        <v>0</v>
      </c>
      <c r="R1675" s="102">
        <f>tbl_ConsultingCompanys!C1675</f>
        <v>0</v>
      </c>
      <c r="S1675" s="102">
        <f t="shared" si="80"/>
        <v>0</v>
      </c>
    </row>
    <row r="1676" spans="11:19" x14ac:dyDescent="0.15">
      <c r="K1676" s="102">
        <f>tbl_ArchitectureOffices!D1676</f>
        <v>0</v>
      </c>
      <c r="L1676" s="102">
        <f>tbl_ArchitectureOffices!C1676</f>
        <v>0</v>
      </c>
      <c r="M1676" s="102">
        <f t="shared" si="78"/>
        <v>0</v>
      </c>
      <c r="N1676" s="102">
        <f>tbl_Companys!D1676</f>
        <v>0</v>
      </c>
      <c r="O1676" s="102">
        <f>tbl_Companys!C1676</f>
        <v>0</v>
      </c>
      <c r="P1676" s="102">
        <f t="shared" si="79"/>
        <v>0</v>
      </c>
      <c r="Q1676" s="102">
        <f>tbl_ConsultingCompanys!D1676</f>
        <v>0</v>
      </c>
      <c r="R1676" s="102">
        <f>tbl_ConsultingCompanys!C1676</f>
        <v>0</v>
      </c>
      <c r="S1676" s="102">
        <f t="shared" si="80"/>
        <v>0</v>
      </c>
    </row>
    <row r="1677" spans="11:19" x14ac:dyDescent="0.15">
      <c r="K1677" s="102">
        <f>tbl_ArchitectureOffices!D1677</f>
        <v>0</v>
      </c>
      <c r="L1677" s="102">
        <f>tbl_ArchitectureOffices!C1677</f>
        <v>0</v>
      </c>
      <c r="M1677" s="102">
        <f t="shared" si="78"/>
        <v>0</v>
      </c>
      <c r="N1677" s="102">
        <f>tbl_Companys!D1677</f>
        <v>0</v>
      </c>
      <c r="O1677" s="102">
        <f>tbl_Companys!C1677</f>
        <v>0</v>
      </c>
      <c r="P1677" s="102">
        <f t="shared" si="79"/>
        <v>0</v>
      </c>
      <c r="Q1677" s="102">
        <f>tbl_ConsultingCompanys!D1677</f>
        <v>0</v>
      </c>
      <c r="R1677" s="102">
        <f>tbl_ConsultingCompanys!C1677</f>
        <v>0</v>
      </c>
      <c r="S1677" s="102">
        <f t="shared" si="80"/>
        <v>0</v>
      </c>
    </row>
    <row r="1678" spans="11:19" x14ac:dyDescent="0.15">
      <c r="K1678" s="102">
        <f>tbl_ArchitectureOffices!D1678</f>
        <v>0</v>
      </c>
      <c r="L1678" s="102">
        <f>tbl_ArchitectureOffices!C1678</f>
        <v>0</v>
      </c>
      <c r="M1678" s="102">
        <f t="shared" si="78"/>
        <v>0</v>
      </c>
      <c r="N1678" s="102">
        <f>tbl_Companys!D1678</f>
        <v>0</v>
      </c>
      <c r="O1678" s="102">
        <f>tbl_Companys!C1678</f>
        <v>0</v>
      </c>
      <c r="P1678" s="102">
        <f t="shared" si="79"/>
        <v>0</v>
      </c>
      <c r="Q1678" s="102">
        <f>tbl_ConsultingCompanys!D1678</f>
        <v>0</v>
      </c>
      <c r="R1678" s="102">
        <f>tbl_ConsultingCompanys!C1678</f>
        <v>0</v>
      </c>
      <c r="S1678" s="102">
        <f t="shared" si="80"/>
        <v>0</v>
      </c>
    </row>
    <row r="1679" spans="11:19" x14ac:dyDescent="0.15">
      <c r="K1679" s="102">
        <f>tbl_ArchitectureOffices!D1679</f>
        <v>0</v>
      </c>
      <c r="L1679" s="102">
        <f>tbl_ArchitectureOffices!C1679</f>
        <v>0</v>
      </c>
      <c r="M1679" s="102">
        <f t="shared" si="78"/>
        <v>0</v>
      </c>
      <c r="N1679" s="102">
        <f>tbl_Companys!D1679</f>
        <v>0</v>
      </c>
      <c r="O1679" s="102">
        <f>tbl_Companys!C1679</f>
        <v>0</v>
      </c>
      <c r="P1679" s="102">
        <f t="shared" si="79"/>
        <v>0</v>
      </c>
      <c r="Q1679" s="102">
        <f>tbl_ConsultingCompanys!D1679</f>
        <v>0</v>
      </c>
      <c r="R1679" s="102">
        <f>tbl_ConsultingCompanys!C1679</f>
        <v>0</v>
      </c>
      <c r="S1679" s="102">
        <f t="shared" si="80"/>
        <v>0</v>
      </c>
    </row>
    <row r="1680" spans="11:19" x14ac:dyDescent="0.15">
      <c r="K1680" s="102">
        <f>tbl_ArchitectureOffices!D1680</f>
        <v>0</v>
      </c>
      <c r="L1680" s="102">
        <f>tbl_ArchitectureOffices!C1680</f>
        <v>0</v>
      </c>
      <c r="M1680" s="102">
        <f t="shared" si="78"/>
        <v>0</v>
      </c>
      <c r="N1680" s="102">
        <f>tbl_Companys!D1680</f>
        <v>0</v>
      </c>
      <c r="O1680" s="102">
        <f>tbl_Companys!C1680</f>
        <v>0</v>
      </c>
      <c r="P1680" s="102">
        <f t="shared" si="79"/>
        <v>0</v>
      </c>
      <c r="Q1680" s="102">
        <f>tbl_ConsultingCompanys!D1680</f>
        <v>0</v>
      </c>
      <c r="R1680" s="102">
        <f>tbl_ConsultingCompanys!C1680</f>
        <v>0</v>
      </c>
      <c r="S1680" s="102">
        <f t="shared" si="80"/>
        <v>0</v>
      </c>
    </row>
    <row r="1681" spans="11:19" x14ac:dyDescent="0.15">
      <c r="K1681" s="102">
        <f>tbl_ArchitectureOffices!D1681</f>
        <v>0</v>
      </c>
      <c r="L1681" s="102">
        <f>tbl_ArchitectureOffices!C1681</f>
        <v>0</v>
      </c>
      <c r="M1681" s="102">
        <f t="shared" si="78"/>
        <v>0</v>
      </c>
      <c r="N1681" s="102">
        <f>tbl_Companys!D1681</f>
        <v>0</v>
      </c>
      <c r="O1681" s="102">
        <f>tbl_Companys!C1681</f>
        <v>0</v>
      </c>
      <c r="P1681" s="102">
        <f t="shared" si="79"/>
        <v>0</v>
      </c>
      <c r="Q1681" s="102">
        <f>tbl_ConsultingCompanys!D1681</f>
        <v>0</v>
      </c>
      <c r="R1681" s="102">
        <f>tbl_ConsultingCompanys!C1681</f>
        <v>0</v>
      </c>
      <c r="S1681" s="102">
        <f t="shared" si="80"/>
        <v>0</v>
      </c>
    </row>
    <row r="1682" spans="11:19" x14ac:dyDescent="0.15">
      <c r="K1682" s="102">
        <f>tbl_ArchitectureOffices!D1682</f>
        <v>0</v>
      </c>
      <c r="L1682" s="102">
        <f>tbl_ArchitectureOffices!C1682</f>
        <v>0</v>
      </c>
      <c r="M1682" s="102">
        <f t="shared" si="78"/>
        <v>0</v>
      </c>
      <c r="N1682" s="102">
        <f>tbl_Companys!D1682</f>
        <v>0</v>
      </c>
      <c r="O1682" s="102">
        <f>tbl_Companys!C1682</f>
        <v>0</v>
      </c>
      <c r="P1682" s="102">
        <f t="shared" si="79"/>
        <v>0</v>
      </c>
      <c r="Q1682" s="102">
        <f>tbl_ConsultingCompanys!D1682</f>
        <v>0</v>
      </c>
      <c r="R1682" s="102">
        <f>tbl_ConsultingCompanys!C1682</f>
        <v>0</v>
      </c>
      <c r="S1682" s="102">
        <f t="shared" si="80"/>
        <v>0</v>
      </c>
    </row>
    <row r="1683" spans="11:19" x14ac:dyDescent="0.15">
      <c r="K1683" s="102">
        <f>tbl_ArchitectureOffices!D1683</f>
        <v>0</v>
      </c>
      <c r="L1683" s="102">
        <f>tbl_ArchitectureOffices!C1683</f>
        <v>0</v>
      </c>
      <c r="M1683" s="102">
        <f t="shared" si="78"/>
        <v>0</v>
      </c>
      <c r="N1683" s="102">
        <f>tbl_Companys!D1683</f>
        <v>0</v>
      </c>
      <c r="O1683" s="102">
        <f>tbl_Companys!C1683</f>
        <v>0</v>
      </c>
      <c r="P1683" s="102">
        <f t="shared" si="79"/>
        <v>0</v>
      </c>
      <c r="Q1683" s="102">
        <f>tbl_ConsultingCompanys!D1683</f>
        <v>0</v>
      </c>
      <c r="R1683" s="102">
        <f>tbl_ConsultingCompanys!C1683</f>
        <v>0</v>
      </c>
      <c r="S1683" s="102">
        <f t="shared" si="80"/>
        <v>0</v>
      </c>
    </row>
    <row r="1684" spans="11:19" x14ac:dyDescent="0.15">
      <c r="K1684" s="102">
        <f>tbl_ArchitectureOffices!D1684</f>
        <v>0</v>
      </c>
      <c r="L1684" s="102">
        <f>tbl_ArchitectureOffices!C1684</f>
        <v>0</v>
      </c>
      <c r="M1684" s="102">
        <f t="shared" si="78"/>
        <v>0</v>
      </c>
      <c r="N1684" s="102">
        <f>tbl_Companys!D1684</f>
        <v>0</v>
      </c>
      <c r="O1684" s="102">
        <f>tbl_Companys!C1684</f>
        <v>0</v>
      </c>
      <c r="P1684" s="102">
        <f t="shared" si="79"/>
        <v>0</v>
      </c>
      <c r="Q1684" s="102">
        <f>tbl_ConsultingCompanys!D1684</f>
        <v>0</v>
      </c>
      <c r="R1684" s="102">
        <f>tbl_ConsultingCompanys!C1684</f>
        <v>0</v>
      </c>
      <c r="S1684" s="102">
        <f t="shared" si="80"/>
        <v>0</v>
      </c>
    </row>
    <row r="1685" spans="11:19" x14ac:dyDescent="0.15">
      <c r="K1685" s="102">
        <f>tbl_ArchitectureOffices!D1685</f>
        <v>0</v>
      </c>
      <c r="L1685" s="102">
        <f>tbl_ArchitectureOffices!C1685</f>
        <v>0</v>
      </c>
      <c r="M1685" s="102">
        <f t="shared" si="78"/>
        <v>0</v>
      </c>
      <c r="N1685" s="102">
        <f>tbl_Companys!D1685</f>
        <v>0</v>
      </c>
      <c r="O1685" s="102">
        <f>tbl_Companys!C1685</f>
        <v>0</v>
      </c>
      <c r="P1685" s="102">
        <f t="shared" si="79"/>
        <v>0</v>
      </c>
      <c r="Q1685" s="102">
        <f>tbl_ConsultingCompanys!D1685</f>
        <v>0</v>
      </c>
      <c r="R1685" s="102">
        <f>tbl_ConsultingCompanys!C1685</f>
        <v>0</v>
      </c>
      <c r="S1685" s="102">
        <f t="shared" si="80"/>
        <v>0</v>
      </c>
    </row>
    <row r="1686" spans="11:19" x14ac:dyDescent="0.15">
      <c r="K1686" s="102">
        <f>tbl_ArchitectureOffices!D1686</f>
        <v>0</v>
      </c>
      <c r="L1686" s="102">
        <f>tbl_ArchitectureOffices!C1686</f>
        <v>0</v>
      </c>
      <c r="M1686" s="102">
        <f t="shared" si="78"/>
        <v>0</v>
      </c>
      <c r="N1686" s="102">
        <f>tbl_Companys!D1686</f>
        <v>0</v>
      </c>
      <c r="O1686" s="102">
        <f>tbl_Companys!C1686</f>
        <v>0</v>
      </c>
      <c r="P1686" s="102">
        <f t="shared" si="79"/>
        <v>0</v>
      </c>
      <c r="Q1686" s="102">
        <f>tbl_ConsultingCompanys!D1686</f>
        <v>0</v>
      </c>
      <c r="R1686" s="102">
        <f>tbl_ConsultingCompanys!C1686</f>
        <v>0</v>
      </c>
      <c r="S1686" s="102">
        <f t="shared" si="80"/>
        <v>0</v>
      </c>
    </row>
    <row r="1687" spans="11:19" x14ac:dyDescent="0.15">
      <c r="K1687" s="102">
        <f>tbl_ArchitectureOffices!D1687</f>
        <v>0</v>
      </c>
      <c r="L1687" s="102">
        <f>tbl_ArchitectureOffices!C1687</f>
        <v>0</v>
      </c>
      <c r="M1687" s="102">
        <f t="shared" si="78"/>
        <v>0</v>
      </c>
      <c r="N1687" s="102">
        <f>tbl_Companys!D1687</f>
        <v>0</v>
      </c>
      <c r="O1687" s="102">
        <f>tbl_Companys!C1687</f>
        <v>0</v>
      </c>
      <c r="P1687" s="102">
        <f t="shared" si="79"/>
        <v>0</v>
      </c>
      <c r="Q1687" s="102">
        <f>tbl_ConsultingCompanys!D1687</f>
        <v>0</v>
      </c>
      <c r="R1687" s="102">
        <f>tbl_ConsultingCompanys!C1687</f>
        <v>0</v>
      </c>
      <c r="S1687" s="102">
        <f t="shared" si="80"/>
        <v>0</v>
      </c>
    </row>
    <row r="1688" spans="11:19" x14ac:dyDescent="0.15">
      <c r="K1688" s="102">
        <f>tbl_ArchitectureOffices!D1688</f>
        <v>0</v>
      </c>
      <c r="L1688" s="102">
        <f>tbl_ArchitectureOffices!C1688</f>
        <v>0</v>
      </c>
      <c r="M1688" s="102">
        <f t="shared" si="78"/>
        <v>0</v>
      </c>
      <c r="N1688" s="102">
        <f>tbl_Companys!D1688</f>
        <v>0</v>
      </c>
      <c r="O1688" s="102">
        <f>tbl_Companys!C1688</f>
        <v>0</v>
      </c>
      <c r="P1688" s="102">
        <f t="shared" si="79"/>
        <v>0</v>
      </c>
      <c r="Q1688" s="102">
        <f>tbl_ConsultingCompanys!D1688</f>
        <v>0</v>
      </c>
      <c r="R1688" s="102">
        <f>tbl_ConsultingCompanys!C1688</f>
        <v>0</v>
      </c>
      <c r="S1688" s="102">
        <f t="shared" si="80"/>
        <v>0</v>
      </c>
    </row>
    <row r="1689" spans="11:19" x14ac:dyDescent="0.15">
      <c r="K1689" s="102">
        <f>tbl_ArchitectureOffices!D1689</f>
        <v>0</v>
      </c>
      <c r="L1689" s="102">
        <f>tbl_ArchitectureOffices!C1689</f>
        <v>0</v>
      </c>
      <c r="M1689" s="102">
        <f t="shared" si="78"/>
        <v>0</v>
      </c>
      <c r="N1689" s="102">
        <f>tbl_Companys!D1689</f>
        <v>0</v>
      </c>
      <c r="O1689" s="102">
        <f>tbl_Companys!C1689</f>
        <v>0</v>
      </c>
      <c r="P1689" s="102">
        <f t="shared" si="79"/>
        <v>0</v>
      </c>
      <c r="Q1689" s="102">
        <f>tbl_ConsultingCompanys!D1689</f>
        <v>0</v>
      </c>
      <c r="R1689" s="102">
        <f>tbl_ConsultingCompanys!C1689</f>
        <v>0</v>
      </c>
      <c r="S1689" s="102">
        <f t="shared" si="80"/>
        <v>0</v>
      </c>
    </row>
    <row r="1690" spans="11:19" x14ac:dyDescent="0.15">
      <c r="K1690" s="102">
        <f>tbl_ArchitectureOffices!D1690</f>
        <v>0</v>
      </c>
      <c r="L1690" s="102">
        <f>tbl_ArchitectureOffices!C1690</f>
        <v>0</v>
      </c>
      <c r="M1690" s="102">
        <f t="shared" si="78"/>
        <v>0</v>
      </c>
      <c r="N1690" s="102">
        <f>tbl_Companys!D1690</f>
        <v>0</v>
      </c>
      <c r="O1690" s="102">
        <f>tbl_Companys!C1690</f>
        <v>0</v>
      </c>
      <c r="P1690" s="102">
        <f t="shared" si="79"/>
        <v>0</v>
      </c>
      <c r="Q1690" s="102">
        <f>tbl_ConsultingCompanys!D1690</f>
        <v>0</v>
      </c>
      <c r="R1690" s="102">
        <f>tbl_ConsultingCompanys!C1690</f>
        <v>0</v>
      </c>
      <c r="S1690" s="102">
        <f t="shared" si="80"/>
        <v>0</v>
      </c>
    </row>
    <row r="1691" spans="11:19" x14ac:dyDescent="0.15">
      <c r="K1691" s="102">
        <f>tbl_ArchitectureOffices!D1691</f>
        <v>0</v>
      </c>
      <c r="L1691" s="102">
        <f>tbl_ArchitectureOffices!C1691</f>
        <v>0</v>
      </c>
      <c r="M1691" s="102">
        <f t="shared" si="78"/>
        <v>0</v>
      </c>
      <c r="N1691" s="102">
        <f>tbl_Companys!D1691</f>
        <v>0</v>
      </c>
      <c r="O1691" s="102">
        <f>tbl_Companys!C1691</f>
        <v>0</v>
      </c>
      <c r="P1691" s="102">
        <f t="shared" si="79"/>
        <v>0</v>
      </c>
      <c r="Q1691" s="102">
        <f>tbl_ConsultingCompanys!D1691</f>
        <v>0</v>
      </c>
      <c r="R1691" s="102">
        <f>tbl_ConsultingCompanys!C1691</f>
        <v>0</v>
      </c>
      <c r="S1691" s="102">
        <f t="shared" si="80"/>
        <v>0</v>
      </c>
    </row>
    <row r="1692" spans="11:19" x14ac:dyDescent="0.15">
      <c r="K1692" s="102">
        <f>tbl_ArchitectureOffices!D1692</f>
        <v>0</v>
      </c>
      <c r="L1692" s="102">
        <f>tbl_ArchitectureOffices!C1692</f>
        <v>0</v>
      </c>
      <c r="M1692" s="102">
        <f t="shared" si="78"/>
        <v>0</v>
      </c>
      <c r="N1692" s="102">
        <f>tbl_Companys!D1692</f>
        <v>0</v>
      </c>
      <c r="O1692" s="102">
        <f>tbl_Companys!C1692</f>
        <v>0</v>
      </c>
      <c r="P1692" s="102">
        <f t="shared" si="79"/>
        <v>0</v>
      </c>
      <c r="Q1692" s="102">
        <f>tbl_ConsultingCompanys!D1692</f>
        <v>0</v>
      </c>
      <c r="R1692" s="102">
        <f>tbl_ConsultingCompanys!C1692</f>
        <v>0</v>
      </c>
      <c r="S1692" s="102">
        <f t="shared" si="80"/>
        <v>0</v>
      </c>
    </row>
    <row r="1693" spans="11:19" x14ac:dyDescent="0.15">
      <c r="K1693" s="102">
        <f>tbl_ArchitectureOffices!D1693</f>
        <v>0</v>
      </c>
      <c r="L1693" s="102">
        <f>tbl_ArchitectureOffices!C1693</f>
        <v>0</v>
      </c>
      <c r="M1693" s="102">
        <f t="shared" si="78"/>
        <v>0</v>
      </c>
      <c r="N1693" s="102">
        <f>tbl_Companys!D1693</f>
        <v>0</v>
      </c>
      <c r="O1693" s="102">
        <f>tbl_Companys!C1693</f>
        <v>0</v>
      </c>
      <c r="P1693" s="102">
        <f t="shared" si="79"/>
        <v>0</v>
      </c>
      <c r="Q1693" s="102">
        <f>tbl_ConsultingCompanys!D1693</f>
        <v>0</v>
      </c>
      <c r="R1693" s="102">
        <f>tbl_ConsultingCompanys!C1693</f>
        <v>0</v>
      </c>
      <c r="S1693" s="102">
        <f t="shared" si="80"/>
        <v>0</v>
      </c>
    </row>
    <row r="1694" spans="11:19" x14ac:dyDescent="0.15">
      <c r="K1694" s="102">
        <f>tbl_ArchitectureOffices!D1694</f>
        <v>0</v>
      </c>
      <c r="L1694" s="102">
        <f>tbl_ArchitectureOffices!C1694</f>
        <v>0</v>
      </c>
      <c r="M1694" s="102">
        <f t="shared" si="78"/>
        <v>0</v>
      </c>
      <c r="N1694" s="102">
        <f>tbl_Companys!D1694</f>
        <v>0</v>
      </c>
      <c r="O1694" s="102">
        <f>tbl_Companys!C1694</f>
        <v>0</v>
      </c>
      <c r="P1694" s="102">
        <f t="shared" si="79"/>
        <v>0</v>
      </c>
      <c r="Q1694" s="102">
        <f>tbl_ConsultingCompanys!D1694</f>
        <v>0</v>
      </c>
      <c r="R1694" s="102">
        <f>tbl_ConsultingCompanys!C1694</f>
        <v>0</v>
      </c>
      <c r="S1694" s="102">
        <f t="shared" si="80"/>
        <v>0</v>
      </c>
    </row>
    <row r="1695" spans="11:19" x14ac:dyDescent="0.15">
      <c r="K1695" s="102">
        <f>tbl_ArchitectureOffices!D1695</f>
        <v>0</v>
      </c>
      <c r="L1695" s="102">
        <f>tbl_ArchitectureOffices!C1695</f>
        <v>0</v>
      </c>
      <c r="M1695" s="102">
        <f t="shared" si="78"/>
        <v>0</v>
      </c>
      <c r="N1695" s="102">
        <f>tbl_Companys!D1695</f>
        <v>0</v>
      </c>
      <c r="O1695" s="102">
        <f>tbl_Companys!C1695</f>
        <v>0</v>
      </c>
      <c r="P1695" s="102">
        <f t="shared" si="79"/>
        <v>0</v>
      </c>
      <c r="Q1695" s="102">
        <f>tbl_ConsultingCompanys!D1695</f>
        <v>0</v>
      </c>
      <c r="R1695" s="102">
        <f>tbl_ConsultingCompanys!C1695</f>
        <v>0</v>
      </c>
      <c r="S1695" s="102">
        <f t="shared" si="80"/>
        <v>0</v>
      </c>
    </row>
    <row r="1696" spans="11:19" x14ac:dyDescent="0.15">
      <c r="K1696" s="102">
        <f>tbl_ArchitectureOffices!D1696</f>
        <v>0</v>
      </c>
      <c r="L1696" s="102">
        <f>tbl_ArchitectureOffices!C1696</f>
        <v>0</v>
      </c>
      <c r="M1696" s="102">
        <f t="shared" si="78"/>
        <v>0</v>
      </c>
      <c r="N1696" s="102">
        <f>tbl_Companys!D1696</f>
        <v>0</v>
      </c>
      <c r="O1696" s="102">
        <f>tbl_Companys!C1696</f>
        <v>0</v>
      </c>
      <c r="P1696" s="102">
        <f t="shared" si="79"/>
        <v>0</v>
      </c>
      <c r="Q1696" s="102">
        <f>tbl_ConsultingCompanys!D1696</f>
        <v>0</v>
      </c>
      <c r="R1696" s="102">
        <f>tbl_ConsultingCompanys!C1696</f>
        <v>0</v>
      </c>
      <c r="S1696" s="102">
        <f t="shared" si="80"/>
        <v>0</v>
      </c>
    </row>
    <row r="1697" spans="11:19" x14ac:dyDescent="0.15">
      <c r="K1697" s="102">
        <f>tbl_ArchitectureOffices!D1697</f>
        <v>0</v>
      </c>
      <c r="L1697" s="102">
        <f>tbl_ArchitectureOffices!C1697</f>
        <v>0</v>
      </c>
      <c r="M1697" s="102">
        <f t="shared" si="78"/>
        <v>0</v>
      </c>
      <c r="N1697" s="102">
        <f>tbl_Companys!D1697</f>
        <v>0</v>
      </c>
      <c r="O1697" s="102">
        <f>tbl_Companys!C1697</f>
        <v>0</v>
      </c>
      <c r="P1697" s="102">
        <f t="shared" si="79"/>
        <v>0</v>
      </c>
      <c r="Q1697" s="102">
        <f>tbl_ConsultingCompanys!D1697</f>
        <v>0</v>
      </c>
      <c r="R1697" s="102">
        <f>tbl_ConsultingCompanys!C1697</f>
        <v>0</v>
      </c>
      <c r="S1697" s="102">
        <f t="shared" si="80"/>
        <v>0</v>
      </c>
    </row>
    <row r="1698" spans="11:19" x14ac:dyDescent="0.15">
      <c r="K1698" s="102">
        <f>tbl_ArchitectureOffices!D1698</f>
        <v>0</v>
      </c>
      <c r="L1698" s="102">
        <f>tbl_ArchitectureOffices!C1698</f>
        <v>0</v>
      </c>
      <c r="M1698" s="102">
        <f t="shared" si="78"/>
        <v>0</v>
      </c>
      <c r="N1698" s="102">
        <f>tbl_Companys!D1698</f>
        <v>0</v>
      </c>
      <c r="O1698" s="102">
        <f>tbl_Companys!C1698</f>
        <v>0</v>
      </c>
      <c r="P1698" s="102">
        <f t="shared" si="79"/>
        <v>0</v>
      </c>
      <c r="Q1698" s="102">
        <f>tbl_ConsultingCompanys!D1698</f>
        <v>0</v>
      </c>
      <c r="R1698" s="102">
        <f>tbl_ConsultingCompanys!C1698</f>
        <v>0</v>
      </c>
      <c r="S1698" s="102">
        <f t="shared" si="80"/>
        <v>0</v>
      </c>
    </row>
    <row r="1699" spans="11:19" x14ac:dyDescent="0.15">
      <c r="K1699" s="102">
        <f>tbl_ArchitectureOffices!D1699</f>
        <v>0</v>
      </c>
      <c r="L1699" s="102">
        <f>tbl_ArchitectureOffices!C1699</f>
        <v>0</v>
      </c>
      <c r="M1699" s="102">
        <f t="shared" si="78"/>
        <v>0</v>
      </c>
      <c r="N1699" s="102">
        <f>tbl_Companys!D1699</f>
        <v>0</v>
      </c>
      <c r="O1699" s="102">
        <f>tbl_Companys!C1699</f>
        <v>0</v>
      </c>
      <c r="P1699" s="102">
        <f t="shared" si="79"/>
        <v>0</v>
      </c>
      <c r="Q1699" s="102">
        <f>tbl_ConsultingCompanys!D1699</f>
        <v>0</v>
      </c>
      <c r="R1699" s="102">
        <f>tbl_ConsultingCompanys!C1699</f>
        <v>0</v>
      </c>
      <c r="S1699" s="102">
        <f t="shared" si="80"/>
        <v>0</v>
      </c>
    </row>
    <row r="1700" spans="11:19" x14ac:dyDescent="0.15">
      <c r="K1700" s="102">
        <f>tbl_ArchitectureOffices!D1700</f>
        <v>0</v>
      </c>
      <c r="L1700" s="102">
        <f>tbl_ArchitectureOffices!C1700</f>
        <v>0</v>
      </c>
      <c r="M1700" s="102">
        <f t="shared" si="78"/>
        <v>0</v>
      </c>
      <c r="N1700" s="102">
        <f>tbl_Companys!D1700</f>
        <v>0</v>
      </c>
      <c r="O1700" s="102">
        <f>tbl_Companys!C1700</f>
        <v>0</v>
      </c>
      <c r="P1700" s="102">
        <f t="shared" si="79"/>
        <v>0</v>
      </c>
      <c r="Q1700" s="102">
        <f>tbl_ConsultingCompanys!D1700</f>
        <v>0</v>
      </c>
      <c r="R1700" s="102">
        <f>tbl_ConsultingCompanys!C1700</f>
        <v>0</v>
      </c>
      <c r="S1700" s="102">
        <f t="shared" si="80"/>
        <v>0</v>
      </c>
    </row>
    <row r="1701" spans="11:19" x14ac:dyDescent="0.15">
      <c r="K1701" s="102">
        <f>tbl_ArchitectureOffices!D1701</f>
        <v>0</v>
      </c>
      <c r="L1701" s="102">
        <f>tbl_ArchitectureOffices!C1701</f>
        <v>0</v>
      </c>
      <c r="M1701" s="102">
        <f t="shared" si="78"/>
        <v>0</v>
      </c>
      <c r="N1701" s="102">
        <f>tbl_Companys!D1701</f>
        <v>0</v>
      </c>
      <c r="O1701" s="102">
        <f>tbl_Companys!C1701</f>
        <v>0</v>
      </c>
      <c r="P1701" s="102">
        <f t="shared" si="79"/>
        <v>0</v>
      </c>
      <c r="Q1701" s="102">
        <f>tbl_ConsultingCompanys!D1701</f>
        <v>0</v>
      </c>
      <c r="R1701" s="102">
        <f>tbl_ConsultingCompanys!C1701</f>
        <v>0</v>
      </c>
      <c r="S1701" s="102">
        <f t="shared" si="80"/>
        <v>0</v>
      </c>
    </row>
    <row r="1702" spans="11:19" x14ac:dyDescent="0.15">
      <c r="K1702" s="102">
        <f>tbl_ArchitectureOffices!D1702</f>
        <v>0</v>
      </c>
      <c r="L1702" s="102">
        <f>tbl_ArchitectureOffices!C1702</f>
        <v>0</v>
      </c>
      <c r="M1702" s="102">
        <f t="shared" si="78"/>
        <v>0</v>
      </c>
      <c r="N1702" s="102">
        <f>tbl_Companys!D1702</f>
        <v>0</v>
      </c>
      <c r="O1702" s="102">
        <f>tbl_Companys!C1702</f>
        <v>0</v>
      </c>
      <c r="P1702" s="102">
        <f t="shared" si="79"/>
        <v>0</v>
      </c>
      <c r="Q1702" s="102">
        <f>tbl_ConsultingCompanys!D1702</f>
        <v>0</v>
      </c>
      <c r="R1702" s="102">
        <f>tbl_ConsultingCompanys!C1702</f>
        <v>0</v>
      </c>
      <c r="S1702" s="102">
        <f t="shared" si="80"/>
        <v>0</v>
      </c>
    </row>
    <row r="1703" spans="11:19" x14ac:dyDescent="0.15">
      <c r="K1703" s="102">
        <f>tbl_ArchitectureOffices!D1703</f>
        <v>0</v>
      </c>
      <c r="L1703" s="102">
        <f>tbl_ArchitectureOffices!C1703</f>
        <v>0</v>
      </c>
      <c r="M1703" s="102">
        <f t="shared" si="78"/>
        <v>0</v>
      </c>
      <c r="N1703" s="102">
        <f>tbl_Companys!D1703</f>
        <v>0</v>
      </c>
      <c r="O1703" s="102">
        <f>tbl_Companys!C1703</f>
        <v>0</v>
      </c>
      <c r="P1703" s="102">
        <f t="shared" si="79"/>
        <v>0</v>
      </c>
      <c r="Q1703" s="102">
        <f>tbl_ConsultingCompanys!D1703</f>
        <v>0</v>
      </c>
      <c r="R1703" s="102">
        <f>tbl_ConsultingCompanys!C1703</f>
        <v>0</v>
      </c>
      <c r="S1703" s="102">
        <f t="shared" si="80"/>
        <v>0</v>
      </c>
    </row>
    <row r="1704" spans="11:19" x14ac:dyDescent="0.15">
      <c r="K1704" s="102">
        <f>tbl_ArchitectureOffices!D1704</f>
        <v>0</v>
      </c>
      <c r="L1704" s="102">
        <f>tbl_ArchitectureOffices!C1704</f>
        <v>0</v>
      </c>
      <c r="M1704" s="102">
        <f t="shared" si="78"/>
        <v>0</v>
      </c>
      <c r="N1704" s="102">
        <f>tbl_Companys!D1704</f>
        <v>0</v>
      </c>
      <c r="O1704" s="102">
        <f>tbl_Companys!C1704</f>
        <v>0</v>
      </c>
      <c r="P1704" s="102">
        <f t="shared" si="79"/>
        <v>0</v>
      </c>
      <c r="Q1704" s="102">
        <f>tbl_ConsultingCompanys!D1704</f>
        <v>0</v>
      </c>
      <c r="R1704" s="102">
        <f>tbl_ConsultingCompanys!C1704</f>
        <v>0</v>
      </c>
      <c r="S1704" s="102">
        <f t="shared" si="80"/>
        <v>0</v>
      </c>
    </row>
    <row r="1705" spans="11:19" x14ac:dyDescent="0.15">
      <c r="K1705" s="102">
        <f>tbl_ArchitectureOffices!D1705</f>
        <v>0</v>
      </c>
      <c r="L1705" s="102">
        <f>tbl_ArchitectureOffices!C1705</f>
        <v>0</v>
      </c>
      <c r="M1705" s="102">
        <f t="shared" si="78"/>
        <v>0</v>
      </c>
      <c r="N1705" s="102">
        <f>tbl_Companys!D1705</f>
        <v>0</v>
      </c>
      <c r="O1705" s="102">
        <f>tbl_Companys!C1705</f>
        <v>0</v>
      </c>
      <c r="P1705" s="102">
        <f t="shared" si="79"/>
        <v>0</v>
      </c>
      <c r="Q1705" s="102">
        <f>tbl_ConsultingCompanys!D1705</f>
        <v>0</v>
      </c>
      <c r="R1705" s="102">
        <f>tbl_ConsultingCompanys!C1705</f>
        <v>0</v>
      </c>
      <c r="S1705" s="102">
        <f t="shared" si="80"/>
        <v>0</v>
      </c>
    </row>
    <row r="1706" spans="11:19" x14ac:dyDescent="0.15">
      <c r="K1706" s="102">
        <f>tbl_ArchitectureOffices!D1706</f>
        <v>0</v>
      </c>
      <c r="L1706" s="102">
        <f>tbl_ArchitectureOffices!C1706</f>
        <v>0</v>
      </c>
      <c r="M1706" s="102">
        <f t="shared" si="78"/>
        <v>0</v>
      </c>
      <c r="N1706" s="102">
        <f>tbl_Companys!D1706</f>
        <v>0</v>
      </c>
      <c r="O1706" s="102">
        <f>tbl_Companys!C1706</f>
        <v>0</v>
      </c>
      <c r="P1706" s="102">
        <f t="shared" si="79"/>
        <v>0</v>
      </c>
      <c r="Q1706" s="102">
        <f>tbl_ConsultingCompanys!D1706</f>
        <v>0</v>
      </c>
      <c r="R1706" s="102">
        <f>tbl_ConsultingCompanys!C1706</f>
        <v>0</v>
      </c>
      <c r="S1706" s="102">
        <f t="shared" si="80"/>
        <v>0</v>
      </c>
    </row>
    <row r="1707" spans="11:19" x14ac:dyDescent="0.15">
      <c r="K1707" s="102">
        <f>tbl_ArchitectureOffices!D1707</f>
        <v>0</v>
      </c>
      <c r="L1707" s="102">
        <f>tbl_ArchitectureOffices!C1707</f>
        <v>0</v>
      </c>
      <c r="M1707" s="102">
        <f t="shared" si="78"/>
        <v>0</v>
      </c>
      <c r="N1707" s="102">
        <f>tbl_Companys!D1707</f>
        <v>0</v>
      </c>
      <c r="O1707" s="102">
        <f>tbl_Companys!C1707</f>
        <v>0</v>
      </c>
      <c r="P1707" s="102">
        <f t="shared" si="79"/>
        <v>0</v>
      </c>
      <c r="Q1707" s="102">
        <f>tbl_ConsultingCompanys!D1707</f>
        <v>0</v>
      </c>
      <c r="R1707" s="102">
        <f>tbl_ConsultingCompanys!C1707</f>
        <v>0</v>
      </c>
      <c r="S1707" s="102">
        <f t="shared" si="80"/>
        <v>0</v>
      </c>
    </row>
    <row r="1708" spans="11:19" x14ac:dyDescent="0.15">
      <c r="K1708" s="102">
        <f>tbl_ArchitectureOffices!D1708</f>
        <v>0</v>
      </c>
      <c r="L1708" s="102">
        <f>tbl_ArchitectureOffices!C1708</f>
        <v>0</v>
      </c>
      <c r="M1708" s="102">
        <f t="shared" si="78"/>
        <v>0</v>
      </c>
      <c r="N1708" s="102">
        <f>tbl_Companys!D1708</f>
        <v>0</v>
      </c>
      <c r="O1708" s="102">
        <f>tbl_Companys!C1708</f>
        <v>0</v>
      </c>
      <c r="P1708" s="102">
        <f t="shared" si="79"/>
        <v>0</v>
      </c>
      <c r="Q1708" s="102">
        <f>tbl_ConsultingCompanys!D1708</f>
        <v>0</v>
      </c>
      <c r="R1708" s="102">
        <f>tbl_ConsultingCompanys!C1708</f>
        <v>0</v>
      </c>
      <c r="S1708" s="102">
        <f t="shared" si="80"/>
        <v>0</v>
      </c>
    </row>
    <row r="1709" spans="11:19" x14ac:dyDescent="0.15">
      <c r="K1709" s="102">
        <f>tbl_ArchitectureOffices!D1709</f>
        <v>0</v>
      </c>
      <c r="L1709" s="102">
        <f>tbl_ArchitectureOffices!C1709</f>
        <v>0</v>
      </c>
      <c r="M1709" s="102">
        <f t="shared" si="78"/>
        <v>0</v>
      </c>
      <c r="N1709" s="102">
        <f>tbl_Companys!D1709</f>
        <v>0</v>
      </c>
      <c r="O1709" s="102">
        <f>tbl_Companys!C1709</f>
        <v>0</v>
      </c>
      <c r="P1709" s="102">
        <f t="shared" si="79"/>
        <v>0</v>
      </c>
      <c r="Q1709" s="102">
        <f>tbl_ConsultingCompanys!D1709</f>
        <v>0</v>
      </c>
      <c r="R1709" s="102">
        <f>tbl_ConsultingCompanys!C1709</f>
        <v>0</v>
      </c>
      <c r="S1709" s="102">
        <f t="shared" si="80"/>
        <v>0</v>
      </c>
    </row>
    <row r="1710" spans="11:19" x14ac:dyDescent="0.15">
      <c r="K1710" s="102">
        <f>tbl_ArchitectureOffices!D1710</f>
        <v>0</v>
      </c>
      <c r="L1710" s="102">
        <f>tbl_ArchitectureOffices!C1710</f>
        <v>0</v>
      </c>
      <c r="M1710" s="102">
        <f t="shared" si="78"/>
        <v>0</v>
      </c>
      <c r="N1710" s="102">
        <f>tbl_Companys!D1710</f>
        <v>0</v>
      </c>
      <c r="O1710" s="102">
        <f>tbl_Companys!C1710</f>
        <v>0</v>
      </c>
      <c r="P1710" s="102">
        <f t="shared" si="79"/>
        <v>0</v>
      </c>
      <c r="Q1710" s="102">
        <f>tbl_ConsultingCompanys!D1710</f>
        <v>0</v>
      </c>
      <c r="R1710" s="102">
        <f>tbl_ConsultingCompanys!C1710</f>
        <v>0</v>
      </c>
      <c r="S1710" s="102">
        <f t="shared" si="80"/>
        <v>0</v>
      </c>
    </row>
    <row r="1711" spans="11:19" x14ac:dyDescent="0.15">
      <c r="K1711" s="102">
        <f>tbl_ArchitectureOffices!D1711</f>
        <v>0</v>
      </c>
      <c r="L1711" s="102">
        <f>tbl_ArchitectureOffices!C1711</f>
        <v>0</v>
      </c>
      <c r="M1711" s="102">
        <f t="shared" si="78"/>
        <v>0</v>
      </c>
      <c r="N1711" s="102">
        <f>tbl_Companys!D1711</f>
        <v>0</v>
      </c>
      <c r="O1711" s="102">
        <f>tbl_Companys!C1711</f>
        <v>0</v>
      </c>
      <c r="P1711" s="102">
        <f t="shared" si="79"/>
        <v>0</v>
      </c>
      <c r="Q1711" s="102">
        <f>tbl_ConsultingCompanys!D1711</f>
        <v>0</v>
      </c>
      <c r="R1711" s="102">
        <f>tbl_ConsultingCompanys!C1711</f>
        <v>0</v>
      </c>
      <c r="S1711" s="102">
        <f t="shared" si="80"/>
        <v>0</v>
      </c>
    </row>
    <row r="1712" spans="11:19" x14ac:dyDescent="0.15">
      <c r="K1712" s="102">
        <f>tbl_ArchitectureOffices!D1712</f>
        <v>0</v>
      </c>
      <c r="L1712" s="102">
        <f>tbl_ArchitectureOffices!C1712</f>
        <v>0</v>
      </c>
      <c r="M1712" s="102">
        <f t="shared" si="78"/>
        <v>0</v>
      </c>
      <c r="N1712" s="102">
        <f>tbl_Companys!D1712</f>
        <v>0</v>
      </c>
      <c r="O1712" s="102">
        <f>tbl_Companys!C1712</f>
        <v>0</v>
      </c>
      <c r="P1712" s="102">
        <f t="shared" si="79"/>
        <v>0</v>
      </c>
      <c r="Q1712" s="102">
        <f>tbl_ConsultingCompanys!D1712</f>
        <v>0</v>
      </c>
      <c r="R1712" s="102">
        <f>tbl_ConsultingCompanys!C1712</f>
        <v>0</v>
      </c>
      <c r="S1712" s="102">
        <f t="shared" si="80"/>
        <v>0</v>
      </c>
    </row>
    <row r="1713" spans="11:19" x14ac:dyDescent="0.15">
      <c r="K1713" s="102">
        <f>tbl_ArchitectureOffices!D1713</f>
        <v>0</v>
      </c>
      <c r="L1713" s="102">
        <f>tbl_ArchitectureOffices!C1713</f>
        <v>0</v>
      </c>
      <c r="M1713" s="102">
        <f t="shared" si="78"/>
        <v>0</v>
      </c>
      <c r="N1713" s="102">
        <f>tbl_Companys!D1713</f>
        <v>0</v>
      </c>
      <c r="O1713" s="102">
        <f>tbl_Companys!C1713</f>
        <v>0</v>
      </c>
      <c r="P1713" s="102">
        <f t="shared" si="79"/>
        <v>0</v>
      </c>
      <c r="Q1713" s="102">
        <f>tbl_ConsultingCompanys!D1713</f>
        <v>0</v>
      </c>
      <c r="R1713" s="102">
        <f>tbl_ConsultingCompanys!C1713</f>
        <v>0</v>
      </c>
      <c r="S1713" s="102">
        <f t="shared" si="80"/>
        <v>0</v>
      </c>
    </row>
    <row r="1714" spans="11:19" x14ac:dyDescent="0.15">
      <c r="K1714" s="102">
        <f>tbl_ArchitectureOffices!D1714</f>
        <v>0</v>
      </c>
      <c r="L1714" s="102">
        <f>tbl_ArchitectureOffices!C1714</f>
        <v>0</v>
      </c>
      <c r="M1714" s="102">
        <f t="shared" si="78"/>
        <v>0</v>
      </c>
      <c r="N1714" s="102">
        <f>tbl_Companys!D1714</f>
        <v>0</v>
      </c>
      <c r="O1714" s="102">
        <f>tbl_Companys!C1714</f>
        <v>0</v>
      </c>
      <c r="P1714" s="102">
        <f t="shared" si="79"/>
        <v>0</v>
      </c>
      <c r="Q1714" s="102">
        <f>tbl_ConsultingCompanys!D1714</f>
        <v>0</v>
      </c>
      <c r="R1714" s="102">
        <f>tbl_ConsultingCompanys!C1714</f>
        <v>0</v>
      </c>
      <c r="S1714" s="102">
        <f t="shared" si="80"/>
        <v>0</v>
      </c>
    </row>
    <row r="1715" spans="11:19" x14ac:dyDescent="0.15">
      <c r="K1715" s="102">
        <f>tbl_ArchitectureOffices!D1715</f>
        <v>0</v>
      </c>
      <c r="L1715" s="102">
        <f>tbl_ArchitectureOffices!C1715</f>
        <v>0</v>
      </c>
      <c r="M1715" s="102">
        <f t="shared" si="78"/>
        <v>0</v>
      </c>
      <c r="N1715" s="102">
        <f>tbl_Companys!D1715</f>
        <v>0</v>
      </c>
      <c r="O1715" s="102">
        <f>tbl_Companys!C1715</f>
        <v>0</v>
      </c>
      <c r="P1715" s="102">
        <f t="shared" si="79"/>
        <v>0</v>
      </c>
      <c r="Q1715" s="102">
        <f>tbl_ConsultingCompanys!D1715</f>
        <v>0</v>
      </c>
      <c r="R1715" s="102">
        <f>tbl_ConsultingCompanys!C1715</f>
        <v>0</v>
      </c>
      <c r="S1715" s="102">
        <f t="shared" si="80"/>
        <v>0</v>
      </c>
    </row>
    <row r="1716" spans="11:19" x14ac:dyDescent="0.15">
      <c r="K1716" s="102">
        <f>tbl_ArchitectureOffices!D1716</f>
        <v>0</v>
      </c>
      <c r="L1716" s="102">
        <f>tbl_ArchitectureOffices!C1716</f>
        <v>0</v>
      </c>
      <c r="M1716" s="102">
        <f t="shared" si="78"/>
        <v>0</v>
      </c>
      <c r="N1716" s="102">
        <f>tbl_Companys!D1716</f>
        <v>0</v>
      </c>
      <c r="O1716" s="102">
        <f>tbl_Companys!C1716</f>
        <v>0</v>
      </c>
      <c r="P1716" s="102">
        <f t="shared" si="79"/>
        <v>0</v>
      </c>
      <c r="Q1716" s="102">
        <f>tbl_ConsultingCompanys!D1716</f>
        <v>0</v>
      </c>
      <c r="R1716" s="102">
        <f>tbl_ConsultingCompanys!C1716</f>
        <v>0</v>
      </c>
      <c r="S1716" s="102">
        <f t="shared" si="80"/>
        <v>0</v>
      </c>
    </row>
    <row r="1717" spans="11:19" x14ac:dyDescent="0.15">
      <c r="K1717" s="102">
        <f>tbl_ArchitectureOffices!D1717</f>
        <v>0</v>
      </c>
      <c r="L1717" s="102">
        <f>tbl_ArchitectureOffices!C1717</f>
        <v>0</v>
      </c>
      <c r="M1717" s="102">
        <f t="shared" si="78"/>
        <v>0</v>
      </c>
      <c r="N1717" s="102">
        <f>tbl_Companys!D1717</f>
        <v>0</v>
      </c>
      <c r="O1717" s="102">
        <f>tbl_Companys!C1717</f>
        <v>0</v>
      </c>
      <c r="P1717" s="102">
        <f t="shared" si="79"/>
        <v>0</v>
      </c>
      <c r="Q1717" s="102">
        <f>tbl_ConsultingCompanys!D1717</f>
        <v>0</v>
      </c>
      <c r="R1717" s="102">
        <f>tbl_ConsultingCompanys!C1717</f>
        <v>0</v>
      </c>
      <c r="S1717" s="102">
        <f t="shared" si="80"/>
        <v>0</v>
      </c>
    </row>
    <row r="1718" spans="11:19" x14ac:dyDescent="0.15">
      <c r="K1718" s="102">
        <f>tbl_ArchitectureOffices!D1718</f>
        <v>0</v>
      </c>
      <c r="L1718" s="102">
        <f>tbl_ArchitectureOffices!C1718</f>
        <v>0</v>
      </c>
      <c r="M1718" s="102">
        <f t="shared" ref="M1718:M1781" si="81">IFERROR(REPLACE(K1718,FIND(" ",K1718,LEN(K1718)),1,""),K1718)</f>
        <v>0</v>
      </c>
      <c r="N1718" s="102">
        <f>tbl_Companys!D1718</f>
        <v>0</v>
      </c>
      <c r="O1718" s="102">
        <f>tbl_Companys!C1718</f>
        <v>0</v>
      </c>
      <c r="P1718" s="102">
        <f t="shared" si="79"/>
        <v>0</v>
      </c>
      <c r="Q1718" s="102">
        <f>tbl_ConsultingCompanys!D1718</f>
        <v>0</v>
      </c>
      <c r="R1718" s="102">
        <f>tbl_ConsultingCompanys!C1718</f>
        <v>0</v>
      </c>
      <c r="S1718" s="102">
        <f t="shared" si="80"/>
        <v>0</v>
      </c>
    </row>
    <row r="1719" spans="11:19" x14ac:dyDescent="0.15">
      <c r="K1719" s="102">
        <f>tbl_ArchitectureOffices!D1719</f>
        <v>0</v>
      </c>
      <c r="L1719" s="102">
        <f>tbl_ArchitectureOffices!C1719</f>
        <v>0</v>
      </c>
      <c r="M1719" s="102">
        <f t="shared" si="81"/>
        <v>0</v>
      </c>
      <c r="N1719" s="102">
        <f>tbl_Companys!D1719</f>
        <v>0</v>
      </c>
      <c r="O1719" s="102">
        <f>tbl_Companys!C1719</f>
        <v>0</v>
      </c>
      <c r="P1719" s="102">
        <f t="shared" si="79"/>
        <v>0</v>
      </c>
      <c r="Q1719" s="102">
        <f>tbl_ConsultingCompanys!D1719</f>
        <v>0</v>
      </c>
      <c r="R1719" s="102">
        <f>tbl_ConsultingCompanys!C1719</f>
        <v>0</v>
      </c>
      <c r="S1719" s="102">
        <f t="shared" si="80"/>
        <v>0</v>
      </c>
    </row>
    <row r="1720" spans="11:19" x14ac:dyDescent="0.15">
      <c r="K1720" s="102">
        <f>tbl_ArchitectureOffices!D1720</f>
        <v>0</v>
      </c>
      <c r="L1720" s="102">
        <f>tbl_ArchitectureOffices!C1720</f>
        <v>0</v>
      </c>
      <c r="M1720" s="102">
        <f t="shared" si="81"/>
        <v>0</v>
      </c>
      <c r="N1720" s="102">
        <f>tbl_Companys!D1720</f>
        <v>0</v>
      </c>
      <c r="O1720" s="102">
        <f>tbl_Companys!C1720</f>
        <v>0</v>
      </c>
      <c r="P1720" s="102">
        <f t="shared" si="79"/>
        <v>0</v>
      </c>
      <c r="Q1720" s="102">
        <f>tbl_ConsultingCompanys!D1720</f>
        <v>0</v>
      </c>
      <c r="R1720" s="102">
        <f>tbl_ConsultingCompanys!C1720</f>
        <v>0</v>
      </c>
      <c r="S1720" s="102">
        <f t="shared" si="80"/>
        <v>0</v>
      </c>
    </row>
    <row r="1721" spans="11:19" x14ac:dyDescent="0.15">
      <c r="K1721" s="102">
        <f>tbl_ArchitectureOffices!D1721</f>
        <v>0</v>
      </c>
      <c r="L1721" s="102">
        <f>tbl_ArchitectureOffices!C1721</f>
        <v>0</v>
      </c>
      <c r="M1721" s="102">
        <f t="shared" si="81"/>
        <v>0</v>
      </c>
      <c r="N1721" s="102">
        <f>tbl_Companys!D1721</f>
        <v>0</v>
      </c>
      <c r="O1721" s="102">
        <f>tbl_Companys!C1721</f>
        <v>0</v>
      </c>
      <c r="P1721" s="102">
        <f t="shared" si="79"/>
        <v>0</v>
      </c>
      <c r="Q1721" s="102">
        <f>tbl_ConsultingCompanys!D1721</f>
        <v>0</v>
      </c>
      <c r="R1721" s="102">
        <f>tbl_ConsultingCompanys!C1721</f>
        <v>0</v>
      </c>
      <c r="S1721" s="102">
        <f t="shared" si="80"/>
        <v>0</v>
      </c>
    </row>
    <row r="1722" spans="11:19" x14ac:dyDescent="0.15">
      <c r="K1722" s="102">
        <f>tbl_ArchitectureOffices!D1722</f>
        <v>0</v>
      </c>
      <c r="L1722" s="102">
        <f>tbl_ArchitectureOffices!C1722</f>
        <v>0</v>
      </c>
      <c r="M1722" s="102">
        <f t="shared" si="81"/>
        <v>0</v>
      </c>
      <c r="N1722" s="102">
        <f>tbl_Companys!D1722</f>
        <v>0</v>
      </c>
      <c r="O1722" s="102">
        <f>tbl_Companys!C1722</f>
        <v>0</v>
      </c>
      <c r="P1722" s="102">
        <f t="shared" si="79"/>
        <v>0</v>
      </c>
      <c r="Q1722" s="102">
        <f>tbl_ConsultingCompanys!D1722</f>
        <v>0</v>
      </c>
      <c r="R1722" s="102">
        <f>tbl_ConsultingCompanys!C1722</f>
        <v>0</v>
      </c>
      <c r="S1722" s="102">
        <f t="shared" si="80"/>
        <v>0</v>
      </c>
    </row>
    <row r="1723" spans="11:19" x14ac:dyDescent="0.15">
      <c r="K1723" s="102">
        <f>tbl_ArchitectureOffices!D1723</f>
        <v>0</v>
      </c>
      <c r="L1723" s="102">
        <f>tbl_ArchitectureOffices!C1723</f>
        <v>0</v>
      </c>
      <c r="M1723" s="102">
        <f t="shared" si="81"/>
        <v>0</v>
      </c>
      <c r="N1723" s="102">
        <f>tbl_Companys!D1723</f>
        <v>0</v>
      </c>
      <c r="O1723" s="102">
        <f>tbl_Companys!C1723</f>
        <v>0</v>
      </c>
      <c r="P1723" s="102">
        <f t="shared" si="79"/>
        <v>0</v>
      </c>
      <c r="Q1723" s="102">
        <f>tbl_ConsultingCompanys!D1723</f>
        <v>0</v>
      </c>
      <c r="R1723" s="102">
        <f>tbl_ConsultingCompanys!C1723</f>
        <v>0</v>
      </c>
      <c r="S1723" s="102">
        <f t="shared" si="80"/>
        <v>0</v>
      </c>
    </row>
    <row r="1724" spans="11:19" x14ac:dyDescent="0.15">
      <c r="K1724" s="102">
        <f>tbl_ArchitectureOffices!D1724</f>
        <v>0</v>
      </c>
      <c r="L1724" s="102">
        <f>tbl_ArchitectureOffices!C1724</f>
        <v>0</v>
      </c>
      <c r="M1724" s="102">
        <f t="shared" si="81"/>
        <v>0</v>
      </c>
      <c r="N1724" s="102">
        <f>tbl_Companys!D1724</f>
        <v>0</v>
      </c>
      <c r="O1724" s="102">
        <f>tbl_Companys!C1724</f>
        <v>0</v>
      </c>
      <c r="P1724" s="102">
        <f t="shared" si="79"/>
        <v>0</v>
      </c>
      <c r="Q1724" s="102">
        <f>tbl_ConsultingCompanys!D1724</f>
        <v>0</v>
      </c>
      <c r="R1724" s="102">
        <f>tbl_ConsultingCompanys!C1724</f>
        <v>0</v>
      </c>
      <c r="S1724" s="102">
        <f t="shared" si="80"/>
        <v>0</v>
      </c>
    </row>
    <row r="1725" spans="11:19" x14ac:dyDescent="0.15">
      <c r="K1725" s="102">
        <f>tbl_ArchitectureOffices!D1725</f>
        <v>0</v>
      </c>
      <c r="L1725" s="102">
        <f>tbl_ArchitectureOffices!C1725</f>
        <v>0</v>
      </c>
      <c r="M1725" s="102">
        <f t="shared" si="81"/>
        <v>0</v>
      </c>
      <c r="N1725" s="102">
        <f>tbl_Companys!D1725</f>
        <v>0</v>
      </c>
      <c r="O1725" s="102">
        <f>tbl_Companys!C1725</f>
        <v>0</v>
      </c>
      <c r="P1725" s="102">
        <f t="shared" si="79"/>
        <v>0</v>
      </c>
      <c r="Q1725" s="102">
        <f>tbl_ConsultingCompanys!D1725</f>
        <v>0</v>
      </c>
      <c r="R1725" s="102">
        <f>tbl_ConsultingCompanys!C1725</f>
        <v>0</v>
      </c>
      <c r="S1725" s="102">
        <f t="shared" si="80"/>
        <v>0</v>
      </c>
    </row>
    <row r="1726" spans="11:19" x14ac:dyDescent="0.15">
      <c r="K1726" s="102">
        <f>tbl_ArchitectureOffices!D1726</f>
        <v>0</v>
      </c>
      <c r="L1726" s="102">
        <f>tbl_ArchitectureOffices!C1726</f>
        <v>0</v>
      </c>
      <c r="M1726" s="102">
        <f t="shared" si="81"/>
        <v>0</v>
      </c>
      <c r="N1726" s="102">
        <f>tbl_Companys!D1726</f>
        <v>0</v>
      </c>
      <c r="O1726" s="102">
        <f>tbl_Companys!C1726</f>
        <v>0</v>
      </c>
      <c r="P1726" s="102">
        <f t="shared" si="79"/>
        <v>0</v>
      </c>
      <c r="Q1726" s="102">
        <f>tbl_ConsultingCompanys!D1726</f>
        <v>0</v>
      </c>
      <c r="R1726" s="102">
        <f>tbl_ConsultingCompanys!C1726</f>
        <v>0</v>
      </c>
      <c r="S1726" s="102">
        <f t="shared" si="80"/>
        <v>0</v>
      </c>
    </row>
    <row r="1727" spans="11:19" x14ac:dyDescent="0.15">
      <c r="K1727" s="102">
        <f>tbl_ArchitectureOffices!D1727</f>
        <v>0</v>
      </c>
      <c r="L1727" s="102">
        <f>tbl_ArchitectureOffices!C1727</f>
        <v>0</v>
      </c>
      <c r="M1727" s="102">
        <f t="shared" si="81"/>
        <v>0</v>
      </c>
      <c r="N1727" s="102">
        <f>tbl_Companys!D1727</f>
        <v>0</v>
      </c>
      <c r="O1727" s="102">
        <f>tbl_Companys!C1727</f>
        <v>0</v>
      </c>
      <c r="P1727" s="102">
        <f t="shared" si="79"/>
        <v>0</v>
      </c>
      <c r="Q1727" s="102">
        <f>tbl_ConsultingCompanys!D1727</f>
        <v>0</v>
      </c>
      <c r="R1727" s="102">
        <f>tbl_ConsultingCompanys!C1727</f>
        <v>0</v>
      </c>
      <c r="S1727" s="102">
        <f t="shared" si="80"/>
        <v>0</v>
      </c>
    </row>
    <row r="1728" spans="11:19" x14ac:dyDescent="0.15">
      <c r="K1728" s="102">
        <f>tbl_ArchitectureOffices!D1728</f>
        <v>0</v>
      </c>
      <c r="L1728" s="102">
        <f>tbl_ArchitectureOffices!C1728</f>
        <v>0</v>
      </c>
      <c r="M1728" s="102">
        <f t="shared" si="81"/>
        <v>0</v>
      </c>
      <c r="N1728" s="102">
        <f>tbl_Companys!D1728</f>
        <v>0</v>
      </c>
      <c r="O1728" s="102">
        <f>tbl_Companys!C1728</f>
        <v>0</v>
      </c>
      <c r="P1728" s="102">
        <f t="shared" si="79"/>
        <v>0</v>
      </c>
      <c r="Q1728" s="102">
        <f>tbl_ConsultingCompanys!D1728</f>
        <v>0</v>
      </c>
      <c r="R1728" s="102">
        <f>tbl_ConsultingCompanys!C1728</f>
        <v>0</v>
      </c>
      <c r="S1728" s="102">
        <f t="shared" si="80"/>
        <v>0</v>
      </c>
    </row>
    <row r="1729" spans="11:19" x14ac:dyDescent="0.15">
      <c r="K1729" s="102">
        <f>tbl_ArchitectureOffices!D1729</f>
        <v>0</v>
      </c>
      <c r="L1729" s="102">
        <f>tbl_ArchitectureOffices!C1729</f>
        <v>0</v>
      </c>
      <c r="M1729" s="102">
        <f t="shared" si="81"/>
        <v>0</v>
      </c>
      <c r="N1729" s="102">
        <f>tbl_Companys!D1729</f>
        <v>0</v>
      </c>
      <c r="O1729" s="102">
        <f>tbl_Companys!C1729</f>
        <v>0</v>
      </c>
      <c r="P1729" s="102">
        <f t="shared" si="79"/>
        <v>0</v>
      </c>
      <c r="Q1729" s="102">
        <f>tbl_ConsultingCompanys!D1729</f>
        <v>0</v>
      </c>
      <c r="R1729" s="102">
        <f>tbl_ConsultingCompanys!C1729</f>
        <v>0</v>
      </c>
      <c r="S1729" s="102">
        <f t="shared" si="80"/>
        <v>0</v>
      </c>
    </row>
    <row r="1730" spans="11:19" x14ac:dyDescent="0.15">
      <c r="K1730" s="102">
        <f>tbl_ArchitectureOffices!D1730</f>
        <v>0</v>
      </c>
      <c r="L1730" s="102">
        <f>tbl_ArchitectureOffices!C1730</f>
        <v>0</v>
      </c>
      <c r="M1730" s="102">
        <f t="shared" si="81"/>
        <v>0</v>
      </c>
      <c r="N1730" s="102">
        <f>tbl_Companys!D1730</f>
        <v>0</v>
      </c>
      <c r="O1730" s="102">
        <f>tbl_Companys!C1730</f>
        <v>0</v>
      </c>
      <c r="P1730" s="102">
        <f t="shared" si="79"/>
        <v>0</v>
      </c>
      <c r="Q1730" s="102">
        <f>tbl_ConsultingCompanys!D1730</f>
        <v>0</v>
      </c>
      <c r="R1730" s="102">
        <f>tbl_ConsultingCompanys!C1730</f>
        <v>0</v>
      </c>
      <c r="S1730" s="102">
        <f t="shared" si="80"/>
        <v>0</v>
      </c>
    </row>
    <row r="1731" spans="11:19" x14ac:dyDescent="0.15">
      <c r="K1731" s="102">
        <f>tbl_ArchitectureOffices!D1731</f>
        <v>0</v>
      </c>
      <c r="L1731" s="102">
        <f>tbl_ArchitectureOffices!C1731</f>
        <v>0</v>
      </c>
      <c r="M1731" s="102">
        <f t="shared" si="81"/>
        <v>0</v>
      </c>
      <c r="N1731" s="102">
        <f>tbl_Companys!D1731</f>
        <v>0</v>
      </c>
      <c r="O1731" s="102">
        <f>tbl_Companys!C1731</f>
        <v>0</v>
      </c>
      <c r="P1731" s="102">
        <f t="shared" ref="P1731:P1794" si="82">IFERROR(REPLACE(N1731,FIND(" ",N1731,LEN(N1731)),1,""),N1731)</f>
        <v>0</v>
      </c>
      <c r="Q1731" s="102">
        <f>tbl_ConsultingCompanys!D1731</f>
        <v>0</v>
      </c>
      <c r="R1731" s="102">
        <f>tbl_ConsultingCompanys!C1731</f>
        <v>0</v>
      </c>
      <c r="S1731" s="102">
        <f t="shared" ref="S1731:S1794" si="83">IFERROR(REPLACE(Q1731,FIND(" ",Q1731,LEN(Q1731)),1,""),Q1731)</f>
        <v>0</v>
      </c>
    </row>
    <row r="1732" spans="11:19" x14ac:dyDescent="0.15">
      <c r="K1732" s="102">
        <f>tbl_ArchitectureOffices!D1732</f>
        <v>0</v>
      </c>
      <c r="L1732" s="102">
        <f>tbl_ArchitectureOffices!C1732</f>
        <v>0</v>
      </c>
      <c r="M1732" s="102">
        <f t="shared" si="81"/>
        <v>0</v>
      </c>
      <c r="N1732" s="102">
        <f>tbl_Companys!D1732</f>
        <v>0</v>
      </c>
      <c r="O1732" s="102">
        <f>tbl_Companys!C1732</f>
        <v>0</v>
      </c>
      <c r="P1732" s="102">
        <f t="shared" si="82"/>
        <v>0</v>
      </c>
      <c r="Q1732" s="102">
        <f>tbl_ConsultingCompanys!D1732</f>
        <v>0</v>
      </c>
      <c r="R1732" s="102">
        <f>tbl_ConsultingCompanys!C1732</f>
        <v>0</v>
      </c>
      <c r="S1732" s="102">
        <f t="shared" si="83"/>
        <v>0</v>
      </c>
    </row>
    <row r="1733" spans="11:19" x14ac:dyDescent="0.15">
      <c r="K1733" s="102">
        <f>tbl_ArchitectureOffices!D1733</f>
        <v>0</v>
      </c>
      <c r="L1733" s="102">
        <f>tbl_ArchitectureOffices!C1733</f>
        <v>0</v>
      </c>
      <c r="M1733" s="102">
        <f t="shared" si="81"/>
        <v>0</v>
      </c>
      <c r="N1733" s="102">
        <f>tbl_Companys!D1733</f>
        <v>0</v>
      </c>
      <c r="O1733" s="102">
        <f>tbl_Companys!C1733</f>
        <v>0</v>
      </c>
      <c r="P1733" s="102">
        <f t="shared" si="82"/>
        <v>0</v>
      </c>
      <c r="Q1733" s="102">
        <f>tbl_ConsultingCompanys!D1733</f>
        <v>0</v>
      </c>
      <c r="R1733" s="102">
        <f>tbl_ConsultingCompanys!C1733</f>
        <v>0</v>
      </c>
      <c r="S1733" s="102">
        <f t="shared" si="83"/>
        <v>0</v>
      </c>
    </row>
    <row r="1734" spans="11:19" x14ac:dyDescent="0.15">
      <c r="K1734" s="102">
        <f>tbl_ArchitectureOffices!D1734</f>
        <v>0</v>
      </c>
      <c r="L1734" s="102">
        <f>tbl_ArchitectureOffices!C1734</f>
        <v>0</v>
      </c>
      <c r="M1734" s="102">
        <f t="shared" si="81"/>
        <v>0</v>
      </c>
      <c r="N1734" s="102">
        <f>tbl_Companys!D1734</f>
        <v>0</v>
      </c>
      <c r="O1734" s="102">
        <f>tbl_Companys!C1734</f>
        <v>0</v>
      </c>
      <c r="P1734" s="102">
        <f t="shared" si="82"/>
        <v>0</v>
      </c>
      <c r="Q1734" s="102">
        <f>tbl_ConsultingCompanys!D1734</f>
        <v>0</v>
      </c>
      <c r="R1734" s="102">
        <f>tbl_ConsultingCompanys!C1734</f>
        <v>0</v>
      </c>
      <c r="S1734" s="102">
        <f t="shared" si="83"/>
        <v>0</v>
      </c>
    </row>
    <row r="1735" spans="11:19" x14ac:dyDescent="0.15">
      <c r="K1735" s="102">
        <f>tbl_ArchitectureOffices!D1735</f>
        <v>0</v>
      </c>
      <c r="L1735" s="102">
        <f>tbl_ArchitectureOffices!C1735</f>
        <v>0</v>
      </c>
      <c r="M1735" s="102">
        <f t="shared" si="81"/>
        <v>0</v>
      </c>
      <c r="N1735" s="102">
        <f>tbl_Companys!D1735</f>
        <v>0</v>
      </c>
      <c r="O1735" s="102">
        <f>tbl_Companys!C1735</f>
        <v>0</v>
      </c>
      <c r="P1735" s="102">
        <f t="shared" si="82"/>
        <v>0</v>
      </c>
      <c r="Q1735" s="102">
        <f>tbl_ConsultingCompanys!D1735</f>
        <v>0</v>
      </c>
      <c r="R1735" s="102">
        <f>tbl_ConsultingCompanys!C1735</f>
        <v>0</v>
      </c>
      <c r="S1735" s="102">
        <f t="shared" si="83"/>
        <v>0</v>
      </c>
    </row>
    <row r="1736" spans="11:19" x14ac:dyDescent="0.15">
      <c r="K1736" s="102">
        <f>tbl_ArchitectureOffices!D1736</f>
        <v>0</v>
      </c>
      <c r="L1736" s="102">
        <f>tbl_ArchitectureOffices!C1736</f>
        <v>0</v>
      </c>
      <c r="M1736" s="102">
        <f t="shared" si="81"/>
        <v>0</v>
      </c>
      <c r="N1736" s="102">
        <f>tbl_Companys!D1736</f>
        <v>0</v>
      </c>
      <c r="O1736" s="102">
        <f>tbl_Companys!C1736</f>
        <v>0</v>
      </c>
      <c r="P1736" s="102">
        <f t="shared" si="82"/>
        <v>0</v>
      </c>
      <c r="Q1736" s="102">
        <f>tbl_ConsultingCompanys!D1736</f>
        <v>0</v>
      </c>
      <c r="R1736" s="102">
        <f>tbl_ConsultingCompanys!C1736</f>
        <v>0</v>
      </c>
      <c r="S1736" s="102">
        <f t="shared" si="83"/>
        <v>0</v>
      </c>
    </row>
    <row r="1737" spans="11:19" x14ac:dyDescent="0.15">
      <c r="K1737" s="102">
        <f>tbl_ArchitectureOffices!D1737</f>
        <v>0</v>
      </c>
      <c r="L1737" s="102">
        <f>tbl_ArchitectureOffices!C1737</f>
        <v>0</v>
      </c>
      <c r="M1737" s="102">
        <f t="shared" si="81"/>
        <v>0</v>
      </c>
      <c r="N1737" s="102">
        <f>tbl_Companys!D1737</f>
        <v>0</v>
      </c>
      <c r="O1737" s="102">
        <f>tbl_Companys!C1737</f>
        <v>0</v>
      </c>
      <c r="P1737" s="102">
        <f t="shared" si="82"/>
        <v>0</v>
      </c>
      <c r="Q1737" s="102">
        <f>tbl_ConsultingCompanys!D1737</f>
        <v>0</v>
      </c>
      <c r="R1737" s="102">
        <f>tbl_ConsultingCompanys!C1737</f>
        <v>0</v>
      </c>
      <c r="S1737" s="102">
        <f t="shared" si="83"/>
        <v>0</v>
      </c>
    </row>
    <row r="1738" spans="11:19" x14ac:dyDescent="0.15">
      <c r="K1738" s="102">
        <f>tbl_ArchitectureOffices!D1738</f>
        <v>0</v>
      </c>
      <c r="L1738" s="102">
        <f>tbl_ArchitectureOffices!C1738</f>
        <v>0</v>
      </c>
      <c r="M1738" s="102">
        <f t="shared" si="81"/>
        <v>0</v>
      </c>
      <c r="N1738" s="102">
        <f>tbl_Companys!D1738</f>
        <v>0</v>
      </c>
      <c r="O1738" s="102">
        <f>tbl_Companys!C1738</f>
        <v>0</v>
      </c>
      <c r="P1738" s="102">
        <f t="shared" si="82"/>
        <v>0</v>
      </c>
      <c r="Q1738" s="102">
        <f>tbl_ConsultingCompanys!D1738</f>
        <v>0</v>
      </c>
      <c r="R1738" s="102">
        <f>tbl_ConsultingCompanys!C1738</f>
        <v>0</v>
      </c>
      <c r="S1738" s="102">
        <f t="shared" si="83"/>
        <v>0</v>
      </c>
    </row>
    <row r="1739" spans="11:19" x14ac:dyDescent="0.15">
      <c r="K1739" s="102">
        <f>tbl_ArchitectureOffices!D1739</f>
        <v>0</v>
      </c>
      <c r="L1739" s="102">
        <f>tbl_ArchitectureOffices!C1739</f>
        <v>0</v>
      </c>
      <c r="M1739" s="102">
        <f t="shared" si="81"/>
        <v>0</v>
      </c>
      <c r="N1739" s="102">
        <f>tbl_Companys!D1739</f>
        <v>0</v>
      </c>
      <c r="O1739" s="102">
        <f>tbl_Companys!C1739</f>
        <v>0</v>
      </c>
      <c r="P1739" s="102">
        <f t="shared" si="82"/>
        <v>0</v>
      </c>
      <c r="Q1739" s="102">
        <f>tbl_ConsultingCompanys!D1739</f>
        <v>0</v>
      </c>
      <c r="R1739" s="102">
        <f>tbl_ConsultingCompanys!C1739</f>
        <v>0</v>
      </c>
      <c r="S1739" s="102">
        <f t="shared" si="83"/>
        <v>0</v>
      </c>
    </row>
    <row r="1740" spans="11:19" x14ac:dyDescent="0.15">
      <c r="K1740" s="102">
        <f>tbl_ArchitectureOffices!D1740</f>
        <v>0</v>
      </c>
      <c r="L1740" s="102">
        <f>tbl_ArchitectureOffices!C1740</f>
        <v>0</v>
      </c>
      <c r="M1740" s="102">
        <f t="shared" si="81"/>
        <v>0</v>
      </c>
      <c r="N1740" s="102">
        <f>tbl_Companys!D1740</f>
        <v>0</v>
      </c>
      <c r="O1740" s="102">
        <f>tbl_Companys!C1740</f>
        <v>0</v>
      </c>
      <c r="P1740" s="102">
        <f t="shared" si="82"/>
        <v>0</v>
      </c>
      <c r="Q1740" s="102">
        <f>tbl_ConsultingCompanys!D1740</f>
        <v>0</v>
      </c>
      <c r="R1740" s="102">
        <f>tbl_ConsultingCompanys!C1740</f>
        <v>0</v>
      </c>
      <c r="S1740" s="102">
        <f t="shared" si="83"/>
        <v>0</v>
      </c>
    </row>
    <row r="1741" spans="11:19" x14ac:dyDescent="0.15">
      <c r="K1741" s="102">
        <f>tbl_ArchitectureOffices!D1741</f>
        <v>0</v>
      </c>
      <c r="L1741" s="102">
        <f>tbl_ArchitectureOffices!C1741</f>
        <v>0</v>
      </c>
      <c r="M1741" s="102">
        <f t="shared" si="81"/>
        <v>0</v>
      </c>
      <c r="N1741" s="102">
        <f>tbl_Companys!D1741</f>
        <v>0</v>
      </c>
      <c r="O1741" s="102">
        <f>tbl_Companys!C1741</f>
        <v>0</v>
      </c>
      <c r="P1741" s="102">
        <f t="shared" si="82"/>
        <v>0</v>
      </c>
      <c r="Q1741" s="102">
        <f>tbl_ConsultingCompanys!D1741</f>
        <v>0</v>
      </c>
      <c r="R1741" s="102">
        <f>tbl_ConsultingCompanys!C1741</f>
        <v>0</v>
      </c>
      <c r="S1741" s="102">
        <f t="shared" si="83"/>
        <v>0</v>
      </c>
    </row>
    <row r="1742" spans="11:19" x14ac:dyDescent="0.15">
      <c r="K1742" s="102">
        <f>tbl_ArchitectureOffices!D1742</f>
        <v>0</v>
      </c>
      <c r="L1742" s="102">
        <f>tbl_ArchitectureOffices!C1742</f>
        <v>0</v>
      </c>
      <c r="M1742" s="102">
        <f t="shared" si="81"/>
        <v>0</v>
      </c>
      <c r="N1742" s="102">
        <f>tbl_Companys!D1742</f>
        <v>0</v>
      </c>
      <c r="O1742" s="102">
        <f>tbl_Companys!C1742</f>
        <v>0</v>
      </c>
      <c r="P1742" s="102">
        <f t="shared" si="82"/>
        <v>0</v>
      </c>
      <c r="Q1742" s="102">
        <f>tbl_ConsultingCompanys!D1742</f>
        <v>0</v>
      </c>
      <c r="R1742" s="102">
        <f>tbl_ConsultingCompanys!C1742</f>
        <v>0</v>
      </c>
      <c r="S1742" s="102">
        <f t="shared" si="83"/>
        <v>0</v>
      </c>
    </row>
    <row r="1743" spans="11:19" x14ac:dyDescent="0.15">
      <c r="K1743" s="102">
        <f>tbl_ArchitectureOffices!D1743</f>
        <v>0</v>
      </c>
      <c r="L1743" s="102">
        <f>tbl_ArchitectureOffices!C1743</f>
        <v>0</v>
      </c>
      <c r="M1743" s="102">
        <f t="shared" si="81"/>
        <v>0</v>
      </c>
      <c r="N1743" s="102">
        <f>tbl_Companys!D1743</f>
        <v>0</v>
      </c>
      <c r="O1743" s="102">
        <f>tbl_Companys!C1743</f>
        <v>0</v>
      </c>
      <c r="P1743" s="102">
        <f t="shared" si="82"/>
        <v>0</v>
      </c>
      <c r="Q1743" s="102">
        <f>tbl_ConsultingCompanys!D1743</f>
        <v>0</v>
      </c>
      <c r="R1743" s="102">
        <f>tbl_ConsultingCompanys!C1743</f>
        <v>0</v>
      </c>
      <c r="S1743" s="102">
        <f t="shared" si="83"/>
        <v>0</v>
      </c>
    </row>
    <row r="1744" spans="11:19" x14ac:dyDescent="0.15">
      <c r="K1744" s="102">
        <f>tbl_ArchitectureOffices!D1744</f>
        <v>0</v>
      </c>
      <c r="L1744" s="102">
        <f>tbl_ArchitectureOffices!C1744</f>
        <v>0</v>
      </c>
      <c r="M1744" s="102">
        <f t="shared" si="81"/>
        <v>0</v>
      </c>
      <c r="N1744" s="102">
        <f>tbl_Companys!D1744</f>
        <v>0</v>
      </c>
      <c r="O1744" s="102">
        <f>tbl_Companys!C1744</f>
        <v>0</v>
      </c>
      <c r="P1744" s="102">
        <f t="shared" si="82"/>
        <v>0</v>
      </c>
      <c r="Q1744" s="102">
        <f>tbl_ConsultingCompanys!D1744</f>
        <v>0</v>
      </c>
      <c r="R1744" s="102">
        <f>tbl_ConsultingCompanys!C1744</f>
        <v>0</v>
      </c>
      <c r="S1744" s="102">
        <f t="shared" si="83"/>
        <v>0</v>
      </c>
    </row>
    <row r="1745" spans="11:19" x14ac:dyDescent="0.15">
      <c r="K1745" s="102">
        <f>tbl_ArchitectureOffices!D1745</f>
        <v>0</v>
      </c>
      <c r="L1745" s="102">
        <f>tbl_ArchitectureOffices!C1745</f>
        <v>0</v>
      </c>
      <c r="M1745" s="102">
        <f t="shared" si="81"/>
        <v>0</v>
      </c>
      <c r="N1745" s="102">
        <f>tbl_Companys!D1745</f>
        <v>0</v>
      </c>
      <c r="O1745" s="102">
        <f>tbl_Companys!C1745</f>
        <v>0</v>
      </c>
      <c r="P1745" s="102">
        <f t="shared" si="82"/>
        <v>0</v>
      </c>
      <c r="Q1745" s="102">
        <f>tbl_ConsultingCompanys!D1745</f>
        <v>0</v>
      </c>
      <c r="R1745" s="102">
        <f>tbl_ConsultingCompanys!C1745</f>
        <v>0</v>
      </c>
      <c r="S1745" s="102">
        <f t="shared" si="83"/>
        <v>0</v>
      </c>
    </row>
    <row r="1746" spans="11:19" x14ac:dyDescent="0.15">
      <c r="K1746" s="102">
        <f>tbl_ArchitectureOffices!D1746</f>
        <v>0</v>
      </c>
      <c r="L1746" s="102">
        <f>tbl_ArchitectureOffices!C1746</f>
        <v>0</v>
      </c>
      <c r="M1746" s="102">
        <f t="shared" si="81"/>
        <v>0</v>
      </c>
      <c r="N1746" s="102">
        <f>tbl_Companys!D1746</f>
        <v>0</v>
      </c>
      <c r="O1746" s="102">
        <f>tbl_Companys!C1746</f>
        <v>0</v>
      </c>
      <c r="P1746" s="102">
        <f t="shared" si="82"/>
        <v>0</v>
      </c>
      <c r="Q1746" s="102">
        <f>tbl_ConsultingCompanys!D1746</f>
        <v>0</v>
      </c>
      <c r="R1746" s="102">
        <f>tbl_ConsultingCompanys!C1746</f>
        <v>0</v>
      </c>
      <c r="S1746" s="102">
        <f t="shared" si="83"/>
        <v>0</v>
      </c>
    </row>
    <row r="1747" spans="11:19" x14ac:dyDescent="0.15">
      <c r="K1747" s="102">
        <f>tbl_ArchitectureOffices!D1747</f>
        <v>0</v>
      </c>
      <c r="L1747" s="102">
        <f>tbl_ArchitectureOffices!C1747</f>
        <v>0</v>
      </c>
      <c r="M1747" s="102">
        <f t="shared" si="81"/>
        <v>0</v>
      </c>
      <c r="N1747" s="102">
        <f>tbl_Companys!D1747</f>
        <v>0</v>
      </c>
      <c r="O1747" s="102">
        <f>tbl_Companys!C1747</f>
        <v>0</v>
      </c>
      <c r="P1747" s="102">
        <f t="shared" si="82"/>
        <v>0</v>
      </c>
      <c r="Q1747" s="102">
        <f>tbl_ConsultingCompanys!D1747</f>
        <v>0</v>
      </c>
      <c r="R1747" s="102">
        <f>tbl_ConsultingCompanys!C1747</f>
        <v>0</v>
      </c>
      <c r="S1747" s="102">
        <f t="shared" si="83"/>
        <v>0</v>
      </c>
    </row>
    <row r="1748" spans="11:19" x14ac:dyDescent="0.15">
      <c r="K1748" s="102">
        <f>tbl_ArchitectureOffices!D1748</f>
        <v>0</v>
      </c>
      <c r="L1748" s="102">
        <f>tbl_ArchitectureOffices!C1748</f>
        <v>0</v>
      </c>
      <c r="M1748" s="102">
        <f t="shared" si="81"/>
        <v>0</v>
      </c>
      <c r="N1748" s="102">
        <f>tbl_Companys!D1748</f>
        <v>0</v>
      </c>
      <c r="O1748" s="102">
        <f>tbl_Companys!C1748</f>
        <v>0</v>
      </c>
      <c r="P1748" s="102">
        <f t="shared" si="82"/>
        <v>0</v>
      </c>
      <c r="Q1748" s="102">
        <f>tbl_ConsultingCompanys!D1748</f>
        <v>0</v>
      </c>
      <c r="R1748" s="102">
        <f>tbl_ConsultingCompanys!C1748</f>
        <v>0</v>
      </c>
      <c r="S1748" s="102">
        <f t="shared" si="83"/>
        <v>0</v>
      </c>
    </row>
    <row r="1749" spans="11:19" x14ac:dyDescent="0.15">
      <c r="K1749" s="102">
        <f>tbl_ArchitectureOffices!D1749</f>
        <v>0</v>
      </c>
      <c r="L1749" s="102">
        <f>tbl_ArchitectureOffices!C1749</f>
        <v>0</v>
      </c>
      <c r="M1749" s="102">
        <f t="shared" si="81"/>
        <v>0</v>
      </c>
      <c r="N1749" s="102">
        <f>tbl_Companys!D1749</f>
        <v>0</v>
      </c>
      <c r="O1749" s="102">
        <f>tbl_Companys!C1749</f>
        <v>0</v>
      </c>
      <c r="P1749" s="102">
        <f t="shared" si="82"/>
        <v>0</v>
      </c>
      <c r="Q1749" s="102">
        <f>tbl_ConsultingCompanys!D1749</f>
        <v>0</v>
      </c>
      <c r="R1749" s="102">
        <f>tbl_ConsultingCompanys!C1749</f>
        <v>0</v>
      </c>
      <c r="S1749" s="102">
        <f t="shared" si="83"/>
        <v>0</v>
      </c>
    </row>
    <row r="1750" spans="11:19" x14ac:dyDescent="0.15">
      <c r="K1750" s="102">
        <f>tbl_ArchitectureOffices!D1750</f>
        <v>0</v>
      </c>
      <c r="L1750" s="102">
        <f>tbl_ArchitectureOffices!C1750</f>
        <v>0</v>
      </c>
      <c r="M1750" s="102">
        <f t="shared" si="81"/>
        <v>0</v>
      </c>
      <c r="N1750" s="102">
        <f>tbl_Companys!D1750</f>
        <v>0</v>
      </c>
      <c r="O1750" s="102">
        <f>tbl_Companys!C1750</f>
        <v>0</v>
      </c>
      <c r="P1750" s="102">
        <f t="shared" si="82"/>
        <v>0</v>
      </c>
      <c r="Q1750" s="102">
        <f>tbl_ConsultingCompanys!D1750</f>
        <v>0</v>
      </c>
      <c r="R1750" s="102">
        <f>tbl_ConsultingCompanys!C1750</f>
        <v>0</v>
      </c>
      <c r="S1750" s="102">
        <f t="shared" si="83"/>
        <v>0</v>
      </c>
    </row>
    <row r="1751" spans="11:19" x14ac:dyDescent="0.15">
      <c r="K1751" s="102">
        <f>tbl_ArchitectureOffices!D1751</f>
        <v>0</v>
      </c>
      <c r="L1751" s="102">
        <f>tbl_ArchitectureOffices!C1751</f>
        <v>0</v>
      </c>
      <c r="M1751" s="102">
        <f t="shared" si="81"/>
        <v>0</v>
      </c>
      <c r="N1751" s="102">
        <f>tbl_Companys!D1751</f>
        <v>0</v>
      </c>
      <c r="O1751" s="102">
        <f>tbl_Companys!C1751</f>
        <v>0</v>
      </c>
      <c r="P1751" s="102">
        <f t="shared" si="82"/>
        <v>0</v>
      </c>
      <c r="Q1751" s="102">
        <f>tbl_ConsultingCompanys!D1751</f>
        <v>0</v>
      </c>
      <c r="R1751" s="102">
        <f>tbl_ConsultingCompanys!C1751</f>
        <v>0</v>
      </c>
      <c r="S1751" s="102">
        <f t="shared" si="83"/>
        <v>0</v>
      </c>
    </row>
    <row r="1752" spans="11:19" x14ac:dyDescent="0.15">
      <c r="K1752" s="102">
        <f>tbl_ArchitectureOffices!D1752</f>
        <v>0</v>
      </c>
      <c r="L1752" s="102">
        <f>tbl_ArchitectureOffices!C1752</f>
        <v>0</v>
      </c>
      <c r="M1752" s="102">
        <f t="shared" si="81"/>
        <v>0</v>
      </c>
      <c r="N1752" s="102">
        <f>tbl_Companys!D1752</f>
        <v>0</v>
      </c>
      <c r="O1752" s="102">
        <f>tbl_Companys!C1752</f>
        <v>0</v>
      </c>
      <c r="P1752" s="102">
        <f t="shared" si="82"/>
        <v>0</v>
      </c>
      <c r="Q1752" s="102">
        <f>tbl_ConsultingCompanys!D1752</f>
        <v>0</v>
      </c>
      <c r="R1752" s="102">
        <f>tbl_ConsultingCompanys!C1752</f>
        <v>0</v>
      </c>
      <c r="S1752" s="102">
        <f t="shared" si="83"/>
        <v>0</v>
      </c>
    </row>
    <row r="1753" spans="11:19" x14ac:dyDescent="0.15">
      <c r="K1753" s="102">
        <f>tbl_ArchitectureOffices!D1753</f>
        <v>0</v>
      </c>
      <c r="L1753" s="102">
        <f>tbl_ArchitectureOffices!C1753</f>
        <v>0</v>
      </c>
      <c r="M1753" s="102">
        <f t="shared" si="81"/>
        <v>0</v>
      </c>
      <c r="N1753" s="102">
        <f>tbl_Companys!D1753</f>
        <v>0</v>
      </c>
      <c r="O1753" s="102">
        <f>tbl_Companys!C1753</f>
        <v>0</v>
      </c>
      <c r="P1753" s="102">
        <f t="shared" si="82"/>
        <v>0</v>
      </c>
      <c r="Q1753" s="102">
        <f>tbl_ConsultingCompanys!D1753</f>
        <v>0</v>
      </c>
      <c r="R1753" s="102">
        <f>tbl_ConsultingCompanys!C1753</f>
        <v>0</v>
      </c>
      <c r="S1753" s="102">
        <f t="shared" si="83"/>
        <v>0</v>
      </c>
    </row>
    <row r="1754" spans="11:19" x14ac:dyDescent="0.15">
      <c r="K1754" s="102">
        <f>tbl_ArchitectureOffices!D1754</f>
        <v>0</v>
      </c>
      <c r="L1754" s="102">
        <f>tbl_ArchitectureOffices!C1754</f>
        <v>0</v>
      </c>
      <c r="M1754" s="102">
        <f t="shared" si="81"/>
        <v>0</v>
      </c>
      <c r="N1754" s="102">
        <f>tbl_Companys!D1754</f>
        <v>0</v>
      </c>
      <c r="O1754" s="102">
        <f>tbl_Companys!C1754</f>
        <v>0</v>
      </c>
      <c r="P1754" s="102">
        <f t="shared" si="82"/>
        <v>0</v>
      </c>
      <c r="Q1754" s="102">
        <f>tbl_ConsultingCompanys!D1754</f>
        <v>0</v>
      </c>
      <c r="R1754" s="102">
        <f>tbl_ConsultingCompanys!C1754</f>
        <v>0</v>
      </c>
      <c r="S1754" s="102">
        <f t="shared" si="83"/>
        <v>0</v>
      </c>
    </row>
    <row r="1755" spans="11:19" x14ac:dyDescent="0.15">
      <c r="K1755" s="102">
        <f>tbl_ArchitectureOffices!D1755</f>
        <v>0</v>
      </c>
      <c r="L1755" s="102">
        <f>tbl_ArchitectureOffices!C1755</f>
        <v>0</v>
      </c>
      <c r="M1755" s="102">
        <f t="shared" si="81"/>
        <v>0</v>
      </c>
      <c r="N1755" s="102">
        <f>tbl_Companys!D1755</f>
        <v>0</v>
      </c>
      <c r="O1755" s="102">
        <f>tbl_Companys!C1755</f>
        <v>0</v>
      </c>
      <c r="P1755" s="102">
        <f t="shared" si="82"/>
        <v>0</v>
      </c>
      <c r="Q1755" s="102">
        <f>tbl_ConsultingCompanys!D1755</f>
        <v>0</v>
      </c>
      <c r="R1755" s="102">
        <f>tbl_ConsultingCompanys!C1755</f>
        <v>0</v>
      </c>
      <c r="S1755" s="102">
        <f t="shared" si="83"/>
        <v>0</v>
      </c>
    </row>
    <row r="1756" spans="11:19" x14ac:dyDescent="0.15">
      <c r="K1756" s="102">
        <f>tbl_ArchitectureOffices!D1756</f>
        <v>0</v>
      </c>
      <c r="L1756" s="102">
        <f>tbl_ArchitectureOffices!C1756</f>
        <v>0</v>
      </c>
      <c r="M1756" s="102">
        <f t="shared" si="81"/>
        <v>0</v>
      </c>
      <c r="N1756" s="102">
        <f>tbl_Companys!D1756</f>
        <v>0</v>
      </c>
      <c r="O1756" s="102">
        <f>tbl_Companys!C1756</f>
        <v>0</v>
      </c>
      <c r="P1756" s="102">
        <f t="shared" si="82"/>
        <v>0</v>
      </c>
      <c r="Q1756" s="102">
        <f>tbl_ConsultingCompanys!D1756</f>
        <v>0</v>
      </c>
      <c r="R1756" s="102">
        <f>tbl_ConsultingCompanys!C1756</f>
        <v>0</v>
      </c>
      <c r="S1756" s="102">
        <f t="shared" si="83"/>
        <v>0</v>
      </c>
    </row>
    <row r="1757" spans="11:19" x14ac:dyDescent="0.15">
      <c r="K1757" s="102">
        <f>tbl_ArchitectureOffices!D1757</f>
        <v>0</v>
      </c>
      <c r="L1757" s="102">
        <f>tbl_ArchitectureOffices!C1757</f>
        <v>0</v>
      </c>
      <c r="M1757" s="102">
        <f t="shared" si="81"/>
        <v>0</v>
      </c>
      <c r="N1757" s="102">
        <f>tbl_Companys!D1757</f>
        <v>0</v>
      </c>
      <c r="O1757" s="102">
        <f>tbl_Companys!C1757</f>
        <v>0</v>
      </c>
      <c r="P1757" s="102">
        <f t="shared" si="82"/>
        <v>0</v>
      </c>
      <c r="Q1757" s="102">
        <f>tbl_ConsultingCompanys!D1757</f>
        <v>0</v>
      </c>
      <c r="R1757" s="102">
        <f>tbl_ConsultingCompanys!C1757</f>
        <v>0</v>
      </c>
      <c r="S1757" s="102">
        <f t="shared" si="83"/>
        <v>0</v>
      </c>
    </row>
    <row r="1758" spans="11:19" x14ac:dyDescent="0.15">
      <c r="K1758" s="102">
        <f>tbl_ArchitectureOffices!D1758</f>
        <v>0</v>
      </c>
      <c r="L1758" s="102">
        <f>tbl_ArchitectureOffices!C1758</f>
        <v>0</v>
      </c>
      <c r="M1758" s="102">
        <f t="shared" si="81"/>
        <v>0</v>
      </c>
      <c r="N1758" s="102">
        <f>tbl_Companys!D1758</f>
        <v>0</v>
      </c>
      <c r="O1758" s="102">
        <f>tbl_Companys!C1758</f>
        <v>0</v>
      </c>
      <c r="P1758" s="102">
        <f t="shared" si="82"/>
        <v>0</v>
      </c>
      <c r="Q1758" s="102">
        <f>tbl_ConsultingCompanys!D1758</f>
        <v>0</v>
      </c>
      <c r="R1758" s="102">
        <f>tbl_ConsultingCompanys!C1758</f>
        <v>0</v>
      </c>
      <c r="S1758" s="102">
        <f t="shared" si="83"/>
        <v>0</v>
      </c>
    </row>
    <row r="1759" spans="11:19" x14ac:dyDescent="0.15">
      <c r="K1759" s="102">
        <f>tbl_ArchitectureOffices!D1759</f>
        <v>0</v>
      </c>
      <c r="L1759" s="102">
        <f>tbl_ArchitectureOffices!C1759</f>
        <v>0</v>
      </c>
      <c r="M1759" s="102">
        <f t="shared" si="81"/>
        <v>0</v>
      </c>
      <c r="N1759" s="102">
        <f>tbl_Companys!D1759</f>
        <v>0</v>
      </c>
      <c r="O1759" s="102">
        <f>tbl_Companys!C1759</f>
        <v>0</v>
      </c>
      <c r="P1759" s="102">
        <f t="shared" si="82"/>
        <v>0</v>
      </c>
      <c r="Q1759" s="102">
        <f>tbl_ConsultingCompanys!D1759</f>
        <v>0</v>
      </c>
      <c r="R1759" s="102">
        <f>tbl_ConsultingCompanys!C1759</f>
        <v>0</v>
      </c>
      <c r="S1759" s="102">
        <f t="shared" si="83"/>
        <v>0</v>
      </c>
    </row>
    <row r="1760" spans="11:19" x14ac:dyDescent="0.15">
      <c r="K1760" s="102">
        <f>tbl_ArchitectureOffices!D1760</f>
        <v>0</v>
      </c>
      <c r="L1760" s="102">
        <f>tbl_ArchitectureOffices!C1760</f>
        <v>0</v>
      </c>
      <c r="M1760" s="102">
        <f t="shared" si="81"/>
        <v>0</v>
      </c>
      <c r="N1760" s="102">
        <f>tbl_Companys!D1760</f>
        <v>0</v>
      </c>
      <c r="O1760" s="102">
        <f>tbl_Companys!C1760</f>
        <v>0</v>
      </c>
      <c r="P1760" s="102">
        <f t="shared" si="82"/>
        <v>0</v>
      </c>
      <c r="Q1760" s="102">
        <f>tbl_ConsultingCompanys!D1760</f>
        <v>0</v>
      </c>
      <c r="R1760" s="102">
        <f>tbl_ConsultingCompanys!C1760</f>
        <v>0</v>
      </c>
      <c r="S1760" s="102">
        <f t="shared" si="83"/>
        <v>0</v>
      </c>
    </row>
    <row r="1761" spans="11:19" x14ac:dyDescent="0.15">
      <c r="K1761" s="102">
        <f>tbl_ArchitectureOffices!D1761</f>
        <v>0</v>
      </c>
      <c r="L1761" s="102">
        <f>tbl_ArchitectureOffices!C1761</f>
        <v>0</v>
      </c>
      <c r="M1761" s="102">
        <f t="shared" si="81"/>
        <v>0</v>
      </c>
      <c r="N1761" s="102">
        <f>tbl_Companys!D1761</f>
        <v>0</v>
      </c>
      <c r="O1761" s="102">
        <f>tbl_Companys!C1761</f>
        <v>0</v>
      </c>
      <c r="P1761" s="102">
        <f t="shared" si="82"/>
        <v>0</v>
      </c>
      <c r="Q1761" s="102">
        <f>tbl_ConsultingCompanys!D1761</f>
        <v>0</v>
      </c>
      <c r="R1761" s="102">
        <f>tbl_ConsultingCompanys!C1761</f>
        <v>0</v>
      </c>
      <c r="S1761" s="102">
        <f t="shared" si="83"/>
        <v>0</v>
      </c>
    </row>
    <row r="1762" spans="11:19" x14ac:dyDescent="0.15">
      <c r="K1762" s="102">
        <f>tbl_ArchitectureOffices!D1762</f>
        <v>0</v>
      </c>
      <c r="L1762" s="102">
        <f>tbl_ArchitectureOffices!C1762</f>
        <v>0</v>
      </c>
      <c r="M1762" s="102">
        <f t="shared" si="81"/>
        <v>0</v>
      </c>
      <c r="N1762" s="102">
        <f>tbl_Companys!D1762</f>
        <v>0</v>
      </c>
      <c r="O1762" s="102">
        <f>tbl_Companys!C1762</f>
        <v>0</v>
      </c>
      <c r="P1762" s="102">
        <f t="shared" si="82"/>
        <v>0</v>
      </c>
      <c r="Q1762" s="102">
        <f>tbl_ConsultingCompanys!D1762</f>
        <v>0</v>
      </c>
      <c r="R1762" s="102">
        <f>tbl_ConsultingCompanys!C1762</f>
        <v>0</v>
      </c>
      <c r="S1762" s="102">
        <f t="shared" si="83"/>
        <v>0</v>
      </c>
    </row>
    <row r="1763" spans="11:19" x14ac:dyDescent="0.15">
      <c r="K1763" s="102">
        <f>tbl_ArchitectureOffices!D1763</f>
        <v>0</v>
      </c>
      <c r="L1763" s="102">
        <f>tbl_ArchitectureOffices!C1763</f>
        <v>0</v>
      </c>
      <c r="M1763" s="102">
        <f t="shared" si="81"/>
        <v>0</v>
      </c>
      <c r="N1763" s="102">
        <f>tbl_Companys!D1763</f>
        <v>0</v>
      </c>
      <c r="O1763" s="102">
        <f>tbl_Companys!C1763</f>
        <v>0</v>
      </c>
      <c r="P1763" s="102">
        <f t="shared" si="82"/>
        <v>0</v>
      </c>
      <c r="Q1763" s="102">
        <f>tbl_ConsultingCompanys!D1763</f>
        <v>0</v>
      </c>
      <c r="R1763" s="102">
        <f>tbl_ConsultingCompanys!C1763</f>
        <v>0</v>
      </c>
      <c r="S1763" s="102">
        <f t="shared" si="83"/>
        <v>0</v>
      </c>
    </row>
    <row r="1764" spans="11:19" x14ac:dyDescent="0.15">
      <c r="K1764" s="102">
        <f>tbl_ArchitectureOffices!D1764</f>
        <v>0</v>
      </c>
      <c r="L1764" s="102">
        <f>tbl_ArchitectureOffices!C1764</f>
        <v>0</v>
      </c>
      <c r="M1764" s="102">
        <f t="shared" si="81"/>
        <v>0</v>
      </c>
      <c r="N1764" s="102">
        <f>tbl_Companys!D1764</f>
        <v>0</v>
      </c>
      <c r="O1764" s="102">
        <f>tbl_Companys!C1764</f>
        <v>0</v>
      </c>
      <c r="P1764" s="102">
        <f t="shared" si="82"/>
        <v>0</v>
      </c>
      <c r="Q1764" s="102">
        <f>tbl_ConsultingCompanys!D1764</f>
        <v>0</v>
      </c>
      <c r="R1764" s="102">
        <f>tbl_ConsultingCompanys!C1764</f>
        <v>0</v>
      </c>
      <c r="S1764" s="102">
        <f t="shared" si="83"/>
        <v>0</v>
      </c>
    </row>
    <row r="1765" spans="11:19" x14ac:dyDescent="0.15">
      <c r="K1765" s="102">
        <f>tbl_ArchitectureOffices!D1765</f>
        <v>0</v>
      </c>
      <c r="L1765" s="102">
        <f>tbl_ArchitectureOffices!C1765</f>
        <v>0</v>
      </c>
      <c r="M1765" s="102">
        <f t="shared" si="81"/>
        <v>0</v>
      </c>
      <c r="N1765" s="102">
        <f>tbl_Companys!D1765</f>
        <v>0</v>
      </c>
      <c r="O1765" s="102">
        <f>tbl_Companys!C1765</f>
        <v>0</v>
      </c>
      <c r="P1765" s="102">
        <f t="shared" si="82"/>
        <v>0</v>
      </c>
      <c r="Q1765" s="102">
        <f>tbl_ConsultingCompanys!D1765</f>
        <v>0</v>
      </c>
      <c r="R1765" s="102">
        <f>tbl_ConsultingCompanys!C1765</f>
        <v>0</v>
      </c>
      <c r="S1765" s="102">
        <f t="shared" si="83"/>
        <v>0</v>
      </c>
    </row>
    <row r="1766" spans="11:19" x14ac:dyDescent="0.15">
      <c r="K1766" s="102">
        <f>tbl_ArchitectureOffices!D1766</f>
        <v>0</v>
      </c>
      <c r="L1766" s="102">
        <f>tbl_ArchitectureOffices!C1766</f>
        <v>0</v>
      </c>
      <c r="M1766" s="102">
        <f t="shared" si="81"/>
        <v>0</v>
      </c>
      <c r="N1766" s="102">
        <f>tbl_Companys!D1766</f>
        <v>0</v>
      </c>
      <c r="O1766" s="102">
        <f>tbl_Companys!C1766</f>
        <v>0</v>
      </c>
      <c r="P1766" s="102">
        <f t="shared" si="82"/>
        <v>0</v>
      </c>
      <c r="Q1766" s="102">
        <f>tbl_ConsultingCompanys!D1766</f>
        <v>0</v>
      </c>
      <c r="R1766" s="102">
        <f>tbl_ConsultingCompanys!C1766</f>
        <v>0</v>
      </c>
      <c r="S1766" s="102">
        <f t="shared" si="83"/>
        <v>0</v>
      </c>
    </row>
    <row r="1767" spans="11:19" x14ac:dyDescent="0.15">
      <c r="K1767" s="102">
        <f>tbl_ArchitectureOffices!D1767</f>
        <v>0</v>
      </c>
      <c r="L1767" s="102">
        <f>tbl_ArchitectureOffices!C1767</f>
        <v>0</v>
      </c>
      <c r="M1767" s="102">
        <f t="shared" si="81"/>
        <v>0</v>
      </c>
      <c r="N1767" s="102">
        <f>tbl_Companys!D1767</f>
        <v>0</v>
      </c>
      <c r="O1767" s="102">
        <f>tbl_Companys!C1767</f>
        <v>0</v>
      </c>
      <c r="P1767" s="102">
        <f t="shared" si="82"/>
        <v>0</v>
      </c>
      <c r="Q1767" s="102">
        <f>tbl_ConsultingCompanys!D1767</f>
        <v>0</v>
      </c>
      <c r="R1767" s="102">
        <f>tbl_ConsultingCompanys!C1767</f>
        <v>0</v>
      </c>
      <c r="S1767" s="102">
        <f t="shared" si="83"/>
        <v>0</v>
      </c>
    </row>
    <row r="1768" spans="11:19" x14ac:dyDescent="0.15">
      <c r="K1768" s="102">
        <f>tbl_ArchitectureOffices!D1768</f>
        <v>0</v>
      </c>
      <c r="L1768" s="102">
        <f>tbl_ArchitectureOffices!C1768</f>
        <v>0</v>
      </c>
      <c r="M1768" s="102">
        <f t="shared" si="81"/>
        <v>0</v>
      </c>
      <c r="N1768" s="102">
        <f>tbl_Companys!D1768</f>
        <v>0</v>
      </c>
      <c r="O1768" s="102">
        <f>tbl_Companys!C1768</f>
        <v>0</v>
      </c>
      <c r="P1768" s="102">
        <f t="shared" si="82"/>
        <v>0</v>
      </c>
      <c r="Q1768" s="102">
        <f>tbl_ConsultingCompanys!D1768</f>
        <v>0</v>
      </c>
      <c r="R1768" s="102">
        <f>tbl_ConsultingCompanys!C1768</f>
        <v>0</v>
      </c>
      <c r="S1768" s="102">
        <f t="shared" si="83"/>
        <v>0</v>
      </c>
    </row>
    <row r="1769" spans="11:19" x14ac:dyDescent="0.15">
      <c r="K1769" s="102">
        <f>tbl_ArchitectureOffices!D1769</f>
        <v>0</v>
      </c>
      <c r="L1769" s="102">
        <f>tbl_ArchitectureOffices!C1769</f>
        <v>0</v>
      </c>
      <c r="M1769" s="102">
        <f t="shared" si="81"/>
        <v>0</v>
      </c>
      <c r="N1769" s="102">
        <f>tbl_Companys!D1769</f>
        <v>0</v>
      </c>
      <c r="O1769" s="102">
        <f>tbl_Companys!C1769</f>
        <v>0</v>
      </c>
      <c r="P1769" s="102">
        <f t="shared" si="82"/>
        <v>0</v>
      </c>
      <c r="Q1769" s="102">
        <f>tbl_ConsultingCompanys!D1769</f>
        <v>0</v>
      </c>
      <c r="R1769" s="102">
        <f>tbl_ConsultingCompanys!C1769</f>
        <v>0</v>
      </c>
      <c r="S1769" s="102">
        <f t="shared" si="83"/>
        <v>0</v>
      </c>
    </row>
    <row r="1770" spans="11:19" x14ac:dyDescent="0.15">
      <c r="K1770" s="102">
        <f>tbl_ArchitectureOffices!D1770</f>
        <v>0</v>
      </c>
      <c r="L1770" s="102">
        <f>tbl_ArchitectureOffices!C1770</f>
        <v>0</v>
      </c>
      <c r="M1770" s="102">
        <f t="shared" si="81"/>
        <v>0</v>
      </c>
      <c r="N1770" s="102">
        <f>tbl_Companys!D1770</f>
        <v>0</v>
      </c>
      <c r="O1770" s="102">
        <f>tbl_Companys!C1770</f>
        <v>0</v>
      </c>
      <c r="P1770" s="102">
        <f t="shared" si="82"/>
        <v>0</v>
      </c>
      <c r="Q1770" s="102">
        <f>tbl_ConsultingCompanys!D1770</f>
        <v>0</v>
      </c>
      <c r="R1770" s="102">
        <f>tbl_ConsultingCompanys!C1770</f>
        <v>0</v>
      </c>
      <c r="S1770" s="102">
        <f t="shared" si="83"/>
        <v>0</v>
      </c>
    </row>
    <row r="1771" spans="11:19" x14ac:dyDescent="0.15">
      <c r="K1771" s="102">
        <f>tbl_ArchitectureOffices!D1771</f>
        <v>0</v>
      </c>
      <c r="L1771" s="102">
        <f>tbl_ArchitectureOffices!C1771</f>
        <v>0</v>
      </c>
      <c r="M1771" s="102">
        <f t="shared" si="81"/>
        <v>0</v>
      </c>
      <c r="N1771" s="102">
        <f>tbl_Companys!D1771</f>
        <v>0</v>
      </c>
      <c r="O1771" s="102">
        <f>tbl_Companys!C1771</f>
        <v>0</v>
      </c>
      <c r="P1771" s="102">
        <f t="shared" si="82"/>
        <v>0</v>
      </c>
      <c r="Q1771" s="102">
        <f>tbl_ConsultingCompanys!D1771</f>
        <v>0</v>
      </c>
      <c r="R1771" s="102">
        <f>tbl_ConsultingCompanys!C1771</f>
        <v>0</v>
      </c>
      <c r="S1771" s="102">
        <f t="shared" si="83"/>
        <v>0</v>
      </c>
    </row>
    <row r="1772" spans="11:19" x14ac:dyDescent="0.15">
      <c r="K1772" s="102">
        <f>tbl_ArchitectureOffices!D1772</f>
        <v>0</v>
      </c>
      <c r="L1772" s="102">
        <f>tbl_ArchitectureOffices!C1772</f>
        <v>0</v>
      </c>
      <c r="M1772" s="102">
        <f t="shared" si="81"/>
        <v>0</v>
      </c>
      <c r="N1772" s="102">
        <f>tbl_Companys!D1772</f>
        <v>0</v>
      </c>
      <c r="O1772" s="102">
        <f>tbl_Companys!C1772</f>
        <v>0</v>
      </c>
      <c r="P1772" s="102">
        <f t="shared" si="82"/>
        <v>0</v>
      </c>
      <c r="Q1772" s="102">
        <f>tbl_ConsultingCompanys!D1772</f>
        <v>0</v>
      </c>
      <c r="R1772" s="102">
        <f>tbl_ConsultingCompanys!C1772</f>
        <v>0</v>
      </c>
      <c r="S1772" s="102">
        <f t="shared" si="83"/>
        <v>0</v>
      </c>
    </row>
    <row r="1773" spans="11:19" x14ac:dyDescent="0.15">
      <c r="K1773" s="102">
        <f>tbl_ArchitectureOffices!D1773</f>
        <v>0</v>
      </c>
      <c r="L1773" s="102">
        <f>tbl_ArchitectureOffices!C1773</f>
        <v>0</v>
      </c>
      <c r="M1773" s="102">
        <f t="shared" si="81"/>
        <v>0</v>
      </c>
      <c r="N1773" s="102">
        <f>tbl_Companys!D1773</f>
        <v>0</v>
      </c>
      <c r="O1773" s="102">
        <f>tbl_Companys!C1773</f>
        <v>0</v>
      </c>
      <c r="P1773" s="102">
        <f t="shared" si="82"/>
        <v>0</v>
      </c>
      <c r="Q1773" s="102">
        <f>tbl_ConsultingCompanys!D1773</f>
        <v>0</v>
      </c>
      <c r="R1773" s="102">
        <f>tbl_ConsultingCompanys!C1773</f>
        <v>0</v>
      </c>
      <c r="S1773" s="102">
        <f t="shared" si="83"/>
        <v>0</v>
      </c>
    </row>
    <row r="1774" spans="11:19" x14ac:dyDescent="0.15">
      <c r="K1774" s="102">
        <f>tbl_ArchitectureOffices!D1774</f>
        <v>0</v>
      </c>
      <c r="L1774" s="102">
        <f>tbl_ArchitectureOffices!C1774</f>
        <v>0</v>
      </c>
      <c r="M1774" s="102">
        <f t="shared" si="81"/>
        <v>0</v>
      </c>
      <c r="N1774" s="102">
        <f>tbl_Companys!D1774</f>
        <v>0</v>
      </c>
      <c r="O1774" s="102">
        <f>tbl_Companys!C1774</f>
        <v>0</v>
      </c>
      <c r="P1774" s="102">
        <f t="shared" si="82"/>
        <v>0</v>
      </c>
      <c r="Q1774" s="102">
        <f>tbl_ConsultingCompanys!D1774</f>
        <v>0</v>
      </c>
      <c r="R1774" s="102">
        <f>tbl_ConsultingCompanys!C1774</f>
        <v>0</v>
      </c>
      <c r="S1774" s="102">
        <f t="shared" si="83"/>
        <v>0</v>
      </c>
    </row>
    <row r="1775" spans="11:19" x14ac:dyDescent="0.15">
      <c r="K1775" s="102">
        <f>tbl_ArchitectureOffices!D1775</f>
        <v>0</v>
      </c>
      <c r="L1775" s="102">
        <f>tbl_ArchitectureOffices!C1775</f>
        <v>0</v>
      </c>
      <c r="M1775" s="102">
        <f t="shared" si="81"/>
        <v>0</v>
      </c>
      <c r="N1775" s="102">
        <f>tbl_Companys!D1775</f>
        <v>0</v>
      </c>
      <c r="O1775" s="102">
        <f>tbl_Companys!C1775</f>
        <v>0</v>
      </c>
      <c r="P1775" s="102">
        <f t="shared" si="82"/>
        <v>0</v>
      </c>
      <c r="Q1775" s="102">
        <f>tbl_ConsultingCompanys!D1775</f>
        <v>0</v>
      </c>
      <c r="R1775" s="102">
        <f>tbl_ConsultingCompanys!C1775</f>
        <v>0</v>
      </c>
      <c r="S1775" s="102">
        <f t="shared" si="83"/>
        <v>0</v>
      </c>
    </row>
    <row r="1776" spans="11:19" x14ac:dyDescent="0.15">
      <c r="K1776" s="102">
        <f>tbl_ArchitectureOffices!D1776</f>
        <v>0</v>
      </c>
      <c r="L1776" s="102">
        <f>tbl_ArchitectureOffices!C1776</f>
        <v>0</v>
      </c>
      <c r="M1776" s="102">
        <f t="shared" si="81"/>
        <v>0</v>
      </c>
      <c r="N1776" s="102">
        <f>tbl_Companys!D1776</f>
        <v>0</v>
      </c>
      <c r="O1776" s="102">
        <f>tbl_Companys!C1776</f>
        <v>0</v>
      </c>
      <c r="P1776" s="102">
        <f t="shared" si="82"/>
        <v>0</v>
      </c>
      <c r="Q1776" s="102">
        <f>tbl_ConsultingCompanys!D1776</f>
        <v>0</v>
      </c>
      <c r="R1776" s="102">
        <f>tbl_ConsultingCompanys!C1776</f>
        <v>0</v>
      </c>
      <c r="S1776" s="102">
        <f t="shared" si="83"/>
        <v>0</v>
      </c>
    </row>
    <row r="1777" spans="11:19" x14ac:dyDescent="0.15">
      <c r="K1777" s="102">
        <f>tbl_ArchitectureOffices!D1777</f>
        <v>0</v>
      </c>
      <c r="L1777" s="102">
        <f>tbl_ArchitectureOffices!C1777</f>
        <v>0</v>
      </c>
      <c r="M1777" s="102">
        <f t="shared" si="81"/>
        <v>0</v>
      </c>
      <c r="N1777" s="102">
        <f>tbl_Companys!D1777</f>
        <v>0</v>
      </c>
      <c r="O1777" s="102">
        <f>tbl_Companys!C1777</f>
        <v>0</v>
      </c>
      <c r="P1777" s="102">
        <f t="shared" si="82"/>
        <v>0</v>
      </c>
      <c r="Q1777" s="102">
        <f>tbl_ConsultingCompanys!D1777</f>
        <v>0</v>
      </c>
      <c r="R1777" s="102">
        <f>tbl_ConsultingCompanys!C1777</f>
        <v>0</v>
      </c>
      <c r="S1777" s="102">
        <f t="shared" si="83"/>
        <v>0</v>
      </c>
    </row>
    <row r="1778" spans="11:19" x14ac:dyDescent="0.15">
      <c r="K1778" s="102">
        <f>tbl_ArchitectureOffices!D1778</f>
        <v>0</v>
      </c>
      <c r="L1778" s="102">
        <f>tbl_ArchitectureOffices!C1778</f>
        <v>0</v>
      </c>
      <c r="M1778" s="102">
        <f t="shared" si="81"/>
        <v>0</v>
      </c>
      <c r="N1778" s="102">
        <f>tbl_Companys!D1778</f>
        <v>0</v>
      </c>
      <c r="O1778" s="102">
        <f>tbl_Companys!C1778</f>
        <v>0</v>
      </c>
      <c r="P1778" s="102">
        <f t="shared" si="82"/>
        <v>0</v>
      </c>
      <c r="Q1778" s="102">
        <f>tbl_ConsultingCompanys!D1778</f>
        <v>0</v>
      </c>
      <c r="R1778" s="102">
        <f>tbl_ConsultingCompanys!C1778</f>
        <v>0</v>
      </c>
      <c r="S1778" s="102">
        <f t="shared" si="83"/>
        <v>0</v>
      </c>
    </row>
    <row r="1779" spans="11:19" x14ac:dyDescent="0.15">
      <c r="K1779" s="102">
        <f>tbl_ArchitectureOffices!D1779</f>
        <v>0</v>
      </c>
      <c r="L1779" s="102">
        <f>tbl_ArchitectureOffices!C1779</f>
        <v>0</v>
      </c>
      <c r="M1779" s="102">
        <f t="shared" si="81"/>
        <v>0</v>
      </c>
      <c r="N1779" s="102">
        <f>tbl_Companys!D1779</f>
        <v>0</v>
      </c>
      <c r="O1779" s="102">
        <f>tbl_Companys!C1779</f>
        <v>0</v>
      </c>
      <c r="P1779" s="102">
        <f t="shared" si="82"/>
        <v>0</v>
      </c>
      <c r="Q1779" s="102">
        <f>tbl_ConsultingCompanys!D1779</f>
        <v>0</v>
      </c>
      <c r="R1779" s="102">
        <f>tbl_ConsultingCompanys!C1779</f>
        <v>0</v>
      </c>
      <c r="S1779" s="102">
        <f t="shared" si="83"/>
        <v>0</v>
      </c>
    </row>
    <row r="1780" spans="11:19" x14ac:dyDescent="0.15">
      <c r="K1780" s="102">
        <f>tbl_ArchitectureOffices!D1780</f>
        <v>0</v>
      </c>
      <c r="L1780" s="102">
        <f>tbl_ArchitectureOffices!C1780</f>
        <v>0</v>
      </c>
      <c r="M1780" s="102">
        <f t="shared" si="81"/>
        <v>0</v>
      </c>
      <c r="N1780" s="102">
        <f>tbl_Companys!D1780</f>
        <v>0</v>
      </c>
      <c r="O1780" s="102">
        <f>tbl_Companys!C1780</f>
        <v>0</v>
      </c>
      <c r="P1780" s="102">
        <f t="shared" si="82"/>
        <v>0</v>
      </c>
      <c r="Q1780" s="102">
        <f>tbl_ConsultingCompanys!D1780</f>
        <v>0</v>
      </c>
      <c r="R1780" s="102">
        <f>tbl_ConsultingCompanys!C1780</f>
        <v>0</v>
      </c>
      <c r="S1780" s="102">
        <f t="shared" si="83"/>
        <v>0</v>
      </c>
    </row>
    <row r="1781" spans="11:19" x14ac:dyDescent="0.15">
      <c r="K1781" s="102">
        <f>tbl_ArchitectureOffices!D1781</f>
        <v>0</v>
      </c>
      <c r="L1781" s="102">
        <f>tbl_ArchitectureOffices!C1781</f>
        <v>0</v>
      </c>
      <c r="M1781" s="102">
        <f t="shared" si="81"/>
        <v>0</v>
      </c>
      <c r="N1781" s="102">
        <f>tbl_Companys!D1781</f>
        <v>0</v>
      </c>
      <c r="O1781" s="102">
        <f>tbl_Companys!C1781</f>
        <v>0</v>
      </c>
      <c r="P1781" s="102">
        <f t="shared" si="82"/>
        <v>0</v>
      </c>
      <c r="Q1781" s="102">
        <f>tbl_ConsultingCompanys!D1781</f>
        <v>0</v>
      </c>
      <c r="R1781" s="102">
        <f>tbl_ConsultingCompanys!C1781</f>
        <v>0</v>
      </c>
      <c r="S1781" s="102">
        <f t="shared" si="83"/>
        <v>0</v>
      </c>
    </row>
    <row r="1782" spans="11:19" x14ac:dyDescent="0.15">
      <c r="K1782" s="102">
        <f>tbl_ArchitectureOffices!D1782</f>
        <v>0</v>
      </c>
      <c r="L1782" s="102">
        <f>tbl_ArchitectureOffices!C1782</f>
        <v>0</v>
      </c>
      <c r="M1782" s="102">
        <f t="shared" ref="M1782:M1845" si="84">IFERROR(REPLACE(K1782,FIND(" ",K1782,LEN(K1782)),1,""),K1782)</f>
        <v>0</v>
      </c>
      <c r="N1782" s="102">
        <f>tbl_Companys!D1782</f>
        <v>0</v>
      </c>
      <c r="O1782" s="102">
        <f>tbl_Companys!C1782</f>
        <v>0</v>
      </c>
      <c r="P1782" s="102">
        <f t="shared" si="82"/>
        <v>0</v>
      </c>
      <c r="Q1782" s="102">
        <f>tbl_ConsultingCompanys!D1782</f>
        <v>0</v>
      </c>
      <c r="R1782" s="102">
        <f>tbl_ConsultingCompanys!C1782</f>
        <v>0</v>
      </c>
      <c r="S1782" s="102">
        <f t="shared" si="83"/>
        <v>0</v>
      </c>
    </row>
    <row r="1783" spans="11:19" x14ac:dyDescent="0.15">
      <c r="K1783" s="102">
        <f>tbl_ArchitectureOffices!D1783</f>
        <v>0</v>
      </c>
      <c r="L1783" s="102">
        <f>tbl_ArchitectureOffices!C1783</f>
        <v>0</v>
      </c>
      <c r="M1783" s="102">
        <f t="shared" si="84"/>
        <v>0</v>
      </c>
      <c r="N1783" s="102">
        <f>tbl_Companys!D1783</f>
        <v>0</v>
      </c>
      <c r="O1783" s="102">
        <f>tbl_Companys!C1783</f>
        <v>0</v>
      </c>
      <c r="P1783" s="102">
        <f t="shared" si="82"/>
        <v>0</v>
      </c>
      <c r="Q1783" s="102">
        <f>tbl_ConsultingCompanys!D1783</f>
        <v>0</v>
      </c>
      <c r="R1783" s="102">
        <f>tbl_ConsultingCompanys!C1783</f>
        <v>0</v>
      </c>
      <c r="S1783" s="102">
        <f t="shared" si="83"/>
        <v>0</v>
      </c>
    </row>
    <row r="1784" spans="11:19" x14ac:dyDescent="0.15">
      <c r="K1784" s="102">
        <f>tbl_ArchitectureOffices!D1784</f>
        <v>0</v>
      </c>
      <c r="L1784" s="102">
        <f>tbl_ArchitectureOffices!C1784</f>
        <v>0</v>
      </c>
      <c r="M1784" s="102">
        <f t="shared" si="84"/>
        <v>0</v>
      </c>
      <c r="N1784" s="102">
        <f>tbl_Companys!D1784</f>
        <v>0</v>
      </c>
      <c r="O1784" s="102">
        <f>tbl_Companys!C1784</f>
        <v>0</v>
      </c>
      <c r="P1784" s="102">
        <f t="shared" si="82"/>
        <v>0</v>
      </c>
      <c r="Q1784" s="102">
        <f>tbl_ConsultingCompanys!D1784</f>
        <v>0</v>
      </c>
      <c r="R1784" s="102">
        <f>tbl_ConsultingCompanys!C1784</f>
        <v>0</v>
      </c>
      <c r="S1784" s="102">
        <f t="shared" si="83"/>
        <v>0</v>
      </c>
    </row>
    <row r="1785" spans="11:19" x14ac:dyDescent="0.15">
      <c r="K1785" s="102">
        <f>tbl_ArchitectureOffices!D1785</f>
        <v>0</v>
      </c>
      <c r="L1785" s="102">
        <f>tbl_ArchitectureOffices!C1785</f>
        <v>0</v>
      </c>
      <c r="M1785" s="102">
        <f t="shared" si="84"/>
        <v>0</v>
      </c>
      <c r="N1785" s="102">
        <f>tbl_Companys!D1785</f>
        <v>0</v>
      </c>
      <c r="O1785" s="102">
        <f>tbl_Companys!C1785</f>
        <v>0</v>
      </c>
      <c r="P1785" s="102">
        <f t="shared" si="82"/>
        <v>0</v>
      </c>
      <c r="Q1785" s="102">
        <f>tbl_ConsultingCompanys!D1785</f>
        <v>0</v>
      </c>
      <c r="R1785" s="102">
        <f>tbl_ConsultingCompanys!C1785</f>
        <v>0</v>
      </c>
      <c r="S1785" s="102">
        <f t="shared" si="83"/>
        <v>0</v>
      </c>
    </row>
    <row r="1786" spans="11:19" x14ac:dyDescent="0.15">
      <c r="K1786" s="102">
        <f>tbl_ArchitectureOffices!D1786</f>
        <v>0</v>
      </c>
      <c r="L1786" s="102">
        <f>tbl_ArchitectureOffices!C1786</f>
        <v>0</v>
      </c>
      <c r="M1786" s="102">
        <f t="shared" si="84"/>
        <v>0</v>
      </c>
      <c r="N1786" s="102">
        <f>tbl_Companys!D1786</f>
        <v>0</v>
      </c>
      <c r="O1786" s="102">
        <f>tbl_Companys!C1786</f>
        <v>0</v>
      </c>
      <c r="P1786" s="102">
        <f t="shared" si="82"/>
        <v>0</v>
      </c>
      <c r="Q1786" s="102">
        <f>tbl_ConsultingCompanys!D1786</f>
        <v>0</v>
      </c>
      <c r="R1786" s="102">
        <f>tbl_ConsultingCompanys!C1786</f>
        <v>0</v>
      </c>
      <c r="S1786" s="102">
        <f t="shared" si="83"/>
        <v>0</v>
      </c>
    </row>
    <row r="1787" spans="11:19" x14ac:dyDescent="0.15">
      <c r="K1787" s="102">
        <f>tbl_ArchitectureOffices!D1787</f>
        <v>0</v>
      </c>
      <c r="L1787" s="102">
        <f>tbl_ArchitectureOffices!C1787</f>
        <v>0</v>
      </c>
      <c r="M1787" s="102">
        <f t="shared" si="84"/>
        <v>0</v>
      </c>
      <c r="N1787" s="102">
        <f>tbl_Companys!D1787</f>
        <v>0</v>
      </c>
      <c r="O1787" s="102">
        <f>tbl_Companys!C1787</f>
        <v>0</v>
      </c>
      <c r="P1787" s="102">
        <f t="shared" si="82"/>
        <v>0</v>
      </c>
      <c r="Q1787" s="102">
        <f>tbl_ConsultingCompanys!D1787</f>
        <v>0</v>
      </c>
      <c r="R1787" s="102">
        <f>tbl_ConsultingCompanys!C1787</f>
        <v>0</v>
      </c>
      <c r="S1787" s="102">
        <f t="shared" si="83"/>
        <v>0</v>
      </c>
    </row>
    <row r="1788" spans="11:19" x14ac:dyDescent="0.15">
      <c r="K1788" s="102">
        <f>tbl_ArchitectureOffices!D1788</f>
        <v>0</v>
      </c>
      <c r="L1788" s="102">
        <f>tbl_ArchitectureOffices!C1788</f>
        <v>0</v>
      </c>
      <c r="M1788" s="102">
        <f t="shared" si="84"/>
        <v>0</v>
      </c>
      <c r="N1788" s="102">
        <f>tbl_Companys!D1788</f>
        <v>0</v>
      </c>
      <c r="O1788" s="102">
        <f>tbl_Companys!C1788</f>
        <v>0</v>
      </c>
      <c r="P1788" s="102">
        <f t="shared" si="82"/>
        <v>0</v>
      </c>
      <c r="Q1788" s="102">
        <f>tbl_ConsultingCompanys!D1788</f>
        <v>0</v>
      </c>
      <c r="R1788" s="102">
        <f>tbl_ConsultingCompanys!C1788</f>
        <v>0</v>
      </c>
      <c r="S1788" s="102">
        <f t="shared" si="83"/>
        <v>0</v>
      </c>
    </row>
    <row r="1789" spans="11:19" x14ac:dyDescent="0.15">
      <c r="K1789" s="102">
        <f>tbl_ArchitectureOffices!D1789</f>
        <v>0</v>
      </c>
      <c r="L1789" s="102">
        <f>tbl_ArchitectureOffices!C1789</f>
        <v>0</v>
      </c>
      <c r="M1789" s="102">
        <f t="shared" si="84"/>
        <v>0</v>
      </c>
      <c r="N1789" s="102">
        <f>tbl_Companys!D1789</f>
        <v>0</v>
      </c>
      <c r="O1789" s="102">
        <f>tbl_Companys!C1789</f>
        <v>0</v>
      </c>
      <c r="P1789" s="102">
        <f t="shared" si="82"/>
        <v>0</v>
      </c>
      <c r="Q1789" s="102">
        <f>tbl_ConsultingCompanys!D1789</f>
        <v>0</v>
      </c>
      <c r="R1789" s="102">
        <f>tbl_ConsultingCompanys!C1789</f>
        <v>0</v>
      </c>
      <c r="S1789" s="102">
        <f t="shared" si="83"/>
        <v>0</v>
      </c>
    </row>
    <row r="1790" spans="11:19" x14ac:dyDescent="0.15">
      <c r="K1790" s="102">
        <f>tbl_ArchitectureOffices!D1790</f>
        <v>0</v>
      </c>
      <c r="L1790" s="102">
        <f>tbl_ArchitectureOffices!C1790</f>
        <v>0</v>
      </c>
      <c r="M1790" s="102">
        <f t="shared" si="84"/>
        <v>0</v>
      </c>
      <c r="N1790" s="102">
        <f>tbl_Companys!D1790</f>
        <v>0</v>
      </c>
      <c r="O1790" s="102">
        <f>tbl_Companys!C1790</f>
        <v>0</v>
      </c>
      <c r="P1790" s="102">
        <f t="shared" si="82"/>
        <v>0</v>
      </c>
      <c r="Q1790" s="102">
        <f>tbl_ConsultingCompanys!D1790</f>
        <v>0</v>
      </c>
      <c r="R1790" s="102">
        <f>tbl_ConsultingCompanys!C1790</f>
        <v>0</v>
      </c>
      <c r="S1790" s="102">
        <f t="shared" si="83"/>
        <v>0</v>
      </c>
    </row>
    <row r="1791" spans="11:19" x14ac:dyDescent="0.15">
      <c r="K1791" s="102">
        <f>tbl_ArchitectureOffices!D1791</f>
        <v>0</v>
      </c>
      <c r="L1791" s="102">
        <f>tbl_ArchitectureOffices!C1791</f>
        <v>0</v>
      </c>
      <c r="M1791" s="102">
        <f t="shared" si="84"/>
        <v>0</v>
      </c>
      <c r="N1791" s="102">
        <f>tbl_Companys!D1791</f>
        <v>0</v>
      </c>
      <c r="O1791" s="102">
        <f>tbl_Companys!C1791</f>
        <v>0</v>
      </c>
      <c r="P1791" s="102">
        <f t="shared" si="82"/>
        <v>0</v>
      </c>
      <c r="Q1791" s="102">
        <f>tbl_ConsultingCompanys!D1791</f>
        <v>0</v>
      </c>
      <c r="R1791" s="102">
        <f>tbl_ConsultingCompanys!C1791</f>
        <v>0</v>
      </c>
      <c r="S1791" s="102">
        <f t="shared" si="83"/>
        <v>0</v>
      </c>
    </row>
    <row r="1792" spans="11:19" x14ac:dyDescent="0.15">
      <c r="K1792" s="102">
        <f>tbl_ArchitectureOffices!D1792</f>
        <v>0</v>
      </c>
      <c r="L1792" s="102">
        <f>tbl_ArchitectureOffices!C1792</f>
        <v>0</v>
      </c>
      <c r="M1792" s="102">
        <f t="shared" si="84"/>
        <v>0</v>
      </c>
      <c r="N1792" s="102">
        <f>tbl_Companys!D1792</f>
        <v>0</v>
      </c>
      <c r="O1792" s="102">
        <f>tbl_Companys!C1792</f>
        <v>0</v>
      </c>
      <c r="P1792" s="102">
        <f t="shared" si="82"/>
        <v>0</v>
      </c>
      <c r="Q1792" s="102">
        <f>tbl_ConsultingCompanys!D1792</f>
        <v>0</v>
      </c>
      <c r="R1792" s="102">
        <f>tbl_ConsultingCompanys!C1792</f>
        <v>0</v>
      </c>
      <c r="S1792" s="102">
        <f t="shared" si="83"/>
        <v>0</v>
      </c>
    </row>
    <row r="1793" spans="11:19" x14ac:dyDescent="0.15">
      <c r="K1793" s="102">
        <f>tbl_ArchitectureOffices!D1793</f>
        <v>0</v>
      </c>
      <c r="L1793" s="102">
        <f>tbl_ArchitectureOffices!C1793</f>
        <v>0</v>
      </c>
      <c r="M1793" s="102">
        <f t="shared" si="84"/>
        <v>0</v>
      </c>
      <c r="N1793" s="102">
        <f>tbl_Companys!D1793</f>
        <v>0</v>
      </c>
      <c r="O1793" s="102">
        <f>tbl_Companys!C1793</f>
        <v>0</v>
      </c>
      <c r="P1793" s="102">
        <f t="shared" si="82"/>
        <v>0</v>
      </c>
      <c r="Q1793" s="102">
        <f>tbl_ConsultingCompanys!D1793</f>
        <v>0</v>
      </c>
      <c r="R1793" s="102">
        <f>tbl_ConsultingCompanys!C1793</f>
        <v>0</v>
      </c>
      <c r="S1793" s="102">
        <f t="shared" si="83"/>
        <v>0</v>
      </c>
    </row>
    <row r="1794" spans="11:19" x14ac:dyDescent="0.15">
      <c r="K1794" s="102">
        <f>tbl_ArchitectureOffices!D1794</f>
        <v>0</v>
      </c>
      <c r="L1794" s="102">
        <f>tbl_ArchitectureOffices!C1794</f>
        <v>0</v>
      </c>
      <c r="M1794" s="102">
        <f t="shared" si="84"/>
        <v>0</v>
      </c>
      <c r="N1794" s="102">
        <f>tbl_Companys!D1794</f>
        <v>0</v>
      </c>
      <c r="O1794" s="102">
        <f>tbl_Companys!C1794</f>
        <v>0</v>
      </c>
      <c r="P1794" s="102">
        <f t="shared" si="82"/>
        <v>0</v>
      </c>
      <c r="Q1794" s="102">
        <f>tbl_ConsultingCompanys!D1794</f>
        <v>0</v>
      </c>
      <c r="R1794" s="102">
        <f>tbl_ConsultingCompanys!C1794</f>
        <v>0</v>
      </c>
      <c r="S1794" s="102">
        <f t="shared" si="83"/>
        <v>0</v>
      </c>
    </row>
    <row r="1795" spans="11:19" x14ac:dyDescent="0.15">
      <c r="K1795" s="102">
        <f>tbl_ArchitectureOffices!D1795</f>
        <v>0</v>
      </c>
      <c r="L1795" s="102">
        <f>tbl_ArchitectureOffices!C1795</f>
        <v>0</v>
      </c>
      <c r="M1795" s="102">
        <f t="shared" si="84"/>
        <v>0</v>
      </c>
      <c r="N1795" s="102">
        <f>tbl_Companys!D1795</f>
        <v>0</v>
      </c>
      <c r="O1795" s="102">
        <f>tbl_Companys!C1795</f>
        <v>0</v>
      </c>
      <c r="P1795" s="102">
        <f t="shared" ref="P1795:P1858" si="85">IFERROR(REPLACE(N1795,FIND(" ",N1795,LEN(N1795)),1,""),N1795)</f>
        <v>0</v>
      </c>
      <c r="Q1795" s="102">
        <f>tbl_ConsultingCompanys!D1795</f>
        <v>0</v>
      </c>
      <c r="R1795" s="102">
        <f>tbl_ConsultingCompanys!C1795</f>
        <v>0</v>
      </c>
      <c r="S1795" s="102">
        <f t="shared" ref="S1795:S1858" si="86">IFERROR(REPLACE(Q1795,FIND(" ",Q1795,LEN(Q1795)),1,""),Q1795)</f>
        <v>0</v>
      </c>
    </row>
    <row r="1796" spans="11:19" x14ac:dyDescent="0.15">
      <c r="K1796" s="102">
        <f>tbl_ArchitectureOffices!D1796</f>
        <v>0</v>
      </c>
      <c r="L1796" s="102">
        <f>tbl_ArchitectureOffices!C1796</f>
        <v>0</v>
      </c>
      <c r="M1796" s="102">
        <f t="shared" si="84"/>
        <v>0</v>
      </c>
      <c r="N1796" s="102">
        <f>tbl_Companys!D1796</f>
        <v>0</v>
      </c>
      <c r="O1796" s="102">
        <f>tbl_Companys!C1796</f>
        <v>0</v>
      </c>
      <c r="P1796" s="102">
        <f t="shared" si="85"/>
        <v>0</v>
      </c>
      <c r="Q1796" s="102">
        <f>tbl_ConsultingCompanys!D1796</f>
        <v>0</v>
      </c>
      <c r="R1796" s="102">
        <f>tbl_ConsultingCompanys!C1796</f>
        <v>0</v>
      </c>
      <c r="S1796" s="102">
        <f t="shared" si="86"/>
        <v>0</v>
      </c>
    </row>
    <row r="1797" spans="11:19" x14ac:dyDescent="0.15">
      <c r="K1797" s="102">
        <f>tbl_ArchitectureOffices!D1797</f>
        <v>0</v>
      </c>
      <c r="L1797" s="102">
        <f>tbl_ArchitectureOffices!C1797</f>
        <v>0</v>
      </c>
      <c r="M1797" s="102">
        <f t="shared" si="84"/>
        <v>0</v>
      </c>
      <c r="N1797" s="102">
        <f>tbl_Companys!D1797</f>
        <v>0</v>
      </c>
      <c r="O1797" s="102">
        <f>tbl_Companys!C1797</f>
        <v>0</v>
      </c>
      <c r="P1797" s="102">
        <f t="shared" si="85"/>
        <v>0</v>
      </c>
      <c r="Q1797" s="102">
        <f>tbl_ConsultingCompanys!D1797</f>
        <v>0</v>
      </c>
      <c r="R1797" s="102">
        <f>tbl_ConsultingCompanys!C1797</f>
        <v>0</v>
      </c>
      <c r="S1797" s="102">
        <f t="shared" si="86"/>
        <v>0</v>
      </c>
    </row>
    <row r="1798" spans="11:19" x14ac:dyDescent="0.15">
      <c r="K1798" s="102">
        <f>tbl_ArchitectureOffices!D1798</f>
        <v>0</v>
      </c>
      <c r="L1798" s="102">
        <f>tbl_ArchitectureOffices!C1798</f>
        <v>0</v>
      </c>
      <c r="M1798" s="102">
        <f t="shared" si="84"/>
        <v>0</v>
      </c>
      <c r="N1798" s="102">
        <f>tbl_Companys!D1798</f>
        <v>0</v>
      </c>
      <c r="O1798" s="102">
        <f>tbl_Companys!C1798</f>
        <v>0</v>
      </c>
      <c r="P1798" s="102">
        <f t="shared" si="85"/>
        <v>0</v>
      </c>
      <c r="Q1798" s="102">
        <f>tbl_ConsultingCompanys!D1798</f>
        <v>0</v>
      </c>
      <c r="R1798" s="102">
        <f>tbl_ConsultingCompanys!C1798</f>
        <v>0</v>
      </c>
      <c r="S1798" s="102">
        <f t="shared" si="86"/>
        <v>0</v>
      </c>
    </row>
    <row r="1799" spans="11:19" x14ac:dyDescent="0.15">
      <c r="K1799" s="102">
        <f>tbl_ArchitectureOffices!D1799</f>
        <v>0</v>
      </c>
      <c r="L1799" s="102">
        <f>tbl_ArchitectureOffices!C1799</f>
        <v>0</v>
      </c>
      <c r="M1799" s="102">
        <f t="shared" si="84"/>
        <v>0</v>
      </c>
      <c r="N1799" s="102">
        <f>tbl_Companys!D1799</f>
        <v>0</v>
      </c>
      <c r="O1799" s="102">
        <f>tbl_Companys!C1799</f>
        <v>0</v>
      </c>
      <c r="P1799" s="102">
        <f t="shared" si="85"/>
        <v>0</v>
      </c>
      <c r="Q1799" s="102">
        <f>tbl_ConsultingCompanys!D1799</f>
        <v>0</v>
      </c>
      <c r="R1799" s="102">
        <f>tbl_ConsultingCompanys!C1799</f>
        <v>0</v>
      </c>
      <c r="S1799" s="102">
        <f t="shared" si="86"/>
        <v>0</v>
      </c>
    </row>
    <row r="1800" spans="11:19" x14ac:dyDescent="0.15">
      <c r="K1800" s="102">
        <f>tbl_ArchitectureOffices!D1800</f>
        <v>0</v>
      </c>
      <c r="L1800" s="102">
        <f>tbl_ArchitectureOffices!C1800</f>
        <v>0</v>
      </c>
      <c r="M1800" s="102">
        <f t="shared" si="84"/>
        <v>0</v>
      </c>
      <c r="N1800" s="102">
        <f>tbl_Companys!D1800</f>
        <v>0</v>
      </c>
      <c r="O1800" s="102">
        <f>tbl_Companys!C1800</f>
        <v>0</v>
      </c>
      <c r="P1800" s="102">
        <f t="shared" si="85"/>
        <v>0</v>
      </c>
      <c r="Q1800" s="102">
        <f>tbl_ConsultingCompanys!D1800</f>
        <v>0</v>
      </c>
      <c r="R1800" s="102">
        <f>tbl_ConsultingCompanys!C1800</f>
        <v>0</v>
      </c>
      <c r="S1800" s="102">
        <f t="shared" si="86"/>
        <v>0</v>
      </c>
    </row>
    <row r="1801" spans="11:19" x14ac:dyDescent="0.15">
      <c r="K1801" s="102">
        <f>tbl_ArchitectureOffices!D1801</f>
        <v>0</v>
      </c>
      <c r="L1801" s="102">
        <f>tbl_ArchitectureOffices!C1801</f>
        <v>0</v>
      </c>
      <c r="M1801" s="102">
        <f t="shared" si="84"/>
        <v>0</v>
      </c>
      <c r="N1801" s="102">
        <f>tbl_Companys!D1801</f>
        <v>0</v>
      </c>
      <c r="O1801" s="102">
        <f>tbl_Companys!C1801</f>
        <v>0</v>
      </c>
      <c r="P1801" s="102">
        <f t="shared" si="85"/>
        <v>0</v>
      </c>
      <c r="Q1801" s="102">
        <f>tbl_ConsultingCompanys!D1801</f>
        <v>0</v>
      </c>
      <c r="R1801" s="102">
        <f>tbl_ConsultingCompanys!C1801</f>
        <v>0</v>
      </c>
      <c r="S1801" s="102">
        <f t="shared" si="86"/>
        <v>0</v>
      </c>
    </row>
    <row r="1802" spans="11:19" x14ac:dyDescent="0.15">
      <c r="K1802" s="102">
        <f>tbl_ArchitectureOffices!D1802</f>
        <v>0</v>
      </c>
      <c r="L1802" s="102">
        <f>tbl_ArchitectureOffices!C1802</f>
        <v>0</v>
      </c>
      <c r="M1802" s="102">
        <f t="shared" si="84"/>
        <v>0</v>
      </c>
      <c r="N1802" s="102">
        <f>tbl_Companys!D1802</f>
        <v>0</v>
      </c>
      <c r="O1802" s="102">
        <f>tbl_Companys!C1802</f>
        <v>0</v>
      </c>
      <c r="P1802" s="102">
        <f t="shared" si="85"/>
        <v>0</v>
      </c>
      <c r="Q1802" s="102">
        <f>tbl_ConsultingCompanys!D1802</f>
        <v>0</v>
      </c>
      <c r="R1802" s="102">
        <f>tbl_ConsultingCompanys!C1802</f>
        <v>0</v>
      </c>
      <c r="S1802" s="102">
        <f t="shared" si="86"/>
        <v>0</v>
      </c>
    </row>
    <row r="1803" spans="11:19" x14ac:dyDescent="0.15">
      <c r="K1803" s="102">
        <f>tbl_ArchitectureOffices!D1803</f>
        <v>0</v>
      </c>
      <c r="L1803" s="102">
        <f>tbl_ArchitectureOffices!C1803</f>
        <v>0</v>
      </c>
      <c r="M1803" s="102">
        <f t="shared" si="84"/>
        <v>0</v>
      </c>
      <c r="N1803" s="102">
        <f>tbl_Companys!D1803</f>
        <v>0</v>
      </c>
      <c r="O1803" s="102">
        <f>tbl_Companys!C1803</f>
        <v>0</v>
      </c>
      <c r="P1803" s="102">
        <f t="shared" si="85"/>
        <v>0</v>
      </c>
      <c r="Q1803" s="102">
        <f>tbl_ConsultingCompanys!D1803</f>
        <v>0</v>
      </c>
      <c r="R1803" s="102">
        <f>tbl_ConsultingCompanys!C1803</f>
        <v>0</v>
      </c>
      <c r="S1803" s="102">
        <f t="shared" si="86"/>
        <v>0</v>
      </c>
    </row>
    <row r="1804" spans="11:19" x14ac:dyDescent="0.15">
      <c r="K1804" s="102">
        <f>tbl_ArchitectureOffices!D1804</f>
        <v>0</v>
      </c>
      <c r="L1804" s="102">
        <f>tbl_ArchitectureOffices!C1804</f>
        <v>0</v>
      </c>
      <c r="M1804" s="102">
        <f t="shared" si="84"/>
        <v>0</v>
      </c>
      <c r="N1804" s="102">
        <f>tbl_Companys!D1804</f>
        <v>0</v>
      </c>
      <c r="O1804" s="102">
        <f>tbl_Companys!C1804</f>
        <v>0</v>
      </c>
      <c r="P1804" s="102">
        <f t="shared" si="85"/>
        <v>0</v>
      </c>
      <c r="Q1804" s="102">
        <f>tbl_ConsultingCompanys!D1804</f>
        <v>0</v>
      </c>
      <c r="R1804" s="102">
        <f>tbl_ConsultingCompanys!C1804</f>
        <v>0</v>
      </c>
      <c r="S1804" s="102">
        <f t="shared" si="86"/>
        <v>0</v>
      </c>
    </row>
    <row r="1805" spans="11:19" x14ac:dyDescent="0.15">
      <c r="K1805" s="102">
        <f>tbl_ArchitectureOffices!D1805</f>
        <v>0</v>
      </c>
      <c r="L1805" s="102">
        <f>tbl_ArchitectureOffices!C1805</f>
        <v>0</v>
      </c>
      <c r="M1805" s="102">
        <f t="shared" si="84"/>
        <v>0</v>
      </c>
      <c r="N1805" s="102">
        <f>tbl_Companys!D1805</f>
        <v>0</v>
      </c>
      <c r="O1805" s="102">
        <f>tbl_Companys!C1805</f>
        <v>0</v>
      </c>
      <c r="P1805" s="102">
        <f t="shared" si="85"/>
        <v>0</v>
      </c>
      <c r="Q1805" s="102">
        <f>tbl_ConsultingCompanys!D1805</f>
        <v>0</v>
      </c>
      <c r="R1805" s="102">
        <f>tbl_ConsultingCompanys!C1805</f>
        <v>0</v>
      </c>
      <c r="S1805" s="102">
        <f t="shared" si="86"/>
        <v>0</v>
      </c>
    </row>
    <row r="1806" spans="11:19" x14ac:dyDescent="0.15">
      <c r="K1806" s="102">
        <f>tbl_ArchitectureOffices!D1806</f>
        <v>0</v>
      </c>
      <c r="L1806" s="102">
        <f>tbl_ArchitectureOffices!C1806</f>
        <v>0</v>
      </c>
      <c r="M1806" s="102">
        <f t="shared" si="84"/>
        <v>0</v>
      </c>
      <c r="N1806" s="102">
        <f>tbl_Companys!D1806</f>
        <v>0</v>
      </c>
      <c r="O1806" s="102">
        <f>tbl_Companys!C1806</f>
        <v>0</v>
      </c>
      <c r="P1806" s="102">
        <f t="shared" si="85"/>
        <v>0</v>
      </c>
      <c r="Q1806" s="102">
        <f>tbl_ConsultingCompanys!D1806</f>
        <v>0</v>
      </c>
      <c r="R1806" s="102">
        <f>tbl_ConsultingCompanys!C1806</f>
        <v>0</v>
      </c>
      <c r="S1806" s="102">
        <f t="shared" si="86"/>
        <v>0</v>
      </c>
    </row>
    <row r="1807" spans="11:19" x14ac:dyDescent="0.15">
      <c r="K1807" s="102">
        <f>tbl_ArchitectureOffices!D1807</f>
        <v>0</v>
      </c>
      <c r="L1807" s="102">
        <f>tbl_ArchitectureOffices!C1807</f>
        <v>0</v>
      </c>
      <c r="M1807" s="102">
        <f t="shared" si="84"/>
        <v>0</v>
      </c>
      <c r="N1807" s="102">
        <f>tbl_Companys!D1807</f>
        <v>0</v>
      </c>
      <c r="O1807" s="102">
        <f>tbl_Companys!C1807</f>
        <v>0</v>
      </c>
      <c r="P1807" s="102">
        <f t="shared" si="85"/>
        <v>0</v>
      </c>
      <c r="Q1807" s="102">
        <f>tbl_ConsultingCompanys!D1807</f>
        <v>0</v>
      </c>
      <c r="R1807" s="102">
        <f>tbl_ConsultingCompanys!C1807</f>
        <v>0</v>
      </c>
      <c r="S1807" s="102">
        <f t="shared" si="86"/>
        <v>0</v>
      </c>
    </row>
    <row r="1808" spans="11:19" x14ac:dyDescent="0.15">
      <c r="K1808" s="102">
        <f>tbl_ArchitectureOffices!D1808</f>
        <v>0</v>
      </c>
      <c r="L1808" s="102">
        <f>tbl_ArchitectureOffices!C1808</f>
        <v>0</v>
      </c>
      <c r="M1808" s="102">
        <f t="shared" si="84"/>
        <v>0</v>
      </c>
      <c r="N1808" s="102">
        <f>tbl_Companys!D1808</f>
        <v>0</v>
      </c>
      <c r="O1808" s="102">
        <f>tbl_Companys!C1808</f>
        <v>0</v>
      </c>
      <c r="P1808" s="102">
        <f t="shared" si="85"/>
        <v>0</v>
      </c>
      <c r="Q1808" s="102">
        <f>tbl_ConsultingCompanys!D1808</f>
        <v>0</v>
      </c>
      <c r="R1808" s="102">
        <f>tbl_ConsultingCompanys!C1808</f>
        <v>0</v>
      </c>
      <c r="S1808" s="102">
        <f t="shared" si="86"/>
        <v>0</v>
      </c>
    </row>
    <row r="1809" spans="11:19" x14ac:dyDescent="0.15">
      <c r="K1809" s="102">
        <f>tbl_ArchitectureOffices!D1809</f>
        <v>0</v>
      </c>
      <c r="L1809" s="102">
        <f>tbl_ArchitectureOffices!C1809</f>
        <v>0</v>
      </c>
      <c r="M1809" s="102">
        <f t="shared" si="84"/>
        <v>0</v>
      </c>
      <c r="N1809" s="102">
        <f>tbl_Companys!D1809</f>
        <v>0</v>
      </c>
      <c r="O1809" s="102">
        <f>tbl_Companys!C1809</f>
        <v>0</v>
      </c>
      <c r="P1809" s="102">
        <f t="shared" si="85"/>
        <v>0</v>
      </c>
      <c r="Q1809" s="102">
        <f>tbl_ConsultingCompanys!D1809</f>
        <v>0</v>
      </c>
      <c r="R1809" s="102">
        <f>tbl_ConsultingCompanys!C1809</f>
        <v>0</v>
      </c>
      <c r="S1809" s="102">
        <f t="shared" si="86"/>
        <v>0</v>
      </c>
    </row>
    <row r="1810" spans="11:19" x14ac:dyDescent="0.15">
      <c r="K1810" s="102">
        <f>tbl_ArchitectureOffices!D1810</f>
        <v>0</v>
      </c>
      <c r="L1810" s="102">
        <f>tbl_ArchitectureOffices!C1810</f>
        <v>0</v>
      </c>
      <c r="M1810" s="102">
        <f t="shared" si="84"/>
        <v>0</v>
      </c>
      <c r="N1810" s="102">
        <f>tbl_Companys!D1810</f>
        <v>0</v>
      </c>
      <c r="O1810" s="102">
        <f>tbl_Companys!C1810</f>
        <v>0</v>
      </c>
      <c r="P1810" s="102">
        <f t="shared" si="85"/>
        <v>0</v>
      </c>
      <c r="Q1810" s="102">
        <f>tbl_ConsultingCompanys!D1810</f>
        <v>0</v>
      </c>
      <c r="R1810" s="102">
        <f>tbl_ConsultingCompanys!C1810</f>
        <v>0</v>
      </c>
      <c r="S1810" s="102">
        <f t="shared" si="86"/>
        <v>0</v>
      </c>
    </row>
    <row r="1811" spans="11:19" x14ac:dyDescent="0.15">
      <c r="K1811" s="102">
        <f>tbl_ArchitectureOffices!D1811</f>
        <v>0</v>
      </c>
      <c r="L1811" s="102">
        <f>tbl_ArchitectureOffices!C1811</f>
        <v>0</v>
      </c>
      <c r="M1811" s="102">
        <f t="shared" si="84"/>
        <v>0</v>
      </c>
      <c r="N1811" s="102">
        <f>tbl_Companys!D1811</f>
        <v>0</v>
      </c>
      <c r="O1811" s="102">
        <f>tbl_Companys!C1811</f>
        <v>0</v>
      </c>
      <c r="P1811" s="102">
        <f t="shared" si="85"/>
        <v>0</v>
      </c>
      <c r="Q1811" s="102">
        <f>tbl_ConsultingCompanys!D1811</f>
        <v>0</v>
      </c>
      <c r="R1811" s="102">
        <f>tbl_ConsultingCompanys!C1811</f>
        <v>0</v>
      </c>
      <c r="S1811" s="102">
        <f t="shared" si="86"/>
        <v>0</v>
      </c>
    </row>
    <row r="1812" spans="11:19" x14ac:dyDescent="0.15">
      <c r="K1812" s="102">
        <f>tbl_ArchitectureOffices!D1812</f>
        <v>0</v>
      </c>
      <c r="L1812" s="102">
        <f>tbl_ArchitectureOffices!C1812</f>
        <v>0</v>
      </c>
      <c r="M1812" s="102">
        <f t="shared" si="84"/>
        <v>0</v>
      </c>
      <c r="N1812" s="102">
        <f>tbl_Companys!D1812</f>
        <v>0</v>
      </c>
      <c r="O1812" s="102">
        <f>tbl_Companys!C1812</f>
        <v>0</v>
      </c>
      <c r="P1812" s="102">
        <f t="shared" si="85"/>
        <v>0</v>
      </c>
      <c r="Q1812" s="102">
        <f>tbl_ConsultingCompanys!D1812</f>
        <v>0</v>
      </c>
      <c r="R1812" s="102">
        <f>tbl_ConsultingCompanys!C1812</f>
        <v>0</v>
      </c>
      <c r="S1812" s="102">
        <f t="shared" si="86"/>
        <v>0</v>
      </c>
    </row>
    <row r="1813" spans="11:19" x14ac:dyDescent="0.15">
      <c r="K1813" s="102">
        <f>tbl_ArchitectureOffices!D1813</f>
        <v>0</v>
      </c>
      <c r="L1813" s="102">
        <f>tbl_ArchitectureOffices!C1813</f>
        <v>0</v>
      </c>
      <c r="M1813" s="102">
        <f t="shared" si="84"/>
        <v>0</v>
      </c>
      <c r="N1813" s="102">
        <f>tbl_Companys!D1813</f>
        <v>0</v>
      </c>
      <c r="O1813" s="102">
        <f>tbl_Companys!C1813</f>
        <v>0</v>
      </c>
      <c r="P1813" s="102">
        <f t="shared" si="85"/>
        <v>0</v>
      </c>
      <c r="Q1813" s="102">
        <f>tbl_ConsultingCompanys!D1813</f>
        <v>0</v>
      </c>
      <c r="R1813" s="102">
        <f>tbl_ConsultingCompanys!C1813</f>
        <v>0</v>
      </c>
      <c r="S1813" s="102">
        <f t="shared" si="86"/>
        <v>0</v>
      </c>
    </row>
    <row r="1814" spans="11:19" x14ac:dyDescent="0.15">
      <c r="K1814" s="102">
        <f>tbl_ArchitectureOffices!D1814</f>
        <v>0</v>
      </c>
      <c r="L1814" s="102">
        <f>tbl_ArchitectureOffices!C1814</f>
        <v>0</v>
      </c>
      <c r="M1814" s="102">
        <f t="shared" si="84"/>
        <v>0</v>
      </c>
      <c r="N1814" s="102">
        <f>tbl_Companys!D1814</f>
        <v>0</v>
      </c>
      <c r="O1814" s="102">
        <f>tbl_Companys!C1814</f>
        <v>0</v>
      </c>
      <c r="P1814" s="102">
        <f t="shared" si="85"/>
        <v>0</v>
      </c>
      <c r="Q1814" s="102">
        <f>tbl_ConsultingCompanys!D1814</f>
        <v>0</v>
      </c>
      <c r="R1814" s="102">
        <f>tbl_ConsultingCompanys!C1814</f>
        <v>0</v>
      </c>
      <c r="S1814" s="102">
        <f t="shared" si="86"/>
        <v>0</v>
      </c>
    </row>
    <row r="1815" spans="11:19" x14ac:dyDescent="0.15">
      <c r="K1815" s="102">
        <f>tbl_ArchitectureOffices!D1815</f>
        <v>0</v>
      </c>
      <c r="L1815" s="102">
        <f>tbl_ArchitectureOffices!C1815</f>
        <v>0</v>
      </c>
      <c r="M1815" s="102">
        <f t="shared" si="84"/>
        <v>0</v>
      </c>
      <c r="N1815" s="102">
        <f>tbl_Companys!D1815</f>
        <v>0</v>
      </c>
      <c r="O1815" s="102">
        <f>tbl_Companys!C1815</f>
        <v>0</v>
      </c>
      <c r="P1815" s="102">
        <f t="shared" si="85"/>
        <v>0</v>
      </c>
      <c r="Q1815" s="102">
        <f>tbl_ConsultingCompanys!D1815</f>
        <v>0</v>
      </c>
      <c r="R1815" s="102">
        <f>tbl_ConsultingCompanys!C1815</f>
        <v>0</v>
      </c>
      <c r="S1815" s="102">
        <f t="shared" si="86"/>
        <v>0</v>
      </c>
    </row>
    <row r="1816" spans="11:19" x14ac:dyDescent="0.15">
      <c r="K1816" s="102">
        <f>tbl_ArchitectureOffices!D1816</f>
        <v>0</v>
      </c>
      <c r="L1816" s="102">
        <f>tbl_ArchitectureOffices!C1816</f>
        <v>0</v>
      </c>
      <c r="M1816" s="102">
        <f t="shared" si="84"/>
        <v>0</v>
      </c>
      <c r="N1816" s="102">
        <f>tbl_Companys!D1816</f>
        <v>0</v>
      </c>
      <c r="O1816" s="102">
        <f>tbl_Companys!C1816</f>
        <v>0</v>
      </c>
      <c r="P1816" s="102">
        <f t="shared" si="85"/>
        <v>0</v>
      </c>
      <c r="Q1816" s="102">
        <f>tbl_ConsultingCompanys!D1816</f>
        <v>0</v>
      </c>
      <c r="R1816" s="102">
        <f>tbl_ConsultingCompanys!C1816</f>
        <v>0</v>
      </c>
      <c r="S1816" s="102">
        <f t="shared" si="86"/>
        <v>0</v>
      </c>
    </row>
    <row r="1817" spans="11:19" x14ac:dyDescent="0.15">
      <c r="K1817" s="102">
        <f>tbl_ArchitectureOffices!D1817</f>
        <v>0</v>
      </c>
      <c r="L1817" s="102">
        <f>tbl_ArchitectureOffices!C1817</f>
        <v>0</v>
      </c>
      <c r="M1817" s="102">
        <f t="shared" si="84"/>
        <v>0</v>
      </c>
      <c r="N1817" s="102">
        <f>tbl_Companys!D1817</f>
        <v>0</v>
      </c>
      <c r="O1817" s="102">
        <f>tbl_Companys!C1817</f>
        <v>0</v>
      </c>
      <c r="P1817" s="102">
        <f t="shared" si="85"/>
        <v>0</v>
      </c>
      <c r="Q1817" s="102">
        <f>tbl_ConsultingCompanys!D1817</f>
        <v>0</v>
      </c>
      <c r="R1817" s="102">
        <f>tbl_ConsultingCompanys!C1817</f>
        <v>0</v>
      </c>
      <c r="S1817" s="102">
        <f t="shared" si="86"/>
        <v>0</v>
      </c>
    </row>
    <row r="1818" spans="11:19" x14ac:dyDescent="0.15">
      <c r="K1818" s="102">
        <f>tbl_ArchitectureOffices!D1818</f>
        <v>0</v>
      </c>
      <c r="L1818" s="102">
        <f>tbl_ArchitectureOffices!C1818</f>
        <v>0</v>
      </c>
      <c r="M1818" s="102">
        <f t="shared" si="84"/>
        <v>0</v>
      </c>
      <c r="N1818" s="102">
        <f>tbl_Companys!D1818</f>
        <v>0</v>
      </c>
      <c r="O1818" s="102">
        <f>tbl_Companys!C1818</f>
        <v>0</v>
      </c>
      <c r="P1818" s="102">
        <f t="shared" si="85"/>
        <v>0</v>
      </c>
      <c r="Q1818" s="102">
        <f>tbl_ConsultingCompanys!D1818</f>
        <v>0</v>
      </c>
      <c r="R1818" s="102">
        <f>tbl_ConsultingCompanys!C1818</f>
        <v>0</v>
      </c>
      <c r="S1818" s="102">
        <f t="shared" si="86"/>
        <v>0</v>
      </c>
    </row>
    <row r="1819" spans="11:19" x14ac:dyDescent="0.15">
      <c r="K1819" s="102">
        <f>tbl_ArchitectureOffices!D1819</f>
        <v>0</v>
      </c>
      <c r="L1819" s="102">
        <f>tbl_ArchitectureOffices!C1819</f>
        <v>0</v>
      </c>
      <c r="M1819" s="102">
        <f t="shared" si="84"/>
        <v>0</v>
      </c>
      <c r="N1819" s="102">
        <f>tbl_Companys!D1819</f>
        <v>0</v>
      </c>
      <c r="O1819" s="102">
        <f>tbl_Companys!C1819</f>
        <v>0</v>
      </c>
      <c r="P1819" s="102">
        <f t="shared" si="85"/>
        <v>0</v>
      </c>
      <c r="Q1819" s="102">
        <f>tbl_ConsultingCompanys!D1819</f>
        <v>0</v>
      </c>
      <c r="R1819" s="102">
        <f>tbl_ConsultingCompanys!C1819</f>
        <v>0</v>
      </c>
      <c r="S1819" s="102">
        <f t="shared" si="86"/>
        <v>0</v>
      </c>
    </row>
    <row r="1820" spans="11:19" x14ac:dyDescent="0.15">
      <c r="K1820" s="102">
        <f>tbl_ArchitectureOffices!D1820</f>
        <v>0</v>
      </c>
      <c r="L1820" s="102">
        <f>tbl_ArchitectureOffices!C1820</f>
        <v>0</v>
      </c>
      <c r="M1820" s="102">
        <f t="shared" si="84"/>
        <v>0</v>
      </c>
      <c r="N1820" s="102">
        <f>tbl_Companys!D1820</f>
        <v>0</v>
      </c>
      <c r="O1820" s="102">
        <f>tbl_Companys!C1820</f>
        <v>0</v>
      </c>
      <c r="P1820" s="102">
        <f t="shared" si="85"/>
        <v>0</v>
      </c>
      <c r="Q1820" s="102">
        <f>tbl_ConsultingCompanys!D1820</f>
        <v>0</v>
      </c>
      <c r="R1820" s="102">
        <f>tbl_ConsultingCompanys!C1820</f>
        <v>0</v>
      </c>
      <c r="S1820" s="102">
        <f t="shared" si="86"/>
        <v>0</v>
      </c>
    </row>
    <row r="1821" spans="11:19" x14ac:dyDescent="0.15">
      <c r="K1821" s="102">
        <f>tbl_ArchitectureOffices!D1821</f>
        <v>0</v>
      </c>
      <c r="L1821" s="102">
        <f>tbl_ArchitectureOffices!C1821</f>
        <v>0</v>
      </c>
      <c r="M1821" s="102">
        <f t="shared" si="84"/>
        <v>0</v>
      </c>
      <c r="N1821" s="102">
        <f>tbl_Companys!D1821</f>
        <v>0</v>
      </c>
      <c r="O1821" s="102">
        <f>tbl_Companys!C1821</f>
        <v>0</v>
      </c>
      <c r="P1821" s="102">
        <f t="shared" si="85"/>
        <v>0</v>
      </c>
      <c r="Q1821" s="102">
        <f>tbl_ConsultingCompanys!D1821</f>
        <v>0</v>
      </c>
      <c r="R1821" s="102">
        <f>tbl_ConsultingCompanys!C1821</f>
        <v>0</v>
      </c>
      <c r="S1821" s="102">
        <f t="shared" si="86"/>
        <v>0</v>
      </c>
    </row>
    <row r="1822" spans="11:19" x14ac:dyDescent="0.15">
      <c r="K1822" s="102">
        <f>tbl_ArchitectureOffices!D1822</f>
        <v>0</v>
      </c>
      <c r="L1822" s="102">
        <f>tbl_ArchitectureOffices!C1822</f>
        <v>0</v>
      </c>
      <c r="M1822" s="102">
        <f t="shared" si="84"/>
        <v>0</v>
      </c>
      <c r="N1822" s="102">
        <f>tbl_Companys!D1822</f>
        <v>0</v>
      </c>
      <c r="O1822" s="102">
        <f>tbl_Companys!C1822</f>
        <v>0</v>
      </c>
      <c r="P1822" s="102">
        <f t="shared" si="85"/>
        <v>0</v>
      </c>
      <c r="Q1822" s="102">
        <f>tbl_ConsultingCompanys!D1822</f>
        <v>0</v>
      </c>
      <c r="R1822" s="102">
        <f>tbl_ConsultingCompanys!C1822</f>
        <v>0</v>
      </c>
      <c r="S1822" s="102">
        <f t="shared" si="86"/>
        <v>0</v>
      </c>
    </row>
    <row r="1823" spans="11:19" x14ac:dyDescent="0.15">
      <c r="K1823" s="102">
        <f>tbl_ArchitectureOffices!D1823</f>
        <v>0</v>
      </c>
      <c r="L1823" s="102">
        <f>tbl_ArchitectureOffices!C1823</f>
        <v>0</v>
      </c>
      <c r="M1823" s="102">
        <f t="shared" si="84"/>
        <v>0</v>
      </c>
      <c r="N1823" s="102">
        <f>tbl_Companys!D1823</f>
        <v>0</v>
      </c>
      <c r="O1823" s="102">
        <f>tbl_Companys!C1823</f>
        <v>0</v>
      </c>
      <c r="P1823" s="102">
        <f t="shared" si="85"/>
        <v>0</v>
      </c>
      <c r="Q1823" s="102">
        <f>tbl_ConsultingCompanys!D1823</f>
        <v>0</v>
      </c>
      <c r="R1823" s="102">
        <f>tbl_ConsultingCompanys!C1823</f>
        <v>0</v>
      </c>
      <c r="S1823" s="102">
        <f t="shared" si="86"/>
        <v>0</v>
      </c>
    </row>
    <row r="1824" spans="11:19" x14ac:dyDescent="0.15">
      <c r="K1824" s="102">
        <f>tbl_ArchitectureOffices!D1824</f>
        <v>0</v>
      </c>
      <c r="L1824" s="102">
        <f>tbl_ArchitectureOffices!C1824</f>
        <v>0</v>
      </c>
      <c r="M1824" s="102">
        <f t="shared" si="84"/>
        <v>0</v>
      </c>
      <c r="N1824" s="102">
        <f>tbl_Companys!D1824</f>
        <v>0</v>
      </c>
      <c r="O1824" s="102">
        <f>tbl_Companys!C1824</f>
        <v>0</v>
      </c>
      <c r="P1824" s="102">
        <f t="shared" si="85"/>
        <v>0</v>
      </c>
      <c r="Q1824" s="102">
        <f>tbl_ConsultingCompanys!D1824</f>
        <v>0</v>
      </c>
      <c r="R1824" s="102">
        <f>tbl_ConsultingCompanys!C1824</f>
        <v>0</v>
      </c>
      <c r="S1824" s="102">
        <f t="shared" si="86"/>
        <v>0</v>
      </c>
    </row>
    <row r="1825" spans="11:19" x14ac:dyDescent="0.15">
      <c r="K1825" s="102">
        <f>tbl_ArchitectureOffices!D1825</f>
        <v>0</v>
      </c>
      <c r="L1825" s="102">
        <f>tbl_ArchitectureOffices!C1825</f>
        <v>0</v>
      </c>
      <c r="M1825" s="102">
        <f t="shared" si="84"/>
        <v>0</v>
      </c>
      <c r="N1825" s="102">
        <f>tbl_Companys!D1825</f>
        <v>0</v>
      </c>
      <c r="O1825" s="102">
        <f>tbl_Companys!C1825</f>
        <v>0</v>
      </c>
      <c r="P1825" s="102">
        <f t="shared" si="85"/>
        <v>0</v>
      </c>
      <c r="Q1825" s="102">
        <f>tbl_ConsultingCompanys!D1825</f>
        <v>0</v>
      </c>
      <c r="R1825" s="102">
        <f>tbl_ConsultingCompanys!C1825</f>
        <v>0</v>
      </c>
      <c r="S1825" s="102">
        <f t="shared" si="86"/>
        <v>0</v>
      </c>
    </row>
    <row r="1826" spans="11:19" x14ac:dyDescent="0.15">
      <c r="K1826" s="102">
        <f>tbl_ArchitectureOffices!D1826</f>
        <v>0</v>
      </c>
      <c r="L1826" s="102">
        <f>tbl_ArchitectureOffices!C1826</f>
        <v>0</v>
      </c>
      <c r="M1826" s="102">
        <f t="shared" si="84"/>
        <v>0</v>
      </c>
      <c r="N1826" s="102">
        <f>tbl_Companys!D1826</f>
        <v>0</v>
      </c>
      <c r="O1826" s="102">
        <f>tbl_Companys!C1826</f>
        <v>0</v>
      </c>
      <c r="P1826" s="102">
        <f t="shared" si="85"/>
        <v>0</v>
      </c>
      <c r="Q1826" s="102">
        <f>tbl_ConsultingCompanys!D1826</f>
        <v>0</v>
      </c>
      <c r="R1826" s="102">
        <f>tbl_ConsultingCompanys!C1826</f>
        <v>0</v>
      </c>
      <c r="S1826" s="102">
        <f t="shared" si="86"/>
        <v>0</v>
      </c>
    </row>
    <row r="1827" spans="11:19" x14ac:dyDescent="0.15">
      <c r="K1827" s="102">
        <f>tbl_ArchitectureOffices!D1827</f>
        <v>0</v>
      </c>
      <c r="L1827" s="102">
        <f>tbl_ArchitectureOffices!C1827</f>
        <v>0</v>
      </c>
      <c r="M1827" s="102">
        <f t="shared" si="84"/>
        <v>0</v>
      </c>
      <c r="N1827" s="102">
        <f>tbl_Companys!D1827</f>
        <v>0</v>
      </c>
      <c r="O1827" s="102">
        <f>tbl_Companys!C1827</f>
        <v>0</v>
      </c>
      <c r="P1827" s="102">
        <f t="shared" si="85"/>
        <v>0</v>
      </c>
      <c r="Q1827" s="102">
        <f>tbl_ConsultingCompanys!D1827</f>
        <v>0</v>
      </c>
      <c r="R1827" s="102">
        <f>tbl_ConsultingCompanys!C1827</f>
        <v>0</v>
      </c>
      <c r="S1827" s="102">
        <f t="shared" si="86"/>
        <v>0</v>
      </c>
    </row>
    <row r="1828" spans="11:19" x14ac:dyDescent="0.15">
      <c r="K1828" s="102">
        <f>tbl_ArchitectureOffices!D1828</f>
        <v>0</v>
      </c>
      <c r="L1828" s="102">
        <f>tbl_ArchitectureOffices!C1828</f>
        <v>0</v>
      </c>
      <c r="M1828" s="102">
        <f t="shared" si="84"/>
        <v>0</v>
      </c>
      <c r="N1828" s="102">
        <f>tbl_Companys!D1828</f>
        <v>0</v>
      </c>
      <c r="O1828" s="102">
        <f>tbl_Companys!C1828</f>
        <v>0</v>
      </c>
      <c r="P1828" s="102">
        <f t="shared" si="85"/>
        <v>0</v>
      </c>
      <c r="Q1828" s="102">
        <f>tbl_ConsultingCompanys!D1828</f>
        <v>0</v>
      </c>
      <c r="R1828" s="102">
        <f>tbl_ConsultingCompanys!C1828</f>
        <v>0</v>
      </c>
      <c r="S1828" s="102">
        <f t="shared" si="86"/>
        <v>0</v>
      </c>
    </row>
    <row r="1829" spans="11:19" x14ac:dyDescent="0.15">
      <c r="K1829" s="102">
        <f>tbl_ArchitectureOffices!D1829</f>
        <v>0</v>
      </c>
      <c r="L1829" s="102">
        <f>tbl_ArchitectureOffices!C1829</f>
        <v>0</v>
      </c>
      <c r="M1829" s="102">
        <f t="shared" si="84"/>
        <v>0</v>
      </c>
      <c r="N1829" s="102">
        <f>tbl_Companys!D1829</f>
        <v>0</v>
      </c>
      <c r="O1829" s="102">
        <f>tbl_Companys!C1829</f>
        <v>0</v>
      </c>
      <c r="P1829" s="102">
        <f t="shared" si="85"/>
        <v>0</v>
      </c>
      <c r="Q1829" s="102">
        <f>tbl_ConsultingCompanys!D1829</f>
        <v>0</v>
      </c>
      <c r="R1829" s="102">
        <f>tbl_ConsultingCompanys!C1829</f>
        <v>0</v>
      </c>
      <c r="S1829" s="102">
        <f t="shared" si="86"/>
        <v>0</v>
      </c>
    </row>
    <row r="1830" spans="11:19" x14ac:dyDescent="0.15">
      <c r="K1830" s="102">
        <f>tbl_ArchitectureOffices!D1830</f>
        <v>0</v>
      </c>
      <c r="L1830" s="102">
        <f>tbl_ArchitectureOffices!C1830</f>
        <v>0</v>
      </c>
      <c r="M1830" s="102">
        <f t="shared" si="84"/>
        <v>0</v>
      </c>
      <c r="N1830" s="102">
        <f>tbl_Companys!D1830</f>
        <v>0</v>
      </c>
      <c r="O1830" s="102">
        <f>tbl_Companys!C1830</f>
        <v>0</v>
      </c>
      <c r="P1830" s="102">
        <f t="shared" si="85"/>
        <v>0</v>
      </c>
      <c r="Q1830" s="102">
        <f>tbl_ConsultingCompanys!D1830</f>
        <v>0</v>
      </c>
      <c r="R1830" s="102">
        <f>tbl_ConsultingCompanys!C1830</f>
        <v>0</v>
      </c>
      <c r="S1830" s="102">
        <f t="shared" si="86"/>
        <v>0</v>
      </c>
    </row>
    <row r="1831" spans="11:19" x14ac:dyDescent="0.15">
      <c r="K1831" s="102">
        <f>tbl_ArchitectureOffices!D1831</f>
        <v>0</v>
      </c>
      <c r="L1831" s="102">
        <f>tbl_ArchitectureOffices!C1831</f>
        <v>0</v>
      </c>
      <c r="M1831" s="102">
        <f t="shared" si="84"/>
        <v>0</v>
      </c>
      <c r="N1831" s="102">
        <f>tbl_Companys!D1831</f>
        <v>0</v>
      </c>
      <c r="O1831" s="102">
        <f>tbl_Companys!C1831</f>
        <v>0</v>
      </c>
      <c r="P1831" s="102">
        <f t="shared" si="85"/>
        <v>0</v>
      </c>
      <c r="Q1831" s="102">
        <f>tbl_ConsultingCompanys!D1831</f>
        <v>0</v>
      </c>
      <c r="R1831" s="102">
        <f>tbl_ConsultingCompanys!C1831</f>
        <v>0</v>
      </c>
      <c r="S1831" s="102">
        <f t="shared" si="86"/>
        <v>0</v>
      </c>
    </row>
    <row r="1832" spans="11:19" x14ac:dyDescent="0.15">
      <c r="K1832" s="102">
        <f>tbl_ArchitectureOffices!D1832</f>
        <v>0</v>
      </c>
      <c r="L1832" s="102">
        <f>tbl_ArchitectureOffices!C1832</f>
        <v>0</v>
      </c>
      <c r="M1832" s="102">
        <f t="shared" si="84"/>
        <v>0</v>
      </c>
      <c r="N1832" s="102">
        <f>tbl_Companys!D1832</f>
        <v>0</v>
      </c>
      <c r="O1832" s="102">
        <f>tbl_Companys!C1832</f>
        <v>0</v>
      </c>
      <c r="P1832" s="102">
        <f t="shared" si="85"/>
        <v>0</v>
      </c>
      <c r="Q1832" s="102">
        <f>tbl_ConsultingCompanys!D1832</f>
        <v>0</v>
      </c>
      <c r="R1832" s="102">
        <f>tbl_ConsultingCompanys!C1832</f>
        <v>0</v>
      </c>
      <c r="S1832" s="102">
        <f t="shared" si="86"/>
        <v>0</v>
      </c>
    </row>
    <row r="1833" spans="11:19" x14ac:dyDescent="0.15">
      <c r="K1833" s="102">
        <f>tbl_ArchitectureOffices!D1833</f>
        <v>0</v>
      </c>
      <c r="L1833" s="102">
        <f>tbl_ArchitectureOffices!C1833</f>
        <v>0</v>
      </c>
      <c r="M1833" s="102">
        <f t="shared" si="84"/>
        <v>0</v>
      </c>
      <c r="N1833" s="102">
        <f>tbl_Companys!D1833</f>
        <v>0</v>
      </c>
      <c r="O1833" s="102">
        <f>tbl_Companys!C1833</f>
        <v>0</v>
      </c>
      <c r="P1833" s="102">
        <f t="shared" si="85"/>
        <v>0</v>
      </c>
      <c r="Q1833" s="102">
        <f>tbl_ConsultingCompanys!D1833</f>
        <v>0</v>
      </c>
      <c r="R1833" s="102">
        <f>tbl_ConsultingCompanys!C1833</f>
        <v>0</v>
      </c>
      <c r="S1833" s="102">
        <f t="shared" si="86"/>
        <v>0</v>
      </c>
    </row>
    <row r="1834" spans="11:19" x14ac:dyDescent="0.15">
      <c r="K1834" s="102">
        <f>tbl_ArchitectureOffices!D1834</f>
        <v>0</v>
      </c>
      <c r="L1834" s="102">
        <f>tbl_ArchitectureOffices!C1834</f>
        <v>0</v>
      </c>
      <c r="M1834" s="102">
        <f t="shared" si="84"/>
        <v>0</v>
      </c>
      <c r="N1834" s="102">
        <f>tbl_Companys!D1834</f>
        <v>0</v>
      </c>
      <c r="O1834" s="102">
        <f>tbl_Companys!C1834</f>
        <v>0</v>
      </c>
      <c r="P1834" s="102">
        <f t="shared" si="85"/>
        <v>0</v>
      </c>
      <c r="Q1834" s="102">
        <f>tbl_ConsultingCompanys!D1834</f>
        <v>0</v>
      </c>
      <c r="R1834" s="102">
        <f>tbl_ConsultingCompanys!C1834</f>
        <v>0</v>
      </c>
      <c r="S1834" s="102">
        <f t="shared" si="86"/>
        <v>0</v>
      </c>
    </row>
    <row r="1835" spans="11:19" x14ac:dyDescent="0.15">
      <c r="K1835" s="102">
        <f>tbl_ArchitectureOffices!D1835</f>
        <v>0</v>
      </c>
      <c r="L1835" s="102">
        <f>tbl_ArchitectureOffices!C1835</f>
        <v>0</v>
      </c>
      <c r="M1835" s="102">
        <f t="shared" si="84"/>
        <v>0</v>
      </c>
      <c r="N1835" s="102">
        <f>tbl_Companys!D1835</f>
        <v>0</v>
      </c>
      <c r="O1835" s="102">
        <f>tbl_Companys!C1835</f>
        <v>0</v>
      </c>
      <c r="P1835" s="102">
        <f t="shared" si="85"/>
        <v>0</v>
      </c>
      <c r="Q1835" s="102">
        <f>tbl_ConsultingCompanys!D1835</f>
        <v>0</v>
      </c>
      <c r="R1835" s="102">
        <f>tbl_ConsultingCompanys!C1835</f>
        <v>0</v>
      </c>
      <c r="S1835" s="102">
        <f t="shared" si="86"/>
        <v>0</v>
      </c>
    </row>
    <row r="1836" spans="11:19" x14ac:dyDescent="0.15">
      <c r="K1836" s="102">
        <f>tbl_ArchitectureOffices!D1836</f>
        <v>0</v>
      </c>
      <c r="L1836" s="102">
        <f>tbl_ArchitectureOffices!C1836</f>
        <v>0</v>
      </c>
      <c r="M1836" s="102">
        <f t="shared" si="84"/>
        <v>0</v>
      </c>
      <c r="N1836" s="102">
        <f>tbl_Companys!D1836</f>
        <v>0</v>
      </c>
      <c r="O1836" s="102">
        <f>tbl_Companys!C1836</f>
        <v>0</v>
      </c>
      <c r="P1836" s="102">
        <f t="shared" si="85"/>
        <v>0</v>
      </c>
      <c r="Q1836" s="102">
        <f>tbl_ConsultingCompanys!D1836</f>
        <v>0</v>
      </c>
      <c r="R1836" s="102">
        <f>tbl_ConsultingCompanys!C1836</f>
        <v>0</v>
      </c>
      <c r="S1836" s="102">
        <f t="shared" si="86"/>
        <v>0</v>
      </c>
    </row>
    <row r="1837" spans="11:19" x14ac:dyDescent="0.15">
      <c r="K1837" s="102">
        <f>tbl_ArchitectureOffices!D1837</f>
        <v>0</v>
      </c>
      <c r="L1837" s="102">
        <f>tbl_ArchitectureOffices!C1837</f>
        <v>0</v>
      </c>
      <c r="M1837" s="102">
        <f t="shared" si="84"/>
        <v>0</v>
      </c>
      <c r="N1837" s="102">
        <f>tbl_Companys!D1837</f>
        <v>0</v>
      </c>
      <c r="O1837" s="102">
        <f>tbl_Companys!C1837</f>
        <v>0</v>
      </c>
      <c r="P1837" s="102">
        <f t="shared" si="85"/>
        <v>0</v>
      </c>
      <c r="Q1837" s="102">
        <f>tbl_ConsultingCompanys!D1837</f>
        <v>0</v>
      </c>
      <c r="R1837" s="102">
        <f>tbl_ConsultingCompanys!C1837</f>
        <v>0</v>
      </c>
      <c r="S1837" s="102">
        <f t="shared" si="86"/>
        <v>0</v>
      </c>
    </row>
    <row r="1838" spans="11:19" x14ac:dyDescent="0.15">
      <c r="K1838" s="102">
        <f>tbl_ArchitectureOffices!D1838</f>
        <v>0</v>
      </c>
      <c r="L1838" s="102">
        <f>tbl_ArchitectureOffices!C1838</f>
        <v>0</v>
      </c>
      <c r="M1838" s="102">
        <f t="shared" si="84"/>
        <v>0</v>
      </c>
      <c r="N1838" s="102">
        <f>tbl_Companys!D1838</f>
        <v>0</v>
      </c>
      <c r="O1838" s="102">
        <f>tbl_Companys!C1838</f>
        <v>0</v>
      </c>
      <c r="P1838" s="102">
        <f t="shared" si="85"/>
        <v>0</v>
      </c>
      <c r="Q1838" s="102">
        <f>tbl_ConsultingCompanys!D1838</f>
        <v>0</v>
      </c>
      <c r="R1838" s="102">
        <f>tbl_ConsultingCompanys!C1838</f>
        <v>0</v>
      </c>
      <c r="S1838" s="102">
        <f t="shared" si="86"/>
        <v>0</v>
      </c>
    </row>
    <row r="1839" spans="11:19" x14ac:dyDescent="0.15">
      <c r="K1839" s="102">
        <f>tbl_ArchitectureOffices!D1839</f>
        <v>0</v>
      </c>
      <c r="L1839" s="102">
        <f>tbl_ArchitectureOffices!C1839</f>
        <v>0</v>
      </c>
      <c r="M1839" s="102">
        <f t="shared" si="84"/>
        <v>0</v>
      </c>
      <c r="N1839" s="102">
        <f>tbl_Companys!D1839</f>
        <v>0</v>
      </c>
      <c r="O1839" s="102">
        <f>tbl_Companys!C1839</f>
        <v>0</v>
      </c>
      <c r="P1839" s="102">
        <f t="shared" si="85"/>
        <v>0</v>
      </c>
      <c r="Q1839" s="102">
        <f>tbl_ConsultingCompanys!D1839</f>
        <v>0</v>
      </c>
      <c r="R1839" s="102">
        <f>tbl_ConsultingCompanys!C1839</f>
        <v>0</v>
      </c>
      <c r="S1839" s="102">
        <f t="shared" si="86"/>
        <v>0</v>
      </c>
    </row>
    <row r="1840" spans="11:19" x14ac:dyDescent="0.15">
      <c r="K1840" s="102">
        <f>tbl_ArchitectureOffices!D1840</f>
        <v>0</v>
      </c>
      <c r="L1840" s="102">
        <f>tbl_ArchitectureOffices!C1840</f>
        <v>0</v>
      </c>
      <c r="M1840" s="102">
        <f t="shared" si="84"/>
        <v>0</v>
      </c>
      <c r="N1840" s="102">
        <f>tbl_Companys!D1840</f>
        <v>0</v>
      </c>
      <c r="O1840" s="102">
        <f>tbl_Companys!C1840</f>
        <v>0</v>
      </c>
      <c r="P1840" s="102">
        <f t="shared" si="85"/>
        <v>0</v>
      </c>
      <c r="Q1840" s="102">
        <f>tbl_ConsultingCompanys!D1840</f>
        <v>0</v>
      </c>
      <c r="R1840" s="102">
        <f>tbl_ConsultingCompanys!C1840</f>
        <v>0</v>
      </c>
      <c r="S1840" s="102">
        <f t="shared" si="86"/>
        <v>0</v>
      </c>
    </row>
    <row r="1841" spans="11:19" x14ac:dyDescent="0.15">
      <c r="K1841" s="102">
        <f>tbl_ArchitectureOffices!D1841</f>
        <v>0</v>
      </c>
      <c r="L1841" s="102">
        <f>tbl_ArchitectureOffices!C1841</f>
        <v>0</v>
      </c>
      <c r="M1841" s="102">
        <f t="shared" si="84"/>
        <v>0</v>
      </c>
      <c r="N1841" s="102">
        <f>tbl_Companys!D1841</f>
        <v>0</v>
      </c>
      <c r="O1841" s="102">
        <f>tbl_Companys!C1841</f>
        <v>0</v>
      </c>
      <c r="P1841" s="102">
        <f t="shared" si="85"/>
        <v>0</v>
      </c>
      <c r="Q1841" s="102">
        <f>tbl_ConsultingCompanys!D1841</f>
        <v>0</v>
      </c>
      <c r="R1841" s="102">
        <f>tbl_ConsultingCompanys!C1841</f>
        <v>0</v>
      </c>
      <c r="S1841" s="102">
        <f t="shared" si="86"/>
        <v>0</v>
      </c>
    </row>
    <row r="1842" spans="11:19" x14ac:dyDescent="0.15">
      <c r="K1842" s="102">
        <f>tbl_ArchitectureOffices!D1842</f>
        <v>0</v>
      </c>
      <c r="L1842" s="102">
        <f>tbl_ArchitectureOffices!C1842</f>
        <v>0</v>
      </c>
      <c r="M1842" s="102">
        <f t="shared" si="84"/>
        <v>0</v>
      </c>
      <c r="N1842" s="102">
        <f>tbl_Companys!D1842</f>
        <v>0</v>
      </c>
      <c r="O1842" s="102">
        <f>tbl_Companys!C1842</f>
        <v>0</v>
      </c>
      <c r="P1842" s="102">
        <f t="shared" si="85"/>
        <v>0</v>
      </c>
      <c r="Q1842" s="102">
        <f>tbl_ConsultingCompanys!D1842</f>
        <v>0</v>
      </c>
      <c r="R1842" s="102">
        <f>tbl_ConsultingCompanys!C1842</f>
        <v>0</v>
      </c>
      <c r="S1842" s="102">
        <f t="shared" si="86"/>
        <v>0</v>
      </c>
    </row>
    <row r="1843" spans="11:19" x14ac:dyDescent="0.15">
      <c r="K1843" s="102">
        <f>tbl_ArchitectureOffices!D1843</f>
        <v>0</v>
      </c>
      <c r="L1843" s="102">
        <f>tbl_ArchitectureOffices!C1843</f>
        <v>0</v>
      </c>
      <c r="M1843" s="102">
        <f t="shared" si="84"/>
        <v>0</v>
      </c>
      <c r="N1843" s="102">
        <f>tbl_Companys!D1843</f>
        <v>0</v>
      </c>
      <c r="O1843" s="102">
        <f>tbl_Companys!C1843</f>
        <v>0</v>
      </c>
      <c r="P1843" s="102">
        <f t="shared" si="85"/>
        <v>0</v>
      </c>
      <c r="Q1843" s="102">
        <f>tbl_ConsultingCompanys!D1843</f>
        <v>0</v>
      </c>
      <c r="R1843" s="102">
        <f>tbl_ConsultingCompanys!C1843</f>
        <v>0</v>
      </c>
      <c r="S1843" s="102">
        <f t="shared" si="86"/>
        <v>0</v>
      </c>
    </row>
    <row r="1844" spans="11:19" x14ac:dyDescent="0.15">
      <c r="K1844" s="102">
        <f>tbl_ArchitectureOffices!D1844</f>
        <v>0</v>
      </c>
      <c r="L1844" s="102">
        <f>tbl_ArchitectureOffices!C1844</f>
        <v>0</v>
      </c>
      <c r="M1844" s="102">
        <f t="shared" si="84"/>
        <v>0</v>
      </c>
      <c r="N1844" s="102">
        <f>tbl_Companys!D1844</f>
        <v>0</v>
      </c>
      <c r="O1844" s="102">
        <f>tbl_Companys!C1844</f>
        <v>0</v>
      </c>
      <c r="P1844" s="102">
        <f t="shared" si="85"/>
        <v>0</v>
      </c>
      <c r="Q1844" s="102">
        <f>tbl_ConsultingCompanys!D1844</f>
        <v>0</v>
      </c>
      <c r="R1844" s="102">
        <f>tbl_ConsultingCompanys!C1844</f>
        <v>0</v>
      </c>
      <c r="S1844" s="102">
        <f t="shared" si="86"/>
        <v>0</v>
      </c>
    </row>
    <row r="1845" spans="11:19" x14ac:dyDescent="0.15">
      <c r="K1845" s="102">
        <f>tbl_ArchitectureOffices!D1845</f>
        <v>0</v>
      </c>
      <c r="L1845" s="102">
        <f>tbl_ArchitectureOffices!C1845</f>
        <v>0</v>
      </c>
      <c r="M1845" s="102">
        <f t="shared" si="84"/>
        <v>0</v>
      </c>
      <c r="N1845" s="102">
        <f>tbl_Companys!D1845</f>
        <v>0</v>
      </c>
      <c r="O1845" s="102">
        <f>tbl_Companys!C1845</f>
        <v>0</v>
      </c>
      <c r="P1845" s="102">
        <f t="shared" si="85"/>
        <v>0</v>
      </c>
      <c r="Q1845" s="102">
        <f>tbl_ConsultingCompanys!D1845</f>
        <v>0</v>
      </c>
      <c r="R1845" s="102">
        <f>tbl_ConsultingCompanys!C1845</f>
        <v>0</v>
      </c>
      <c r="S1845" s="102">
        <f t="shared" si="86"/>
        <v>0</v>
      </c>
    </row>
    <row r="1846" spans="11:19" x14ac:dyDescent="0.15">
      <c r="K1846" s="102">
        <f>tbl_ArchitectureOffices!D1846</f>
        <v>0</v>
      </c>
      <c r="L1846" s="102">
        <f>tbl_ArchitectureOffices!C1846</f>
        <v>0</v>
      </c>
      <c r="M1846" s="102">
        <f t="shared" ref="M1846:M1909" si="87">IFERROR(REPLACE(K1846,FIND(" ",K1846,LEN(K1846)),1,""),K1846)</f>
        <v>0</v>
      </c>
      <c r="N1846" s="102">
        <f>tbl_Companys!D1846</f>
        <v>0</v>
      </c>
      <c r="O1846" s="102">
        <f>tbl_Companys!C1846</f>
        <v>0</v>
      </c>
      <c r="P1846" s="102">
        <f t="shared" si="85"/>
        <v>0</v>
      </c>
      <c r="Q1846" s="102">
        <f>tbl_ConsultingCompanys!D1846</f>
        <v>0</v>
      </c>
      <c r="R1846" s="102">
        <f>tbl_ConsultingCompanys!C1846</f>
        <v>0</v>
      </c>
      <c r="S1846" s="102">
        <f t="shared" si="86"/>
        <v>0</v>
      </c>
    </row>
    <row r="1847" spans="11:19" x14ac:dyDescent="0.15">
      <c r="K1847" s="102">
        <f>tbl_ArchitectureOffices!D1847</f>
        <v>0</v>
      </c>
      <c r="L1847" s="102">
        <f>tbl_ArchitectureOffices!C1847</f>
        <v>0</v>
      </c>
      <c r="M1847" s="102">
        <f t="shared" si="87"/>
        <v>0</v>
      </c>
      <c r="N1847" s="102">
        <f>tbl_Companys!D1847</f>
        <v>0</v>
      </c>
      <c r="O1847" s="102">
        <f>tbl_Companys!C1847</f>
        <v>0</v>
      </c>
      <c r="P1847" s="102">
        <f t="shared" si="85"/>
        <v>0</v>
      </c>
      <c r="Q1847" s="102">
        <f>tbl_ConsultingCompanys!D1847</f>
        <v>0</v>
      </c>
      <c r="R1847" s="102">
        <f>tbl_ConsultingCompanys!C1847</f>
        <v>0</v>
      </c>
      <c r="S1847" s="102">
        <f t="shared" si="86"/>
        <v>0</v>
      </c>
    </row>
    <row r="1848" spans="11:19" x14ac:dyDescent="0.15">
      <c r="K1848" s="102">
        <f>tbl_ArchitectureOffices!D1848</f>
        <v>0</v>
      </c>
      <c r="L1848" s="102">
        <f>tbl_ArchitectureOffices!C1848</f>
        <v>0</v>
      </c>
      <c r="M1848" s="102">
        <f t="shared" si="87"/>
        <v>0</v>
      </c>
      <c r="N1848" s="102">
        <f>tbl_Companys!D1848</f>
        <v>0</v>
      </c>
      <c r="O1848" s="102">
        <f>tbl_Companys!C1848</f>
        <v>0</v>
      </c>
      <c r="P1848" s="102">
        <f t="shared" si="85"/>
        <v>0</v>
      </c>
      <c r="Q1848" s="102">
        <f>tbl_ConsultingCompanys!D1848</f>
        <v>0</v>
      </c>
      <c r="R1848" s="102">
        <f>tbl_ConsultingCompanys!C1848</f>
        <v>0</v>
      </c>
      <c r="S1848" s="102">
        <f t="shared" si="86"/>
        <v>0</v>
      </c>
    </row>
    <row r="1849" spans="11:19" x14ac:dyDescent="0.15">
      <c r="K1849" s="102">
        <f>tbl_ArchitectureOffices!D1849</f>
        <v>0</v>
      </c>
      <c r="L1849" s="102">
        <f>tbl_ArchitectureOffices!C1849</f>
        <v>0</v>
      </c>
      <c r="M1849" s="102">
        <f t="shared" si="87"/>
        <v>0</v>
      </c>
      <c r="N1849" s="102">
        <f>tbl_Companys!D1849</f>
        <v>0</v>
      </c>
      <c r="O1849" s="102">
        <f>tbl_Companys!C1849</f>
        <v>0</v>
      </c>
      <c r="P1849" s="102">
        <f t="shared" si="85"/>
        <v>0</v>
      </c>
      <c r="Q1849" s="102">
        <f>tbl_ConsultingCompanys!D1849</f>
        <v>0</v>
      </c>
      <c r="R1849" s="102">
        <f>tbl_ConsultingCompanys!C1849</f>
        <v>0</v>
      </c>
      <c r="S1849" s="102">
        <f t="shared" si="86"/>
        <v>0</v>
      </c>
    </row>
    <row r="1850" spans="11:19" x14ac:dyDescent="0.15">
      <c r="K1850" s="102">
        <f>tbl_ArchitectureOffices!D1850</f>
        <v>0</v>
      </c>
      <c r="L1850" s="102">
        <f>tbl_ArchitectureOffices!C1850</f>
        <v>0</v>
      </c>
      <c r="M1850" s="102">
        <f t="shared" si="87"/>
        <v>0</v>
      </c>
      <c r="N1850" s="102">
        <f>tbl_Companys!D1850</f>
        <v>0</v>
      </c>
      <c r="O1850" s="102">
        <f>tbl_Companys!C1850</f>
        <v>0</v>
      </c>
      <c r="P1850" s="102">
        <f t="shared" si="85"/>
        <v>0</v>
      </c>
      <c r="Q1850" s="102">
        <f>tbl_ConsultingCompanys!D1850</f>
        <v>0</v>
      </c>
      <c r="R1850" s="102">
        <f>tbl_ConsultingCompanys!C1850</f>
        <v>0</v>
      </c>
      <c r="S1850" s="102">
        <f t="shared" si="86"/>
        <v>0</v>
      </c>
    </row>
    <row r="1851" spans="11:19" x14ac:dyDescent="0.15">
      <c r="K1851" s="102">
        <f>tbl_ArchitectureOffices!D1851</f>
        <v>0</v>
      </c>
      <c r="L1851" s="102">
        <f>tbl_ArchitectureOffices!C1851</f>
        <v>0</v>
      </c>
      <c r="M1851" s="102">
        <f t="shared" si="87"/>
        <v>0</v>
      </c>
      <c r="N1851" s="102">
        <f>tbl_Companys!D1851</f>
        <v>0</v>
      </c>
      <c r="O1851" s="102">
        <f>tbl_Companys!C1851</f>
        <v>0</v>
      </c>
      <c r="P1851" s="102">
        <f t="shared" si="85"/>
        <v>0</v>
      </c>
      <c r="Q1851" s="102">
        <f>tbl_ConsultingCompanys!D1851</f>
        <v>0</v>
      </c>
      <c r="R1851" s="102">
        <f>tbl_ConsultingCompanys!C1851</f>
        <v>0</v>
      </c>
      <c r="S1851" s="102">
        <f t="shared" si="86"/>
        <v>0</v>
      </c>
    </row>
    <row r="1852" spans="11:19" x14ac:dyDescent="0.15">
      <c r="K1852" s="102">
        <f>tbl_ArchitectureOffices!D1852</f>
        <v>0</v>
      </c>
      <c r="L1852" s="102">
        <f>tbl_ArchitectureOffices!C1852</f>
        <v>0</v>
      </c>
      <c r="M1852" s="102">
        <f t="shared" si="87"/>
        <v>0</v>
      </c>
      <c r="N1852" s="102">
        <f>tbl_Companys!D1852</f>
        <v>0</v>
      </c>
      <c r="O1852" s="102">
        <f>tbl_Companys!C1852</f>
        <v>0</v>
      </c>
      <c r="P1852" s="102">
        <f t="shared" si="85"/>
        <v>0</v>
      </c>
      <c r="Q1852" s="102">
        <f>tbl_ConsultingCompanys!D1852</f>
        <v>0</v>
      </c>
      <c r="R1852" s="102">
        <f>tbl_ConsultingCompanys!C1852</f>
        <v>0</v>
      </c>
      <c r="S1852" s="102">
        <f t="shared" si="86"/>
        <v>0</v>
      </c>
    </row>
    <row r="1853" spans="11:19" x14ac:dyDescent="0.15">
      <c r="K1853" s="102">
        <f>tbl_ArchitectureOffices!D1853</f>
        <v>0</v>
      </c>
      <c r="L1853" s="102">
        <f>tbl_ArchitectureOffices!C1853</f>
        <v>0</v>
      </c>
      <c r="M1853" s="102">
        <f t="shared" si="87"/>
        <v>0</v>
      </c>
      <c r="N1853" s="102">
        <f>tbl_Companys!D1853</f>
        <v>0</v>
      </c>
      <c r="O1853" s="102">
        <f>tbl_Companys!C1853</f>
        <v>0</v>
      </c>
      <c r="P1853" s="102">
        <f t="shared" si="85"/>
        <v>0</v>
      </c>
      <c r="Q1853" s="102">
        <f>tbl_ConsultingCompanys!D1853</f>
        <v>0</v>
      </c>
      <c r="R1853" s="102">
        <f>tbl_ConsultingCompanys!C1853</f>
        <v>0</v>
      </c>
      <c r="S1853" s="102">
        <f t="shared" si="86"/>
        <v>0</v>
      </c>
    </row>
    <row r="1854" spans="11:19" x14ac:dyDescent="0.15">
      <c r="K1854" s="102">
        <f>tbl_ArchitectureOffices!D1854</f>
        <v>0</v>
      </c>
      <c r="L1854" s="102">
        <f>tbl_ArchitectureOffices!C1854</f>
        <v>0</v>
      </c>
      <c r="M1854" s="102">
        <f t="shared" si="87"/>
        <v>0</v>
      </c>
      <c r="N1854" s="102">
        <f>tbl_Companys!D1854</f>
        <v>0</v>
      </c>
      <c r="O1854" s="102">
        <f>tbl_Companys!C1854</f>
        <v>0</v>
      </c>
      <c r="P1854" s="102">
        <f t="shared" si="85"/>
        <v>0</v>
      </c>
      <c r="Q1854" s="102">
        <f>tbl_ConsultingCompanys!D1854</f>
        <v>0</v>
      </c>
      <c r="R1854" s="102">
        <f>tbl_ConsultingCompanys!C1854</f>
        <v>0</v>
      </c>
      <c r="S1854" s="102">
        <f t="shared" si="86"/>
        <v>0</v>
      </c>
    </row>
    <row r="1855" spans="11:19" x14ac:dyDescent="0.15">
      <c r="K1855" s="102">
        <f>tbl_ArchitectureOffices!D1855</f>
        <v>0</v>
      </c>
      <c r="L1855" s="102">
        <f>tbl_ArchitectureOffices!C1855</f>
        <v>0</v>
      </c>
      <c r="M1855" s="102">
        <f t="shared" si="87"/>
        <v>0</v>
      </c>
      <c r="N1855" s="102">
        <f>tbl_Companys!D1855</f>
        <v>0</v>
      </c>
      <c r="O1855" s="102">
        <f>tbl_Companys!C1855</f>
        <v>0</v>
      </c>
      <c r="P1855" s="102">
        <f t="shared" si="85"/>
        <v>0</v>
      </c>
      <c r="Q1855" s="102">
        <f>tbl_ConsultingCompanys!D1855</f>
        <v>0</v>
      </c>
      <c r="R1855" s="102">
        <f>tbl_ConsultingCompanys!C1855</f>
        <v>0</v>
      </c>
      <c r="S1855" s="102">
        <f t="shared" si="86"/>
        <v>0</v>
      </c>
    </row>
    <row r="1856" spans="11:19" x14ac:dyDescent="0.15">
      <c r="K1856" s="102">
        <f>tbl_ArchitectureOffices!D1856</f>
        <v>0</v>
      </c>
      <c r="L1856" s="102">
        <f>tbl_ArchitectureOffices!C1856</f>
        <v>0</v>
      </c>
      <c r="M1856" s="102">
        <f t="shared" si="87"/>
        <v>0</v>
      </c>
      <c r="N1856" s="102">
        <f>tbl_Companys!D1856</f>
        <v>0</v>
      </c>
      <c r="O1856" s="102">
        <f>tbl_Companys!C1856</f>
        <v>0</v>
      </c>
      <c r="P1856" s="102">
        <f t="shared" si="85"/>
        <v>0</v>
      </c>
      <c r="Q1856" s="102">
        <f>tbl_ConsultingCompanys!D1856</f>
        <v>0</v>
      </c>
      <c r="R1856" s="102">
        <f>tbl_ConsultingCompanys!C1856</f>
        <v>0</v>
      </c>
      <c r="S1856" s="102">
        <f t="shared" si="86"/>
        <v>0</v>
      </c>
    </row>
    <row r="1857" spans="11:19" x14ac:dyDescent="0.15">
      <c r="K1857" s="102">
        <f>tbl_ArchitectureOffices!D1857</f>
        <v>0</v>
      </c>
      <c r="L1857" s="102">
        <f>tbl_ArchitectureOffices!C1857</f>
        <v>0</v>
      </c>
      <c r="M1857" s="102">
        <f t="shared" si="87"/>
        <v>0</v>
      </c>
      <c r="N1857" s="102">
        <f>tbl_Companys!D1857</f>
        <v>0</v>
      </c>
      <c r="O1857" s="102">
        <f>tbl_Companys!C1857</f>
        <v>0</v>
      </c>
      <c r="P1857" s="102">
        <f t="shared" si="85"/>
        <v>0</v>
      </c>
      <c r="Q1857" s="102">
        <f>tbl_ConsultingCompanys!D1857</f>
        <v>0</v>
      </c>
      <c r="R1857" s="102">
        <f>tbl_ConsultingCompanys!C1857</f>
        <v>0</v>
      </c>
      <c r="S1857" s="102">
        <f t="shared" si="86"/>
        <v>0</v>
      </c>
    </row>
    <row r="1858" spans="11:19" x14ac:dyDescent="0.15">
      <c r="K1858" s="102">
        <f>tbl_ArchitectureOffices!D1858</f>
        <v>0</v>
      </c>
      <c r="L1858" s="102">
        <f>tbl_ArchitectureOffices!C1858</f>
        <v>0</v>
      </c>
      <c r="M1858" s="102">
        <f t="shared" si="87"/>
        <v>0</v>
      </c>
      <c r="N1858" s="102">
        <f>tbl_Companys!D1858</f>
        <v>0</v>
      </c>
      <c r="O1858" s="102">
        <f>tbl_Companys!C1858</f>
        <v>0</v>
      </c>
      <c r="P1858" s="102">
        <f t="shared" si="85"/>
        <v>0</v>
      </c>
      <c r="Q1858" s="102">
        <f>tbl_ConsultingCompanys!D1858</f>
        <v>0</v>
      </c>
      <c r="R1858" s="102">
        <f>tbl_ConsultingCompanys!C1858</f>
        <v>0</v>
      </c>
      <c r="S1858" s="102">
        <f t="shared" si="86"/>
        <v>0</v>
      </c>
    </row>
    <row r="1859" spans="11:19" x14ac:dyDescent="0.15">
      <c r="K1859" s="102">
        <f>tbl_ArchitectureOffices!D1859</f>
        <v>0</v>
      </c>
      <c r="L1859" s="102">
        <f>tbl_ArchitectureOffices!C1859</f>
        <v>0</v>
      </c>
      <c r="M1859" s="102">
        <f t="shared" si="87"/>
        <v>0</v>
      </c>
      <c r="N1859" s="102">
        <f>tbl_Companys!D1859</f>
        <v>0</v>
      </c>
      <c r="O1859" s="102">
        <f>tbl_Companys!C1859</f>
        <v>0</v>
      </c>
      <c r="P1859" s="102">
        <f t="shared" ref="P1859:P1922" si="88">IFERROR(REPLACE(N1859,FIND(" ",N1859,LEN(N1859)),1,""),N1859)</f>
        <v>0</v>
      </c>
      <c r="Q1859" s="102">
        <f>tbl_ConsultingCompanys!D1859</f>
        <v>0</v>
      </c>
      <c r="R1859" s="102">
        <f>tbl_ConsultingCompanys!C1859</f>
        <v>0</v>
      </c>
      <c r="S1859" s="102">
        <f t="shared" ref="S1859:S1922" si="89">IFERROR(REPLACE(Q1859,FIND(" ",Q1859,LEN(Q1859)),1,""),Q1859)</f>
        <v>0</v>
      </c>
    </row>
    <row r="1860" spans="11:19" x14ac:dyDescent="0.15">
      <c r="K1860" s="102">
        <f>tbl_ArchitectureOffices!D1860</f>
        <v>0</v>
      </c>
      <c r="L1860" s="102">
        <f>tbl_ArchitectureOffices!C1860</f>
        <v>0</v>
      </c>
      <c r="M1860" s="102">
        <f t="shared" si="87"/>
        <v>0</v>
      </c>
      <c r="N1860" s="102">
        <f>tbl_Companys!D1860</f>
        <v>0</v>
      </c>
      <c r="O1860" s="102">
        <f>tbl_Companys!C1860</f>
        <v>0</v>
      </c>
      <c r="P1860" s="102">
        <f t="shared" si="88"/>
        <v>0</v>
      </c>
      <c r="Q1860" s="102">
        <f>tbl_ConsultingCompanys!D1860</f>
        <v>0</v>
      </c>
      <c r="R1860" s="102">
        <f>tbl_ConsultingCompanys!C1860</f>
        <v>0</v>
      </c>
      <c r="S1860" s="102">
        <f t="shared" si="89"/>
        <v>0</v>
      </c>
    </row>
    <row r="1861" spans="11:19" x14ac:dyDescent="0.15">
      <c r="K1861" s="102">
        <f>tbl_ArchitectureOffices!D1861</f>
        <v>0</v>
      </c>
      <c r="L1861" s="102">
        <f>tbl_ArchitectureOffices!C1861</f>
        <v>0</v>
      </c>
      <c r="M1861" s="102">
        <f t="shared" si="87"/>
        <v>0</v>
      </c>
      <c r="N1861" s="102">
        <f>tbl_Companys!D1861</f>
        <v>0</v>
      </c>
      <c r="O1861" s="102">
        <f>tbl_Companys!C1861</f>
        <v>0</v>
      </c>
      <c r="P1861" s="102">
        <f t="shared" si="88"/>
        <v>0</v>
      </c>
      <c r="Q1861" s="102">
        <f>tbl_ConsultingCompanys!D1861</f>
        <v>0</v>
      </c>
      <c r="R1861" s="102">
        <f>tbl_ConsultingCompanys!C1861</f>
        <v>0</v>
      </c>
      <c r="S1861" s="102">
        <f t="shared" si="89"/>
        <v>0</v>
      </c>
    </row>
    <row r="1862" spans="11:19" x14ac:dyDescent="0.15">
      <c r="K1862" s="102">
        <f>tbl_ArchitectureOffices!D1862</f>
        <v>0</v>
      </c>
      <c r="L1862" s="102">
        <f>tbl_ArchitectureOffices!C1862</f>
        <v>0</v>
      </c>
      <c r="M1862" s="102">
        <f t="shared" si="87"/>
        <v>0</v>
      </c>
      <c r="N1862" s="102">
        <f>tbl_Companys!D1862</f>
        <v>0</v>
      </c>
      <c r="O1862" s="102">
        <f>tbl_Companys!C1862</f>
        <v>0</v>
      </c>
      <c r="P1862" s="102">
        <f t="shared" si="88"/>
        <v>0</v>
      </c>
      <c r="Q1862" s="102">
        <f>tbl_ConsultingCompanys!D1862</f>
        <v>0</v>
      </c>
      <c r="R1862" s="102">
        <f>tbl_ConsultingCompanys!C1862</f>
        <v>0</v>
      </c>
      <c r="S1862" s="102">
        <f t="shared" si="89"/>
        <v>0</v>
      </c>
    </row>
    <row r="1863" spans="11:19" x14ac:dyDescent="0.15">
      <c r="K1863" s="102">
        <f>tbl_ArchitectureOffices!D1863</f>
        <v>0</v>
      </c>
      <c r="L1863" s="102">
        <f>tbl_ArchitectureOffices!C1863</f>
        <v>0</v>
      </c>
      <c r="M1863" s="102">
        <f t="shared" si="87"/>
        <v>0</v>
      </c>
      <c r="N1863" s="102">
        <f>tbl_Companys!D1863</f>
        <v>0</v>
      </c>
      <c r="O1863" s="102">
        <f>tbl_Companys!C1863</f>
        <v>0</v>
      </c>
      <c r="P1863" s="102">
        <f t="shared" si="88"/>
        <v>0</v>
      </c>
      <c r="Q1863" s="102">
        <f>tbl_ConsultingCompanys!D1863</f>
        <v>0</v>
      </c>
      <c r="R1863" s="102">
        <f>tbl_ConsultingCompanys!C1863</f>
        <v>0</v>
      </c>
      <c r="S1863" s="102">
        <f t="shared" si="89"/>
        <v>0</v>
      </c>
    </row>
    <row r="1864" spans="11:19" x14ac:dyDescent="0.15">
      <c r="K1864" s="102">
        <f>tbl_ArchitectureOffices!D1864</f>
        <v>0</v>
      </c>
      <c r="L1864" s="102">
        <f>tbl_ArchitectureOffices!C1864</f>
        <v>0</v>
      </c>
      <c r="M1864" s="102">
        <f t="shared" si="87"/>
        <v>0</v>
      </c>
      <c r="N1864" s="102">
        <f>tbl_Companys!D1864</f>
        <v>0</v>
      </c>
      <c r="O1864" s="102">
        <f>tbl_Companys!C1864</f>
        <v>0</v>
      </c>
      <c r="P1864" s="102">
        <f t="shared" si="88"/>
        <v>0</v>
      </c>
      <c r="Q1864" s="102">
        <f>tbl_ConsultingCompanys!D1864</f>
        <v>0</v>
      </c>
      <c r="R1864" s="102">
        <f>tbl_ConsultingCompanys!C1864</f>
        <v>0</v>
      </c>
      <c r="S1864" s="102">
        <f t="shared" si="89"/>
        <v>0</v>
      </c>
    </row>
    <row r="1865" spans="11:19" x14ac:dyDescent="0.15">
      <c r="K1865" s="102">
        <f>tbl_ArchitectureOffices!D1865</f>
        <v>0</v>
      </c>
      <c r="L1865" s="102">
        <f>tbl_ArchitectureOffices!C1865</f>
        <v>0</v>
      </c>
      <c r="M1865" s="102">
        <f t="shared" si="87"/>
        <v>0</v>
      </c>
      <c r="N1865" s="102">
        <f>tbl_Companys!D1865</f>
        <v>0</v>
      </c>
      <c r="O1865" s="102">
        <f>tbl_Companys!C1865</f>
        <v>0</v>
      </c>
      <c r="P1865" s="102">
        <f t="shared" si="88"/>
        <v>0</v>
      </c>
      <c r="Q1865" s="102">
        <f>tbl_ConsultingCompanys!D1865</f>
        <v>0</v>
      </c>
      <c r="R1865" s="102">
        <f>tbl_ConsultingCompanys!C1865</f>
        <v>0</v>
      </c>
      <c r="S1865" s="102">
        <f t="shared" si="89"/>
        <v>0</v>
      </c>
    </row>
    <row r="1866" spans="11:19" x14ac:dyDescent="0.15">
      <c r="K1866" s="102">
        <f>tbl_ArchitectureOffices!D1866</f>
        <v>0</v>
      </c>
      <c r="L1866" s="102">
        <f>tbl_ArchitectureOffices!C1866</f>
        <v>0</v>
      </c>
      <c r="M1866" s="102">
        <f t="shared" si="87"/>
        <v>0</v>
      </c>
      <c r="N1866" s="102">
        <f>tbl_Companys!D1866</f>
        <v>0</v>
      </c>
      <c r="O1866" s="102">
        <f>tbl_Companys!C1866</f>
        <v>0</v>
      </c>
      <c r="P1866" s="102">
        <f t="shared" si="88"/>
        <v>0</v>
      </c>
      <c r="Q1866" s="102">
        <f>tbl_ConsultingCompanys!D1866</f>
        <v>0</v>
      </c>
      <c r="R1866" s="102">
        <f>tbl_ConsultingCompanys!C1866</f>
        <v>0</v>
      </c>
      <c r="S1866" s="102">
        <f t="shared" si="89"/>
        <v>0</v>
      </c>
    </row>
    <row r="1867" spans="11:19" x14ac:dyDescent="0.15">
      <c r="K1867" s="102">
        <f>tbl_ArchitectureOffices!D1867</f>
        <v>0</v>
      </c>
      <c r="L1867" s="102">
        <f>tbl_ArchitectureOffices!C1867</f>
        <v>0</v>
      </c>
      <c r="M1867" s="102">
        <f t="shared" si="87"/>
        <v>0</v>
      </c>
      <c r="N1867" s="102">
        <f>tbl_Companys!D1867</f>
        <v>0</v>
      </c>
      <c r="O1867" s="102">
        <f>tbl_Companys!C1867</f>
        <v>0</v>
      </c>
      <c r="P1867" s="102">
        <f t="shared" si="88"/>
        <v>0</v>
      </c>
      <c r="Q1867" s="102">
        <f>tbl_ConsultingCompanys!D1867</f>
        <v>0</v>
      </c>
      <c r="R1867" s="102">
        <f>tbl_ConsultingCompanys!C1867</f>
        <v>0</v>
      </c>
      <c r="S1867" s="102">
        <f t="shared" si="89"/>
        <v>0</v>
      </c>
    </row>
    <row r="1868" spans="11:19" x14ac:dyDescent="0.15">
      <c r="K1868" s="102">
        <f>tbl_ArchitectureOffices!D1868</f>
        <v>0</v>
      </c>
      <c r="L1868" s="102">
        <f>tbl_ArchitectureOffices!C1868</f>
        <v>0</v>
      </c>
      <c r="M1868" s="102">
        <f t="shared" si="87"/>
        <v>0</v>
      </c>
      <c r="N1868" s="102">
        <f>tbl_Companys!D1868</f>
        <v>0</v>
      </c>
      <c r="O1868" s="102">
        <f>tbl_Companys!C1868</f>
        <v>0</v>
      </c>
      <c r="P1868" s="102">
        <f t="shared" si="88"/>
        <v>0</v>
      </c>
      <c r="Q1868" s="102">
        <f>tbl_ConsultingCompanys!D1868</f>
        <v>0</v>
      </c>
      <c r="R1868" s="102">
        <f>tbl_ConsultingCompanys!C1868</f>
        <v>0</v>
      </c>
      <c r="S1868" s="102">
        <f t="shared" si="89"/>
        <v>0</v>
      </c>
    </row>
    <row r="1869" spans="11:19" x14ac:dyDescent="0.15">
      <c r="K1869" s="102">
        <f>tbl_ArchitectureOffices!D1869</f>
        <v>0</v>
      </c>
      <c r="L1869" s="102">
        <f>tbl_ArchitectureOffices!C1869</f>
        <v>0</v>
      </c>
      <c r="M1869" s="102">
        <f t="shared" si="87"/>
        <v>0</v>
      </c>
      <c r="N1869" s="102">
        <f>tbl_Companys!D1869</f>
        <v>0</v>
      </c>
      <c r="O1869" s="102">
        <f>tbl_Companys!C1869</f>
        <v>0</v>
      </c>
      <c r="P1869" s="102">
        <f t="shared" si="88"/>
        <v>0</v>
      </c>
      <c r="Q1869" s="102">
        <f>tbl_ConsultingCompanys!D1869</f>
        <v>0</v>
      </c>
      <c r="R1869" s="102">
        <f>tbl_ConsultingCompanys!C1869</f>
        <v>0</v>
      </c>
      <c r="S1869" s="102">
        <f t="shared" si="89"/>
        <v>0</v>
      </c>
    </row>
    <row r="1870" spans="11:19" x14ac:dyDescent="0.15">
      <c r="K1870" s="102">
        <f>tbl_ArchitectureOffices!D1870</f>
        <v>0</v>
      </c>
      <c r="L1870" s="102">
        <f>tbl_ArchitectureOffices!C1870</f>
        <v>0</v>
      </c>
      <c r="M1870" s="102">
        <f t="shared" si="87"/>
        <v>0</v>
      </c>
      <c r="N1870" s="102">
        <f>tbl_Companys!D1870</f>
        <v>0</v>
      </c>
      <c r="O1870" s="102">
        <f>tbl_Companys!C1870</f>
        <v>0</v>
      </c>
      <c r="P1870" s="102">
        <f t="shared" si="88"/>
        <v>0</v>
      </c>
      <c r="Q1870" s="102">
        <f>tbl_ConsultingCompanys!D1870</f>
        <v>0</v>
      </c>
      <c r="R1870" s="102">
        <f>tbl_ConsultingCompanys!C1870</f>
        <v>0</v>
      </c>
      <c r="S1870" s="102">
        <f t="shared" si="89"/>
        <v>0</v>
      </c>
    </row>
    <row r="1871" spans="11:19" x14ac:dyDescent="0.15">
      <c r="K1871" s="102">
        <f>tbl_ArchitectureOffices!D1871</f>
        <v>0</v>
      </c>
      <c r="L1871" s="102">
        <f>tbl_ArchitectureOffices!C1871</f>
        <v>0</v>
      </c>
      <c r="M1871" s="102">
        <f t="shared" si="87"/>
        <v>0</v>
      </c>
      <c r="N1871" s="102">
        <f>tbl_Companys!D1871</f>
        <v>0</v>
      </c>
      <c r="O1871" s="102">
        <f>tbl_Companys!C1871</f>
        <v>0</v>
      </c>
      <c r="P1871" s="102">
        <f t="shared" si="88"/>
        <v>0</v>
      </c>
      <c r="Q1871" s="102">
        <f>tbl_ConsultingCompanys!D1871</f>
        <v>0</v>
      </c>
      <c r="R1871" s="102">
        <f>tbl_ConsultingCompanys!C1871</f>
        <v>0</v>
      </c>
      <c r="S1871" s="102">
        <f t="shared" si="89"/>
        <v>0</v>
      </c>
    </row>
    <row r="1872" spans="11:19" x14ac:dyDescent="0.15">
      <c r="K1872" s="102">
        <f>tbl_ArchitectureOffices!D1872</f>
        <v>0</v>
      </c>
      <c r="L1872" s="102">
        <f>tbl_ArchitectureOffices!C1872</f>
        <v>0</v>
      </c>
      <c r="M1872" s="102">
        <f t="shared" si="87"/>
        <v>0</v>
      </c>
      <c r="N1872" s="102">
        <f>tbl_Companys!D1872</f>
        <v>0</v>
      </c>
      <c r="O1872" s="102">
        <f>tbl_Companys!C1872</f>
        <v>0</v>
      </c>
      <c r="P1872" s="102">
        <f t="shared" si="88"/>
        <v>0</v>
      </c>
      <c r="Q1872" s="102">
        <f>tbl_ConsultingCompanys!D1872</f>
        <v>0</v>
      </c>
      <c r="R1872" s="102">
        <f>tbl_ConsultingCompanys!C1872</f>
        <v>0</v>
      </c>
      <c r="S1872" s="102">
        <f t="shared" si="89"/>
        <v>0</v>
      </c>
    </row>
    <row r="1873" spans="11:19" x14ac:dyDescent="0.15">
      <c r="K1873" s="102">
        <f>tbl_ArchitectureOffices!D1873</f>
        <v>0</v>
      </c>
      <c r="L1873" s="102">
        <f>tbl_ArchitectureOffices!C1873</f>
        <v>0</v>
      </c>
      <c r="M1873" s="102">
        <f t="shared" si="87"/>
        <v>0</v>
      </c>
      <c r="N1873" s="102">
        <f>tbl_Companys!D1873</f>
        <v>0</v>
      </c>
      <c r="O1873" s="102">
        <f>tbl_Companys!C1873</f>
        <v>0</v>
      </c>
      <c r="P1873" s="102">
        <f t="shared" si="88"/>
        <v>0</v>
      </c>
      <c r="Q1873" s="102">
        <f>tbl_ConsultingCompanys!D1873</f>
        <v>0</v>
      </c>
      <c r="R1873" s="102">
        <f>tbl_ConsultingCompanys!C1873</f>
        <v>0</v>
      </c>
      <c r="S1873" s="102">
        <f t="shared" si="89"/>
        <v>0</v>
      </c>
    </row>
    <row r="1874" spans="11:19" x14ac:dyDescent="0.15">
      <c r="K1874" s="102">
        <f>tbl_ArchitectureOffices!D1874</f>
        <v>0</v>
      </c>
      <c r="L1874" s="102">
        <f>tbl_ArchitectureOffices!C1874</f>
        <v>0</v>
      </c>
      <c r="M1874" s="102">
        <f t="shared" si="87"/>
        <v>0</v>
      </c>
      <c r="N1874" s="102">
        <f>tbl_Companys!D1874</f>
        <v>0</v>
      </c>
      <c r="O1874" s="102">
        <f>tbl_Companys!C1874</f>
        <v>0</v>
      </c>
      <c r="P1874" s="102">
        <f t="shared" si="88"/>
        <v>0</v>
      </c>
      <c r="Q1874" s="102">
        <f>tbl_ConsultingCompanys!D1874</f>
        <v>0</v>
      </c>
      <c r="R1874" s="102">
        <f>tbl_ConsultingCompanys!C1874</f>
        <v>0</v>
      </c>
      <c r="S1874" s="102">
        <f t="shared" si="89"/>
        <v>0</v>
      </c>
    </row>
    <row r="1875" spans="11:19" x14ac:dyDescent="0.15">
      <c r="K1875" s="102">
        <f>tbl_ArchitectureOffices!D1875</f>
        <v>0</v>
      </c>
      <c r="L1875" s="102">
        <f>tbl_ArchitectureOffices!C1875</f>
        <v>0</v>
      </c>
      <c r="M1875" s="102">
        <f t="shared" si="87"/>
        <v>0</v>
      </c>
      <c r="N1875" s="102">
        <f>tbl_Companys!D1875</f>
        <v>0</v>
      </c>
      <c r="O1875" s="102">
        <f>tbl_Companys!C1875</f>
        <v>0</v>
      </c>
      <c r="P1875" s="102">
        <f t="shared" si="88"/>
        <v>0</v>
      </c>
      <c r="Q1875" s="102">
        <f>tbl_ConsultingCompanys!D1875</f>
        <v>0</v>
      </c>
      <c r="R1875" s="102">
        <f>tbl_ConsultingCompanys!C1875</f>
        <v>0</v>
      </c>
      <c r="S1875" s="102">
        <f t="shared" si="89"/>
        <v>0</v>
      </c>
    </row>
    <row r="1876" spans="11:19" x14ac:dyDescent="0.15">
      <c r="K1876" s="102">
        <f>tbl_ArchitectureOffices!D1876</f>
        <v>0</v>
      </c>
      <c r="L1876" s="102">
        <f>tbl_ArchitectureOffices!C1876</f>
        <v>0</v>
      </c>
      <c r="M1876" s="102">
        <f t="shared" si="87"/>
        <v>0</v>
      </c>
      <c r="N1876" s="102">
        <f>tbl_Companys!D1876</f>
        <v>0</v>
      </c>
      <c r="O1876" s="102">
        <f>tbl_Companys!C1876</f>
        <v>0</v>
      </c>
      <c r="P1876" s="102">
        <f t="shared" si="88"/>
        <v>0</v>
      </c>
      <c r="Q1876" s="102">
        <f>tbl_ConsultingCompanys!D1876</f>
        <v>0</v>
      </c>
      <c r="R1876" s="102">
        <f>tbl_ConsultingCompanys!C1876</f>
        <v>0</v>
      </c>
      <c r="S1876" s="102">
        <f t="shared" si="89"/>
        <v>0</v>
      </c>
    </row>
    <row r="1877" spans="11:19" x14ac:dyDescent="0.15">
      <c r="K1877" s="102">
        <f>tbl_ArchitectureOffices!D1877</f>
        <v>0</v>
      </c>
      <c r="L1877" s="102">
        <f>tbl_ArchitectureOffices!C1877</f>
        <v>0</v>
      </c>
      <c r="M1877" s="102">
        <f t="shared" si="87"/>
        <v>0</v>
      </c>
      <c r="N1877" s="102">
        <f>tbl_Companys!D1877</f>
        <v>0</v>
      </c>
      <c r="O1877" s="102">
        <f>tbl_Companys!C1877</f>
        <v>0</v>
      </c>
      <c r="P1877" s="102">
        <f t="shared" si="88"/>
        <v>0</v>
      </c>
      <c r="Q1877" s="102">
        <f>tbl_ConsultingCompanys!D1877</f>
        <v>0</v>
      </c>
      <c r="R1877" s="102">
        <f>tbl_ConsultingCompanys!C1877</f>
        <v>0</v>
      </c>
      <c r="S1877" s="102">
        <f t="shared" si="89"/>
        <v>0</v>
      </c>
    </row>
    <row r="1878" spans="11:19" x14ac:dyDescent="0.15">
      <c r="K1878" s="102">
        <f>tbl_ArchitectureOffices!D1878</f>
        <v>0</v>
      </c>
      <c r="L1878" s="102">
        <f>tbl_ArchitectureOffices!C1878</f>
        <v>0</v>
      </c>
      <c r="M1878" s="102">
        <f t="shared" si="87"/>
        <v>0</v>
      </c>
      <c r="N1878" s="102">
        <f>tbl_Companys!D1878</f>
        <v>0</v>
      </c>
      <c r="O1878" s="102">
        <f>tbl_Companys!C1878</f>
        <v>0</v>
      </c>
      <c r="P1878" s="102">
        <f t="shared" si="88"/>
        <v>0</v>
      </c>
      <c r="Q1878" s="102">
        <f>tbl_ConsultingCompanys!D1878</f>
        <v>0</v>
      </c>
      <c r="R1878" s="102">
        <f>tbl_ConsultingCompanys!C1878</f>
        <v>0</v>
      </c>
      <c r="S1878" s="102">
        <f t="shared" si="89"/>
        <v>0</v>
      </c>
    </row>
    <row r="1879" spans="11:19" x14ac:dyDescent="0.15">
      <c r="K1879" s="102">
        <f>tbl_ArchitectureOffices!D1879</f>
        <v>0</v>
      </c>
      <c r="L1879" s="102">
        <f>tbl_ArchitectureOffices!C1879</f>
        <v>0</v>
      </c>
      <c r="M1879" s="102">
        <f t="shared" si="87"/>
        <v>0</v>
      </c>
      <c r="N1879" s="102">
        <f>tbl_Companys!D1879</f>
        <v>0</v>
      </c>
      <c r="O1879" s="102">
        <f>tbl_Companys!C1879</f>
        <v>0</v>
      </c>
      <c r="P1879" s="102">
        <f t="shared" si="88"/>
        <v>0</v>
      </c>
      <c r="Q1879" s="102">
        <f>tbl_ConsultingCompanys!D1879</f>
        <v>0</v>
      </c>
      <c r="R1879" s="102">
        <f>tbl_ConsultingCompanys!C1879</f>
        <v>0</v>
      </c>
      <c r="S1879" s="102">
        <f t="shared" si="89"/>
        <v>0</v>
      </c>
    </row>
    <row r="1880" spans="11:19" x14ac:dyDescent="0.15">
      <c r="K1880" s="102">
        <f>tbl_ArchitectureOffices!D1880</f>
        <v>0</v>
      </c>
      <c r="L1880" s="102">
        <f>tbl_ArchitectureOffices!C1880</f>
        <v>0</v>
      </c>
      <c r="M1880" s="102">
        <f t="shared" si="87"/>
        <v>0</v>
      </c>
      <c r="N1880" s="102">
        <f>tbl_Companys!D1880</f>
        <v>0</v>
      </c>
      <c r="O1880" s="102">
        <f>tbl_Companys!C1880</f>
        <v>0</v>
      </c>
      <c r="P1880" s="102">
        <f t="shared" si="88"/>
        <v>0</v>
      </c>
      <c r="Q1880" s="102">
        <f>tbl_ConsultingCompanys!D1880</f>
        <v>0</v>
      </c>
      <c r="R1880" s="102">
        <f>tbl_ConsultingCompanys!C1880</f>
        <v>0</v>
      </c>
      <c r="S1880" s="102">
        <f t="shared" si="89"/>
        <v>0</v>
      </c>
    </row>
    <row r="1881" spans="11:19" x14ac:dyDescent="0.15">
      <c r="K1881" s="102">
        <f>tbl_ArchitectureOffices!D1881</f>
        <v>0</v>
      </c>
      <c r="L1881" s="102">
        <f>tbl_ArchitectureOffices!C1881</f>
        <v>0</v>
      </c>
      <c r="M1881" s="102">
        <f t="shared" si="87"/>
        <v>0</v>
      </c>
      <c r="N1881" s="102">
        <f>tbl_Companys!D1881</f>
        <v>0</v>
      </c>
      <c r="O1881" s="102">
        <f>tbl_Companys!C1881</f>
        <v>0</v>
      </c>
      <c r="P1881" s="102">
        <f t="shared" si="88"/>
        <v>0</v>
      </c>
      <c r="Q1881" s="102">
        <f>tbl_ConsultingCompanys!D1881</f>
        <v>0</v>
      </c>
      <c r="R1881" s="102">
        <f>tbl_ConsultingCompanys!C1881</f>
        <v>0</v>
      </c>
      <c r="S1881" s="102">
        <f t="shared" si="89"/>
        <v>0</v>
      </c>
    </row>
    <row r="1882" spans="11:19" x14ac:dyDescent="0.15">
      <c r="K1882" s="102">
        <f>tbl_ArchitectureOffices!D1882</f>
        <v>0</v>
      </c>
      <c r="L1882" s="102">
        <f>tbl_ArchitectureOffices!C1882</f>
        <v>0</v>
      </c>
      <c r="M1882" s="102">
        <f t="shared" si="87"/>
        <v>0</v>
      </c>
      <c r="N1882" s="102">
        <f>tbl_Companys!D1882</f>
        <v>0</v>
      </c>
      <c r="O1882" s="102">
        <f>tbl_Companys!C1882</f>
        <v>0</v>
      </c>
      <c r="P1882" s="102">
        <f t="shared" si="88"/>
        <v>0</v>
      </c>
      <c r="Q1882" s="102">
        <f>tbl_ConsultingCompanys!D1882</f>
        <v>0</v>
      </c>
      <c r="R1882" s="102">
        <f>tbl_ConsultingCompanys!C1882</f>
        <v>0</v>
      </c>
      <c r="S1882" s="102">
        <f t="shared" si="89"/>
        <v>0</v>
      </c>
    </row>
    <row r="1883" spans="11:19" x14ac:dyDescent="0.15">
      <c r="K1883" s="102">
        <f>tbl_ArchitectureOffices!D1883</f>
        <v>0</v>
      </c>
      <c r="L1883" s="102">
        <f>tbl_ArchitectureOffices!C1883</f>
        <v>0</v>
      </c>
      <c r="M1883" s="102">
        <f t="shared" si="87"/>
        <v>0</v>
      </c>
      <c r="N1883" s="102">
        <f>tbl_Companys!D1883</f>
        <v>0</v>
      </c>
      <c r="O1883" s="102">
        <f>tbl_Companys!C1883</f>
        <v>0</v>
      </c>
      <c r="P1883" s="102">
        <f t="shared" si="88"/>
        <v>0</v>
      </c>
      <c r="Q1883" s="102">
        <f>tbl_ConsultingCompanys!D1883</f>
        <v>0</v>
      </c>
      <c r="R1883" s="102">
        <f>tbl_ConsultingCompanys!C1883</f>
        <v>0</v>
      </c>
      <c r="S1883" s="102">
        <f t="shared" si="89"/>
        <v>0</v>
      </c>
    </row>
    <row r="1884" spans="11:19" x14ac:dyDescent="0.15">
      <c r="K1884" s="102">
        <f>tbl_ArchitectureOffices!D1884</f>
        <v>0</v>
      </c>
      <c r="L1884" s="102">
        <f>tbl_ArchitectureOffices!C1884</f>
        <v>0</v>
      </c>
      <c r="M1884" s="102">
        <f t="shared" si="87"/>
        <v>0</v>
      </c>
      <c r="N1884" s="102">
        <f>tbl_Companys!D1884</f>
        <v>0</v>
      </c>
      <c r="O1884" s="102">
        <f>tbl_Companys!C1884</f>
        <v>0</v>
      </c>
      <c r="P1884" s="102">
        <f t="shared" si="88"/>
        <v>0</v>
      </c>
      <c r="Q1884" s="102">
        <f>tbl_ConsultingCompanys!D1884</f>
        <v>0</v>
      </c>
      <c r="R1884" s="102">
        <f>tbl_ConsultingCompanys!C1884</f>
        <v>0</v>
      </c>
      <c r="S1884" s="102">
        <f t="shared" si="89"/>
        <v>0</v>
      </c>
    </row>
    <row r="1885" spans="11:19" x14ac:dyDescent="0.15">
      <c r="K1885" s="102">
        <f>tbl_ArchitectureOffices!D1885</f>
        <v>0</v>
      </c>
      <c r="L1885" s="102">
        <f>tbl_ArchitectureOffices!C1885</f>
        <v>0</v>
      </c>
      <c r="M1885" s="102">
        <f t="shared" si="87"/>
        <v>0</v>
      </c>
      <c r="N1885" s="102">
        <f>tbl_Companys!D1885</f>
        <v>0</v>
      </c>
      <c r="O1885" s="102">
        <f>tbl_Companys!C1885</f>
        <v>0</v>
      </c>
      <c r="P1885" s="102">
        <f t="shared" si="88"/>
        <v>0</v>
      </c>
      <c r="Q1885" s="102">
        <f>tbl_ConsultingCompanys!D1885</f>
        <v>0</v>
      </c>
      <c r="R1885" s="102">
        <f>tbl_ConsultingCompanys!C1885</f>
        <v>0</v>
      </c>
      <c r="S1885" s="102">
        <f t="shared" si="89"/>
        <v>0</v>
      </c>
    </row>
    <row r="1886" spans="11:19" x14ac:dyDescent="0.15">
      <c r="K1886" s="102">
        <f>tbl_ArchitectureOffices!D1886</f>
        <v>0</v>
      </c>
      <c r="L1886" s="102">
        <f>tbl_ArchitectureOffices!C1886</f>
        <v>0</v>
      </c>
      <c r="M1886" s="102">
        <f t="shared" si="87"/>
        <v>0</v>
      </c>
      <c r="N1886" s="102">
        <f>tbl_Companys!D1886</f>
        <v>0</v>
      </c>
      <c r="O1886" s="102">
        <f>tbl_Companys!C1886</f>
        <v>0</v>
      </c>
      <c r="P1886" s="102">
        <f t="shared" si="88"/>
        <v>0</v>
      </c>
      <c r="Q1886" s="102">
        <f>tbl_ConsultingCompanys!D1886</f>
        <v>0</v>
      </c>
      <c r="R1886" s="102">
        <f>tbl_ConsultingCompanys!C1886</f>
        <v>0</v>
      </c>
      <c r="S1886" s="102">
        <f t="shared" si="89"/>
        <v>0</v>
      </c>
    </row>
    <row r="1887" spans="11:19" x14ac:dyDescent="0.15">
      <c r="K1887" s="102">
        <f>tbl_ArchitectureOffices!D1887</f>
        <v>0</v>
      </c>
      <c r="L1887" s="102">
        <f>tbl_ArchitectureOffices!C1887</f>
        <v>0</v>
      </c>
      <c r="M1887" s="102">
        <f t="shared" si="87"/>
        <v>0</v>
      </c>
      <c r="N1887" s="102">
        <f>tbl_Companys!D1887</f>
        <v>0</v>
      </c>
      <c r="O1887" s="102">
        <f>tbl_Companys!C1887</f>
        <v>0</v>
      </c>
      <c r="P1887" s="102">
        <f t="shared" si="88"/>
        <v>0</v>
      </c>
      <c r="Q1887" s="102">
        <f>tbl_ConsultingCompanys!D1887</f>
        <v>0</v>
      </c>
      <c r="R1887" s="102">
        <f>tbl_ConsultingCompanys!C1887</f>
        <v>0</v>
      </c>
      <c r="S1887" s="102">
        <f t="shared" si="89"/>
        <v>0</v>
      </c>
    </row>
    <row r="1888" spans="11:19" x14ac:dyDescent="0.15">
      <c r="K1888" s="102">
        <f>tbl_ArchitectureOffices!D1888</f>
        <v>0</v>
      </c>
      <c r="L1888" s="102">
        <f>tbl_ArchitectureOffices!C1888</f>
        <v>0</v>
      </c>
      <c r="M1888" s="102">
        <f t="shared" si="87"/>
        <v>0</v>
      </c>
      <c r="N1888" s="102">
        <f>tbl_Companys!D1888</f>
        <v>0</v>
      </c>
      <c r="O1888" s="102">
        <f>tbl_Companys!C1888</f>
        <v>0</v>
      </c>
      <c r="P1888" s="102">
        <f t="shared" si="88"/>
        <v>0</v>
      </c>
      <c r="Q1888" s="102">
        <f>tbl_ConsultingCompanys!D1888</f>
        <v>0</v>
      </c>
      <c r="R1888" s="102">
        <f>tbl_ConsultingCompanys!C1888</f>
        <v>0</v>
      </c>
      <c r="S1888" s="102">
        <f t="shared" si="89"/>
        <v>0</v>
      </c>
    </row>
    <row r="1889" spans="11:19" x14ac:dyDescent="0.15">
      <c r="K1889" s="102">
        <f>tbl_ArchitectureOffices!D1889</f>
        <v>0</v>
      </c>
      <c r="L1889" s="102">
        <f>tbl_ArchitectureOffices!C1889</f>
        <v>0</v>
      </c>
      <c r="M1889" s="102">
        <f t="shared" si="87"/>
        <v>0</v>
      </c>
      <c r="N1889" s="102">
        <f>tbl_Companys!D1889</f>
        <v>0</v>
      </c>
      <c r="O1889" s="102">
        <f>tbl_Companys!C1889</f>
        <v>0</v>
      </c>
      <c r="P1889" s="102">
        <f t="shared" si="88"/>
        <v>0</v>
      </c>
      <c r="Q1889" s="102">
        <f>tbl_ConsultingCompanys!D1889</f>
        <v>0</v>
      </c>
      <c r="R1889" s="102">
        <f>tbl_ConsultingCompanys!C1889</f>
        <v>0</v>
      </c>
      <c r="S1889" s="102">
        <f t="shared" si="89"/>
        <v>0</v>
      </c>
    </row>
    <row r="1890" spans="11:19" x14ac:dyDescent="0.15">
      <c r="K1890" s="102">
        <f>tbl_ArchitectureOffices!D1890</f>
        <v>0</v>
      </c>
      <c r="L1890" s="102">
        <f>tbl_ArchitectureOffices!C1890</f>
        <v>0</v>
      </c>
      <c r="M1890" s="102">
        <f t="shared" si="87"/>
        <v>0</v>
      </c>
      <c r="N1890" s="102">
        <f>tbl_Companys!D1890</f>
        <v>0</v>
      </c>
      <c r="O1890" s="102">
        <f>tbl_Companys!C1890</f>
        <v>0</v>
      </c>
      <c r="P1890" s="102">
        <f t="shared" si="88"/>
        <v>0</v>
      </c>
      <c r="Q1890" s="102">
        <f>tbl_ConsultingCompanys!D1890</f>
        <v>0</v>
      </c>
      <c r="R1890" s="102">
        <f>tbl_ConsultingCompanys!C1890</f>
        <v>0</v>
      </c>
      <c r="S1890" s="102">
        <f t="shared" si="89"/>
        <v>0</v>
      </c>
    </row>
    <row r="1891" spans="11:19" x14ac:dyDescent="0.15">
      <c r="K1891" s="102">
        <f>tbl_ArchitectureOffices!D1891</f>
        <v>0</v>
      </c>
      <c r="L1891" s="102">
        <f>tbl_ArchitectureOffices!C1891</f>
        <v>0</v>
      </c>
      <c r="M1891" s="102">
        <f t="shared" si="87"/>
        <v>0</v>
      </c>
      <c r="N1891" s="102">
        <f>tbl_Companys!D1891</f>
        <v>0</v>
      </c>
      <c r="O1891" s="102">
        <f>tbl_Companys!C1891</f>
        <v>0</v>
      </c>
      <c r="P1891" s="102">
        <f t="shared" si="88"/>
        <v>0</v>
      </c>
      <c r="Q1891" s="102">
        <f>tbl_ConsultingCompanys!D1891</f>
        <v>0</v>
      </c>
      <c r="R1891" s="102">
        <f>tbl_ConsultingCompanys!C1891</f>
        <v>0</v>
      </c>
      <c r="S1891" s="102">
        <f t="shared" si="89"/>
        <v>0</v>
      </c>
    </row>
    <row r="1892" spans="11:19" x14ac:dyDescent="0.15">
      <c r="K1892" s="102">
        <f>tbl_ArchitectureOffices!D1892</f>
        <v>0</v>
      </c>
      <c r="L1892" s="102">
        <f>tbl_ArchitectureOffices!C1892</f>
        <v>0</v>
      </c>
      <c r="M1892" s="102">
        <f t="shared" si="87"/>
        <v>0</v>
      </c>
      <c r="N1892" s="102">
        <f>tbl_Companys!D1892</f>
        <v>0</v>
      </c>
      <c r="O1892" s="102">
        <f>tbl_Companys!C1892</f>
        <v>0</v>
      </c>
      <c r="P1892" s="102">
        <f t="shared" si="88"/>
        <v>0</v>
      </c>
      <c r="Q1892" s="102">
        <f>tbl_ConsultingCompanys!D1892</f>
        <v>0</v>
      </c>
      <c r="R1892" s="102">
        <f>tbl_ConsultingCompanys!C1892</f>
        <v>0</v>
      </c>
      <c r="S1892" s="102">
        <f t="shared" si="89"/>
        <v>0</v>
      </c>
    </row>
    <row r="1893" spans="11:19" x14ac:dyDescent="0.15">
      <c r="K1893" s="102">
        <f>tbl_ArchitectureOffices!D1893</f>
        <v>0</v>
      </c>
      <c r="L1893" s="102">
        <f>tbl_ArchitectureOffices!C1893</f>
        <v>0</v>
      </c>
      <c r="M1893" s="102">
        <f t="shared" si="87"/>
        <v>0</v>
      </c>
      <c r="N1893" s="102">
        <f>tbl_Companys!D1893</f>
        <v>0</v>
      </c>
      <c r="O1893" s="102">
        <f>tbl_Companys!C1893</f>
        <v>0</v>
      </c>
      <c r="P1893" s="102">
        <f t="shared" si="88"/>
        <v>0</v>
      </c>
      <c r="Q1893" s="102">
        <f>tbl_ConsultingCompanys!D1893</f>
        <v>0</v>
      </c>
      <c r="R1893" s="102">
        <f>tbl_ConsultingCompanys!C1893</f>
        <v>0</v>
      </c>
      <c r="S1893" s="102">
        <f t="shared" si="89"/>
        <v>0</v>
      </c>
    </row>
    <row r="1894" spans="11:19" x14ac:dyDescent="0.15">
      <c r="K1894" s="102">
        <f>tbl_ArchitectureOffices!D1894</f>
        <v>0</v>
      </c>
      <c r="L1894" s="102">
        <f>tbl_ArchitectureOffices!C1894</f>
        <v>0</v>
      </c>
      <c r="M1894" s="102">
        <f t="shared" si="87"/>
        <v>0</v>
      </c>
      <c r="N1894" s="102">
        <f>tbl_Companys!D1894</f>
        <v>0</v>
      </c>
      <c r="O1894" s="102">
        <f>tbl_Companys!C1894</f>
        <v>0</v>
      </c>
      <c r="P1894" s="102">
        <f t="shared" si="88"/>
        <v>0</v>
      </c>
      <c r="Q1894" s="102">
        <f>tbl_ConsultingCompanys!D1894</f>
        <v>0</v>
      </c>
      <c r="R1894" s="102">
        <f>tbl_ConsultingCompanys!C1894</f>
        <v>0</v>
      </c>
      <c r="S1894" s="102">
        <f t="shared" si="89"/>
        <v>0</v>
      </c>
    </row>
    <row r="1895" spans="11:19" x14ac:dyDescent="0.15">
      <c r="K1895" s="102">
        <f>tbl_ArchitectureOffices!D1895</f>
        <v>0</v>
      </c>
      <c r="L1895" s="102">
        <f>tbl_ArchitectureOffices!C1895</f>
        <v>0</v>
      </c>
      <c r="M1895" s="102">
        <f t="shared" si="87"/>
        <v>0</v>
      </c>
      <c r="N1895" s="102">
        <f>tbl_Companys!D1895</f>
        <v>0</v>
      </c>
      <c r="O1895" s="102">
        <f>tbl_Companys!C1895</f>
        <v>0</v>
      </c>
      <c r="P1895" s="102">
        <f t="shared" si="88"/>
        <v>0</v>
      </c>
      <c r="Q1895" s="102">
        <f>tbl_ConsultingCompanys!D1895</f>
        <v>0</v>
      </c>
      <c r="R1895" s="102">
        <f>tbl_ConsultingCompanys!C1895</f>
        <v>0</v>
      </c>
      <c r="S1895" s="102">
        <f t="shared" si="89"/>
        <v>0</v>
      </c>
    </row>
    <row r="1896" spans="11:19" x14ac:dyDescent="0.15">
      <c r="K1896" s="102">
        <f>tbl_ArchitectureOffices!D1896</f>
        <v>0</v>
      </c>
      <c r="L1896" s="102">
        <f>tbl_ArchitectureOffices!C1896</f>
        <v>0</v>
      </c>
      <c r="M1896" s="102">
        <f t="shared" si="87"/>
        <v>0</v>
      </c>
      <c r="N1896" s="102">
        <f>tbl_Companys!D1896</f>
        <v>0</v>
      </c>
      <c r="O1896" s="102">
        <f>tbl_Companys!C1896</f>
        <v>0</v>
      </c>
      <c r="P1896" s="102">
        <f t="shared" si="88"/>
        <v>0</v>
      </c>
      <c r="Q1896" s="102">
        <f>tbl_ConsultingCompanys!D1896</f>
        <v>0</v>
      </c>
      <c r="R1896" s="102">
        <f>tbl_ConsultingCompanys!C1896</f>
        <v>0</v>
      </c>
      <c r="S1896" s="102">
        <f t="shared" si="89"/>
        <v>0</v>
      </c>
    </row>
    <row r="1897" spans="11:19" x14ac:dyDescent="0.15">
      <c r="K1897" s="102">
        <f>tbl_ArchitectureOffices!D1897</f>
        <v>0</v>
      </c>
      <c r="L1897" s="102">
        <f>tbl_ArchitectureOffices!C1897</f>
        <v>0</v>
      </c>
      <c r="M1897" s="102">
        <f t="shared" si="87"/>
        <v>0</v>
      </c>
      <c r="N1897" s="102">
        <f>tbl_Companys!D1897</f>
        <v>0</v>
      </c>
      <c r="O1897" s="102">
        <f>tbl_Companys!C1897</f>
        <v>0</v>
      </c>
      <c r="P1897" s="102">
        <f t="shared" si="88"/>
        <v>0</v>
      </c>
      <c r="Q1897" s="102">
        <f>tbl_ConsultingCompanys!D1897</f>
        <v>0</v>
      </c>
      <c r="R1897" s="102">
        <f>tbl_ConsultingCompanys!C1897</f>
        <v>0</v>
      </c>
      <c r="S1897" s="102">
        <f t="shared" si="89"/>
        <v>0</v>
      </c>
    </row>
    <row r="1898" spans="11:19" x14ac:dyDescent="0.15">
      <c r="K1898" s="102">
        <f>tbl_ArchitectureOffices!D1898</f>
        <v>0</v>
      </c>
      <c r="L1898" s="102">
        <f>tbl_ArchitectureOffices!C1898</f>
        <v>0</v>
      </c>
      <c r="M1898" s="102">
        <f t="shared" si="87"/>
        <v>0</v>
      </c>
      <c r="N1898" s="102">
        <f>tbl_Companys!D1898</f>
        <v>0</v>
      </c>
      <c r="O1898" s="102">
        <f>tbl_Companys!C1898</f>
        <v>0</v>
      </c>
      <c r="P1898" s="102">
        <f t="shared" si="88"/>
        <v>0</v>
      </c>
      <c r="Q1898" s="102">
        <f>tbl_ConsultingCompanys!D1898</f>
        <v>0</v>
      </c>
      <c r="R1898" s="102">
        <f>tbl_ConsultingCompanys!C1898</f>
        <v>0</v>
      </c>
      <c r="S1898" s="102">
        <f t="shared" si="89"/>
        <v>0</v>
      </c>
    </row>
    <row r="1899" spans="11:19" x14ac:dyDescent="0.15">
      <c r="K1899" s="102">
        <f>tbl_ArchitectureOffices!D1899</f>
        <v>0</v>
      </c>
      <c r="L1899" s="102">
        <f>tbl_ArchitectureOffices!C1899</f>
        <v>0</v>
      </c>
      <c r="M1899" s="102">
        <f t="shared" si="87"/>
        <v>0</v>
      </c>
      <c r="N1899" s="102">
        <f>tbl_Companys!D1899</f>
        <v>0</v>
      </c>
      <c r="O1899" s="102">
        <f>tbl_Companys!C1899</f>
        <v>0</v>
      </c>
      <c r="P1899" s="102">
        <f t="shared" si="88"/>
        <v>0</v>
      </c>
      <c r="Q1899" s="102">
        <f>tbl_ConsultingCompanys!D1899</f>
        <v>0</v>
      </c>
      <c r="R1899" s="102">
        <f>tbl_ConsultingCompanys!C1899</f>
        <v>0</v>
      </c>
      <c r="S1899" s="102">
        <f t="shared" si="89"/>
        <v>0</v>
      </c>
    </row>
    <row r="1900" spans="11:19" x14ac:dyDescent="0.15">
      <c r="K1900" s="102">
        <f>tbl_ArchitectureOffices!D1900</f>
        <v>0</v>
      </c>
      <c r="L1900" s="102">
        <f>tbl_ArchitectureOffices!C1900</f>
        <v>0</v>
      </c>
      <c r="M1900" s="102">
        <f t="shared" si="87"/>
        <v>0</v>
      </c>
      <c r="N1900" s="102">
        <f>tbl_Companys!D1900</f>
        <v>0</v>
      </c>
      <c r="O1900" s="102">
        <f>tbl_Companys!C1900</f>
        <v>0</v>
      </c>
      <c r="P1900" s="102">
        <f t="shared" si="88"/>
        <v>0</v>
      </c>
      <c r="Q1900" s="102">
        <f>tbl_ConsultingCompanys!D1900</f>
        <v>0</v>
      </c>
      <c r="R1900" s="102">
        <f>tbl_ConsultingCompanys!C1900</f>
        <v>0</v>
      </c>
      <c r="S1900" s="102">
        <f t="shared" si="89"/>
        <v>0</v>
      </c>
    </row>
    <row r="1901" spans="11:19" x14ac:dyDescent="0.15">
      <c r="K1901" s="102">
        <f>tbl_ArchitectureOffices!D1901</f>
        <v>0</v>
      </c>
      <c r="L1901" s="102">
        <f>tbl_ArchitectureOffices!C1901</f>
        <v>0</v>
      </c>
      <c r="M1901" s="102">
        <f t="shared" si="87"/>
        <v>0</v>
      </c>
      <c r="N1901" s="102">
        <f>tbl_Companys!D1901</f>
        <v>0</v>
      </c>
      <c r="O1901" s="102">
        <f>tbl_Companys!C1901</f>
        <v>0</v>
      </c>
      <c r="P1901" s="102">
        <f t="shared" si="88"/>
        <v>0</v>
      </c>
      <c r="Q1901" s="102">
        <f>tbl_ConsultingCompanys!D1901</f>
        <v>0</v>
      </c>
      <c r="R1901" s="102">
        <f>tbl_ConsultingCompanys!C1901</f>
        <v>0</v>
      </c>
      <c r="S1901" s="102">
        <f t="shared" si="89"/>
        <v>0</v>
      </c>
    </row>
    <row r="1902" spans="11:19" x14ac:dyDescent="0.15">
      <c r="K1902" s="102">
        <f>tbl_ArchitectureOffices!D1902</f>
        <v>0</v>
      </c>
      <c r="L1902" s="102">
        <f>tbl_ArchitectureOffices!C1902</f>
        <v>0</v>
      </c>
      <c r="M1902" s="102">
        <f t="shared" si="87"/>
        <v>0</v>
      </c>
      <c r="N1902" s="102">
        <f>tbl_Companys!D1902</f>
        <v>0</v>
      </c>
      <c r="O1902" s="102">
        <f>tbl_Companys!C1902</f>
        <v>0</v>
      </c>
      <c r="P1902" s="102">
        <f t="shared" si="88"/>
        <v>0</v>
      </c>
      <c r="Q1902" s="102">
        <f>tbl_ConsultingCompanys!D1902</f>
        <v>0</v>
      </c>
      <c r="R1902" s="102">
        <f>tbl_ConsultingCompanys!C1902</f>
        <v>0</v>
      </c>
      <c r="S1902" s="102">
        <f t="shared" si="89"/>
        <v>0</v>
      </c>
    </row>
    <row r="1903" spans="11:19" x14ac:dyDescent="0.15">
      <c r="K1903" s="102">
        <f>tbl_ArchitectureOffices!D1903</f>
        <v>0</v>
      </c>
      <c r="L1903" s="102">
        <f>tbl_ArchitectureOffices!C1903</f>
        <v>0</v>
      </c>
      <c r="M1903" s="102">
        <f t="shared" si="87"/>
        <v>0</v>
      </c>
      <c r="N1903" s="102">
        <f>tbl_Companys!D1903</f>
        <v>0</v>
      </c>
      <c r="O1903" s="102">
        <f>tbl_Companys!C1903</f>
        <v>0</v>
      </c>
      <c r="P1903" s="102">
        <f t="shared" si="88"/>
        <v>0</v>
      </c>
      <c r="Q1903" s="102">
        <f>tbl_ConsultingCompanys!D1903</f>
        <v>0</v>
      </c>
      <c r="R1903" s="102">
        <f>tbl_ConsultingCompanys!C1903</f>
        <v>0</v>
      </c>
      <c r="S1903" s="102">
        <f t="shared" si="89"/>
        <v>0</v>
      </c>
    </row>
    <row r="1904" spans="11:19" x14ac:dyDescent="0.15">
      <c r="K1904" s="102">
        <f>tbl_ArchitectureOffices!D1904</f>
        <v>0</v>
      </c>
      <c r="L1904" s="102">
        <f>tbl_ArchitectureOffices!C1904</f>
        <v>0</v>
      </c>
      <c r="M1904" s="102">
        <f t="shared" si="87"/>
        <v>0</v>
      </c>
      <c r="N1904" s="102">
        <f>tbl_Companys!D1904</f>
        <v>0</v>
      </c>
      <c r="O1904" s="102">
        <f>tbl_Companys!C1904</f>
        <v>0</v>
      </c>
      <c r="P1904" s="102">
        <f t="shared" si="88"/>
        <v>0</v>
      </c>
      <c r="Q1904" s="102">
        <f>tbl_ConsultingCompanys!D1904</f>
        <v>0</v>
      </c>
      <c r="R1904" s="102">
        <f>tbl_ConsultingCompanys!C1904</f>
        <v>0</v>
      </c>
      <c r="S1904" s="102">
        <f t="shared" si="89"/>
        <v>0</v>
      </c>
    </row>
    <row r="1905" spans="11:19" x14ac:dyDescent="0.15">
      <c r="K1905" s="102">
        <f>tbl_ArchitectureOffices!D1905</f>
        <v>0</v>
      </c>
      <c r="L1905" s="102">
        <f>tbl_ArchitectureOffices!C1905</f>
        <v>0</v>
      </c>
      <c r="M1905" s="102">
        <f t="shared" si="87"/>
        <v>0</v>
      </c>
      <c r="N1905" s="102">
        <f>tbl_Companys!D1905</f>
        <v>0</v>
      </c>
      <c r="O1905" s="102">
        <f>tbl_Companys!C1905</f>
        <v>0</v>
      </c>
      <c r="P1905" s="102">
        <f t="shared" si="88"/>
        <v>0</v>
      </c>
      <c r="Q1905" s="102">
        <f>tbl_ConsultingCompanys!D1905</f>
        <v>0</v>
      </c>
      <c r="R1905" s="102">
        <f>tbl_ConsultingCompanys!C1905</f>
        <v>0</v>
      </c>
      <c r="S1905" s="102">
        <f t="shared" si="89"/>
        <v>0</v>
      </c>
    </row>
    <row r="1906" spans="11:19" x14ac:dyDescent="0.15">
      <c r="K1906" s="102">
        <f>tbl_ArchitectureOffices!D1906</f>
        <v>0</v>
      </c>
      <c r="L1906" s="102">
        <f>tbl_ArchitectureOffices!C1906</f>
        <v>0</v>
      </c>
      <c r="M1906" s="102">
        <f t="shared" si="87"/>
        <v>0</v>
      </c>
      <c r="N1906" s="102">
        <f>tbl_Companys!D1906</f>
        <v>0</v>
      </c>
      <c r="O1906" s="102">
        <f>tbl_Companys!C1906</f>
        <v>0</v>
      </c>
      <c r="P1906" s="102">
        <f t="shared" si="88"/>
        <v>0</v>
      </c>
      <c r="Q1906" s="102">
        <f>tbl_ConsultingCompanys!D1906</f>
        <v>0</v>
      </c>
      <c r="R1906" s="102">
        <f>tbl_ConsultingCompanys!C1906</f>
        <v>0</v>
      </c>
      <c r="S1906" s="102">
        <f t="shared" si="89"/>
        <v>0</v>
      </c>
    </row>
    <row r="1907" spans="11:19" x14ac:dyDescent="0.15">
      <c r="K1907" s="102">
        <f>tbl_ArchitectureOffices!D1907</f>
        <v>0</v>
      </c>
      <c r="L1907" s="102">
        <f>tbl_ArchitectureOffices!C1907</f>
        <v>0</v>
      </c>
      <c r="M1907" s="102">
        <f t="shared" si="87"/>
        <v>0</v>
      </c>
      <c r="N1907" s="102">
        <f>tbl_Companys!D1907</f>
        <v>0</v>
      </c>
      <c r="O1907" s="102">
        <f>tbl_Companys!C1907</f>
        <v>0</v>
      </c>
      <c r="P1907" s="102">
        <f t="shared" si="88"/>
        <v>0</v>
      </c>
      <c r="Q1907" s="102">
        <f>tbl_ConsultingCompanys!D1907</f>
        <v>0</v>
      </c>
      <c r="R1907" s="102">
        <f>tbl_ConsultingCompanys!C1907</f>
        <v>0</v>
      </c>
      <c r="S1907" s="102">
        <f t="shared" si="89"/>
        <v>0</v>
      </c>
    </row>
    <row r="1908" spans="11:19" x14ac:dyDescent="0.15">
      <c r="K1908" s="102">
        <f>tbl_ArchitectureOffices!D1908</f>
        <v>0</v>
      </c>
      <c r="L1908" s="102">
        <f>tbl_ArchitectureOffices!C1908</f>
        <v>0</v>
      </c>
      <c r="M1908" s="102">
        <f t="shared" si="87"/>
        <v>0</v>
      </c>
      <c r="N1908" s="102">
        <f>tbl_Companys!D1908</f>
        <v>0</v>
      </c>
      <c r="O1908" s="102">
        <f>tbl_Companys!C1908</f>
        <v>0</v>
      </c>
      <c r="P1908" s="102">
        <f t="shared" si="88"/>
        <v>0</v>
      </c>
      <c r="Q1908" s="102">
        <f>tbl_ConsultingCompanys!D1908</f>
        <v>0</v>
      </c>
      <c r="R1908" s="102">
        <f>tbl_ConsultingCompanys!C1908</f>
        <v>0</v>
      </c>
      <c r="S1908" s="102">
        <f t="shared" si="89"/>
        <v>0</v>
      </c>
    </row>
    <row r="1909" spans="11:19" x14ac:dyDescent="0.15">
      <c r="K1909" s="102">
        <f>tbl_ArchitectureOffices!D1909</f>
        <v>0</v>
      </c>
      <c r="L1909" s="102">
        <f>tbl_ArchitectureOffices!C1909</f>
        <v>0</v>
      </c>
      <c r="M1909" s="102">
        <f t="shared" si="87"/>
        <v>0</v>
      </c>
      <c r="N1909" s="102">
        <f>tbl_Companys!D1909</f>
        <v>0</v>
      </c>
      <c r="O1909" s="102">
        <f>tbl_Companys!C1909</f>
        <v>0</v>
      </c>
      <c r="P1909" s="102">
        <f t="shared" si="88"/>
        <v>0</v>
      </c>
      <c r="Q1909" s="102">
        <f>tbl_ConsultingCompanys!D1909</f>
        <v>0</v>
      </c>
      <c r="R1909" s="102">
        <f>tbl_ConsultingCompanys!C1909</f>
        <v>0</v>
      </c>
      <c r="S1909" s="102">
        <f t="shared" si="89"/>
        <v>0</v>
      </c>
    </row>
    <row r="1910" spans="11:19" x14ac:dyDescent="0.15">
      <c r="K1910" s="102">
        <f>tbl_ArchitectureOffices!D1910</f>
        <v>0</v>
      </c>
      <c r="L1910" s="102">
        <f>tbl_ArchitectureOffices!C1910</f>
        <v>0</v>
      </c>
      <c r="M1910" s="102">
        <f t="shared" ref="M1910:M1973" si="90">IFERROR(REPLACE(K1910,FIND(" ",K1910,LEN(K1910)),1,""),K1910)</f>
        <v>0</v>
      </c>
      <c r="N1910" s="102">
        <f>tbl_Companys!D1910</f>
        <v>0</v>
      </c>
      <c r="O1910" s="102">
        <f>tbl_Companys!C1910</f>
        <v>0</v>
      </c>
      <c r="P1910" s="102">
        <f t="shared" si="88"/>
        <v>0</v>
      </c>
      <c r="Q1910" s="102">
        <f>tbl_ConsultingCompanys!D1910</f>
        <v>0</v>
      </c>
      <c r="R1910" s="102">
        <f>tbl_ConsultingCompanys!C1910</f>
        <v>0</v>
      </c>
      <c r="S1910" s="102">
        <f t="shared" si="89"/>
        <v>0</v>
      </c>
    </row>
    <row r="1911" spans="11:19" x14ac:dyDescent="0.15">
      <c r="K1911" s="102">
        <f>tbl_ArchitectureOffices!D1911</f>
        <v>0</v>
      </c>
      <c r="L1911" s="102">
        <f>tbl_ArchitectureOffices!C1911</f>
        <v>0</v>
      </c>
      <c r="M1911" s="102">
        <f t="shared" si="90"/>
        <v>0</v>
      </c>
      <c r="N1911" s="102">
        <f>tbl_Companys!D1911</f>
        <v>0</v>
      </c>
      <c r="O1911" s="102">
        <f>tbl_Companys!C1911</f>
        <v>0</v>
      </c>
      <c r="P1911" s="102">
        <f t="shared" si="88"/>
        <v>0</v>
      </c>
      <c r="Q1911" s="102">
        <f>tbl_ConsultingCompanys!D1911</f>
        <v>0</v>
      </c>
      <c r="R1911" s="102">
        <f>tbl_ConsultingCompanys!C1911</f>
        <v>0</v>
      </c>
      <c r="S1911" s="102">
        <f t="shared" si="89"/>
        <v>0</v>
      </c>
    </row>
    <row r="1912" spans="11:19" x14ac:dyDescent="0.15">
      <c r="K1912" s="102">
        <f>tbl_ArchitectureOffices!D1912</f>
        <v>0</v>
      </c>
      <c r="L1912" s="102">
        <f>tbl_ArchitectureOffices!C1912</f>
        <v>0</v>
      </c>
      <c r="M1912" s="102">
        <f t="shared" si="90"/>
        <v>0</v>
      </c>
      <c r="N1912" s="102">
        <f>tbl_Companys!D1912</f>
        <v>0</v>
      </c>
      <c r="O1912" s="102">
        <f>tbl_Companys!C1912</f>
        <v>0</v>
      </c>
      <c r="P1912" s="102">
        <f t="shared" si="88"/>
        <v>0</v>
      </c>
      <c r="Q1912" s="102">
        <f>tbl_ConsultingCompanys!D1912</f>
        <v>0</v>
      </c>
      <c r="R1912" s="102">
        <f>tbl_ConsultingCompanys!C1912</f>
        <v>0</v>
      </c>
      <c r="S1912" s="102">
        <f t="shared" si="89"/>
        <v>0</v>
      </c>
    </row>
    <row r="1913" spans="11:19" x14ac:dyDescent="0.15">
      <c r="K1913" s="102">
        <f>tbl_ArchitectureOffices!D1913</f>
        <v>0</v>
      </c>
      <c r="L1913" s="102">
        <f>tbl_ArchitectureOffices!C1913</f>
        <v>0</v>
      </c>
      <c r="M1913" s="102">
        <f t="shared" si="90"/>
        <v>0</v>
      </c>
      <c r="N1913" s="102">
        <f>tbl_Companys!D1913</f>
        <v>0</v>
      </c>
      <c r="O1913" s="102">
        <f>tbl_Companys!C1913</f>
        <v>0</v>
      </c>
      <c r="P1913" s="102">
        <f t="shared" si="88"/>
        <v>0</v>
      </c>
      <c r="Q1913" s="102">
        <f>tbl_ConsultingCompanys!D1913</f>
        <v>0</v>
      </c>
      <c r="R1913" s="102">
        <f>tbl_ConsultingCompanys!C1913</f>
        <v>0</v>
      </c>
      <c r="S1913" s="102">
        <f t="shared" si="89"/>
        <v>0</v>
      </c>
    </row>
    <row r="1914" spans="11:19" x14ac:dyDescent="0.15">
      <c r="K1914" s="102">
        <f>tbl_ArchitectureOffices!D1914</f>
        <v>0</v>
      </c>
      <c r="L1914" s="102">
        <f>tbl_ArchitectureOffices!C1914</f>
        <v>0</v>
      </c>
      <c r="M1914" s="102">
        <f t="shared" si="90"/>
        <v>0</v>
      </c>
      <c r="N1914" s="102">
        <f>tbl_Companys!D1914</f>
        <v>0</v>
      </c>
      <c r="O1914" s="102">
        <f>tbl_Companys!C1914</f>
        <v>0</v>
      </c>
      <c r="P1914" s="102">
        <f t="shared" si="88"/>
        <v>0</v>
      </c>
      <c r="Q1914" s="102">
        <f>tbl_ConsultingCompanys!D1914</f>
        <v>0</v>
      </c>
      <c r="R1914" s="102">
        <f>tbl_ConsultingCompanys!C1914</f>
        <v>0</v>
      </c>
      <c r="S1914" s="102">
        <f t="shared" si="89"/>
        <v>0</v>
      </c>
    </row>
    <row r="1915" spans="11:19" x14ac:dyDescent="0.15">
      <c r="K1915" s="102">
        <f>tbl_ArchitectureOffices!D1915</f>
        <v>0</v>
      </c>
      <c r="L1915" s="102">
        <f>tbl_ArchitectureOffices!C1915</f>
        <v>0</v>
      </c>
      <c r="M1915" s="102">
        <f t="shared" si="90"/>
        <v>0</v>
      </c>
      <c r="N1915" s="102">
        <f>tbl_Companys!D1915</f>
        <v>0</v>
      </c>
      <c r="O1915" s="102">
        <f>tbl_Companys!C1915</f>
        <v>0</v>
      </c>
      <c r="P1915" s="102">
        <f t="shared" si="88"/>
        <v>0</v>
      </c>
      <c r="Q1915" s="102">
        <f>tbl_ConsultingCompanys!D1915</f>
        <v>0</v>
      </c>
      <c r="R1915" s="102">
        <f>tbl_ConsultingCompanys!C1915</f>
        <v>0</v>
      </c>
      <c r="S1915" s="102">
        <f t="shared" si="89"/>
        <v>0</v>
      </c>
    </row>
    <row r="1916" spans="11:19" x14ac:dyDescent="0.15">
      <c r="K1916" s="102">
        <f>tbl_ArchitectureOffices!D1916</f>
        <v>0</v>
      </c>
      <c r="L1916" s="102">
        <f>tbl_ArchitectureOffices!C1916</f>
        <v>0</v>
      </c>
      <c r="M1916" s="102">
        <f t="shared" si="90"/>
        <v>0</v>
      </c>
      <c r="N1916" s="102">
        <f>tbl_Companys!D1916</f>
        <v>0</v>
      </c>
      <c r="O1916" s="102">
        <f>tbl_Companys!C1916</f>
        <v>0</v>
      </c>
      <c r="P1916" s="102">
        <f t="shared" si="88"/>
        <v>0</v>
      </c>
      <c r="Q1916" s="102">
        <f>tbl_ConsultingCompanys!D1916</f>
        <v>0</v>
      </c>
      <c r="R1916" s="102">
        <f>tbl_ConsultingCompanys!C1916</f>
        <v>0</v>
      </c>
      <c r="S1916" s="102">
        <f t="shared" si="89"/>
        <v>0</v>
      </c>
    </row>
    <row r="1917" spans="11:19" x14ac:dyDescent="0.15">
      <c r="K1917" s="102">
        <f>tbl_ArchitectureOffices!D1917</f>
        <v>0</v>
      </c>
      <c r="L1917" s="102">
        <f>tbl_ArchitectureOffices!C1917</f>
        <v>0</v>
      </c>
      <c r="M1917" s="102">
        <f t="shared" si="90"/>
        <v>0</v>
      </c>
      <c r="N1917" s="102">
        <f>tbl_Companys!D1917</f>
        <v>0</v>
      </c>
      <c r="O1917" s="102">
        <f>tbl_Companys!C1917</f>
        <v>0</v>
      </c>
      <c r="P1917" s="102">
        <f t="shared" si="88"/>
        <v>0</v>
      </c>
      <c r="Q1917" s="102">
        <f>tbl_ConsultingCompanys!D1917</f>
        <v>0</v>
      </c>
      <c r="R1917" s="102">
        <f>tbl_ConsultingCompanys!C1917</f>
        <v>0</v>
      </c>
      <c r="S1917" s="102">
        <f t="shared" si="89"/>
        <v>0</v>
      </c>
    </row>
    <row r="1918" spans="11:19" x14ac:dyDescent="0.15">
      <c r="K1918" s="102">
        <f>tbl_ArchitectureOffices!D1918</f>
        <v>0</v>
      </c>
      <c r="L1918" s="102">
        <f>tbl_ArchitectureOffices!C1918</f>
        <v>0</v>
      </c>
      <c r="M1918" s="102">
        <f t="shared" si="90"/>
        <v>0</v>
      </c>
      <c r="N1918" s="102">
        <f>tbl_Companys!D1918</f>
        <v>0</v>
      </c>
      <c r="O1918" s="102">
        <f>tbl_Companys!C1918</f>
        <v>0</v>
      </c>
      <c r="P1918" s="102">
        <f t="shared" si="88"/>
        <v>0</v>
      </c>
      <c r="Q1918" s="102">
        <f>tbl_ConsultingCompanys!D1918</f>
        <v>0</v>
      </c>
      <c r="R1918" s="102">
        <f>tbl_ConsultingCompanys!C1918</f>
        <v>0</v>
      </c>
      <c r="S1918" s="102">
        <f t="shared" si="89"/>
        <v>0</v>
      </c>
    </row>
    <row r="1919" spans="11:19" x14ac:dyDescent="0.15">
      <c r="K1919" s="102">
        <f>tbl_ArchitectureOffices!D1919</f>
        <v>0</v>
      </c>
      <c r="L1919" s="102">
        <f>tbl_ArchitectureOffices!C1919</f>
        <v>0</v>
      </c>
      <c r="M1919" s="102">
        <f t="shared" si="90"/>
        <v>0</v>
      </c>
      <c r="N1919" s="102">
        <f>tbl_Companys!D1919</f>
        <v>0</v>
      </c>
      <c r="O1919" s="102">
        <f>tbl_Companys!C1919</f>
        <v>0</v>
      </c>
      <c r="P1919" s="102">
        <f t="shared" si="88"/>
        <v>0</v>
      </c>
      <c r="Q1919" s="102">
        <f>tbl_ConsultingCompanys!D1919</f>
        <v>0</v>
      </c>
      <c r="R1919" s="102">
        <f>tbl_ConsultingCompanys!C1919</f>
        <v>0</v>
      </c>
      <c r="S1919" s="102">
        <f t="shared" si="89"/>
        <v>0</v>
      </c>
    </row>
    <row r="1920" spans="11:19" x14ac:dyDescent="0.15">
      <c r="K1920" s="102">
        <f>tbl_ArchitectureOffices!D1920</f>
        <v>0</v>
      </c>
      <c r="L1920" s="102">
        <f>tbl_ArchitectureOffices!C1920</f>
        <v>0</v>
      </c>
      <c r="M1920" s="102">
        <f t="shared" si="90"/>
        <v>0</v>
      </c>
      <c r="N1920" s="102">
        <f>tbl_Companys!D1920</f>
        <v>0</v>
      </c>
      <c r="O1920" s="102">
        <f>tbl_Companys!C1920</f>
        <v>0</v>
      </c>
      <c r="P1920" s="102">
        <f t="shared" si="88"/>
        <v>0</v>
      </c>
      <c r="Q1920" s="102">
        <f>tbl_ConsultingCompanys!D1920</f>
        <v>0</v>
      </c>
      <c r="R1920" s="102">
        <f>tbl_ConsultingCompanys!C1920</f>
        <v>0</v>
      </c>
      <c r="S1920" s="102">
        <f t="shared" si="89"/>
        <v>0</v>
      </c>
    </row>
    <row r="1921" spans="11:19" x14ac:dyDescent="0.15">
      <c r="K1921" s="102">
        <f>tbl_ArchitectureOffices!D1921</f>
        <v>0</v>
      </c>
      <c r="L1921" s="102">
        <f>tbl_ArchitectureOffices!C1921</f>
        <v>0</v>
      </c>
      <c r="M1921" s="102">
        <f t="shared" si="90"/>
        <v>0</v>
      </c>
      <c r="N1921" s="102">
        <f>tbl_Companys!D1921</f>
        <v>0</v>
      </c>
      <c r="O1921" s="102">
        <f>tbl_Companys!C1921</f>
        <v>0</v>
      </c>
      <c r="P1921" s="102">
        <f t="shared" si="88"/>
        <v>0</v>
      </c>
      <c r="Q1921" s="102">
        <f>tbl_ConsultingCompanys!D1921</f>
        <v>0</v>
      </c>
      <c r="R1921" s="102">
        <f>tbl_ConsultingCompanys!C1921</f>
        <v>0</v>
      </c>
      <c r="S1921" s="102">
        <f t="shared" si="89"/>
        <v>0</v>
      </c>
    </row>
    <row r="1922" spans="11:19" x14ac:dyDescent="0.15">
      <c r="K1922" s="102">
        <f>tbl_ArchitectureOffices!D1922</f>
        <v>0</v>
      </c>
      <c r="L1922" s="102">
        <f>tbl_ArchitectureOffices!C1922</f>
        <v>0</v>
      </c>
      <c r="M1922" s="102">
        <f t="shared" si="90"/>
        <v>0</v>
      </c>
      <c r="N1922" s="102">
        <f>tbl_Companys!D1922</f>
        <v>0</v>
      </c>
      <c r="O1922" s="102">
        <f>tbl_Companys!C1922</f>
        <v>0</v>
      </c>
      <c r="P1922" s="102">
        <f t="shared" si="88"/>
        <v>0</v>
      </c>
      <c r="Q1922" s="102">
        <f>tbl_ConsultingCompanys!D1922</f>
        <v>0</v>
      </c>
      <c r="R1922" s="102">
        <f>tbl_ConsultingCompanys!C1922</f>
        <v>0</v>
      </c>
      <c r="S1922" s="102">
        <f t="shared" si="89"/>
        <v>0</v>
      </c>
    </row>
    <row r="1923" spans="11:19" x14ac:dyDescent="0.15">
      <c r="K1923" s="102">
        <f>tbl_ArchitectureOffices!D1923</f>
        <v>0</v>
      </c>
      <c r="L1923" s="102">
        <f>tbl_ArchitectureOffices!C1923</f>
        <v>0</v>
      </c>
      <c r="M1923" s="102">
        <f t="shared" si="90"/>
        <v>0</v>
      </c>
      <c r="N1923" s="102">
        <f>tbl_Companys!D1923</f>
        <v>0</v>
      </c>
      <c r="O1923" s="102">
        <f>tbl_Companys!C1923</f>
        <v>0</v>
      </c>
      <c r="P1923" s="102">
        <f t="shared" ref="P1923:P1986" si="91">IFERROR(REPLACE(N1923,FIND(" ",N1923,LEN(N1923)),1,""),N1923)</f>
        <v>0</v>
      </c>
      <c r="Q1923" s="102">
        <f>tbl_ConsultingCompanys!D1923</f>
        <v>0</v>
      </c>
      <c r="R1923" s="102">
        <f>tbl_ConsultingCompanys!C1923</f>
        <v>0</v>
      </c>
      <c r="S1923" s="102">
        <f t="shared" ref="S1923:S1986" si="92">IFERROR(REPLACE(Q1923,FIND(" ",Q1923,LEN(Q1923)),1,""),Q1923)</f>
        <v>0</v>
      </c>
    </row>
    <row r="1924" spans="11:19" x14ac:dyDescent="0.15">
      <c r="K1924" s="102">
        <f>tbl_ArchitectureOffices!D1924</f>
        <v>0</v>
      </c>
      <c r="L1924" s="102">
        <f>tbl_ArchitectureOffices!C1924</f>
        <v>0</v>
      </c>
      <c r="M1924" s="102">
        <f t="shared" si="90"/>
        <v>0</v>
      </c>
      <c r="N1924" s="102">
        <f>tbl_Companys!D1924</f>
        <v>0</v>
      </c>
      <c r="O1924" s="102">
        <f>tbl_Companys!C1924</f>
        <v>0</v>
      </c>
      <c r="P1924" s="102">
        <f t="shared" si="91"/>
        <v>0</v>
      </c>
      <c r="Q1924" s="102">
        <f>tbl_ConsultingCompanys!D1924</f>
        <v>0</v>
      </c>
      <c r="R1924" s="102">
        <f>tbl_ConsultingCompanys!C1924</f>
        <v>0</v>
      </c>
      <c r="S1924" s="102">
        <f t="shared" si="92"/>
        <v>0</v>
      </c>
    </row>
    <row r="1925" spans="11:19" x14ac:dyDescent="0.15">
      <c r="K1925" s="102">
        <f>tbl_ArchitectureOffices!D1925</f>
        <v>0</v>
      </c>
      <c r="L1925" s="102">
        <f>tbl_ArchitectureOffices!C1925</f>
        <v>0</v>
      </c>
      <c r="M1925" s="102">
        <f t="shared" si="90"/>
        <v>0</v>
      </c>
      <c r="N1925" s="102">
        <f>tbl_Companys!D1925</f>
        <v>0</v>
      </c>
      <c r="O1925" s="102">
        <f>tbl_Companys!C1925</f>
        <v>0</v>
      </c>
      <c r="P1925" s="102">
        <f t="shared" si="91"/>
        <v>0</v>
      </c>
      <c r="Q1925" s="102">
        <f>tbl_ConsultingCompanys!D1925</f>
        <v>0</v>
      </c>
      <c r="R1925" s="102">
        <f>tbl_ConsultingCompanys!C1925</f>
        <v>0</v>
      </c>
      <c r="S1925" s="102">
        <f t="shared" si="92"/>
        <v>0</v>
      </c>
    </row>
    <row r="1926" spans="11:19" x14ac:dyDescent="0.15">
      <c r="K1926" s="102">
        <f>tbl_ArchitectureOffices!D1926</f>
        <v>0</v>
      </c>
      <c r="L1926" s="102">
        <f>tbl_ArchitectureOffices!C1926</f>
        <v>0</v>
      </c>
      <c r="M1926" s="102">
        <f t="shared" si="90"/>
        <v>0</v>
      </c>
      <c r="N1926" s="102">
        <f>tbl_Companys!D1926</f>
        <v>0</v>
      </c>
      <c r="O1926" s="102">
        <f>tbl_Companys!C1926</f>
        <v>0</v>
      </c>
      <c r="P1926" s="102">
        <f t="shared" si="91"/>
        <v>0</v>
      </c>
      <c r="Q1926" s="102">
        <f>tbl_ConsultingCompanys!D1926</f>
        <v>0</v>
      </c>
      <c r="R1926" s="102">
        <f>tbl_ConsultingCompanys!C1926</f>
        <v>0</v>
      </c>
      <c r="S1926" s="102">
        <f t="shared" si="92"/>
        <v>0</v>
      </c>
    </row>
    <row r="1927" spans="11:19" x14ac:dyDescent="0.15">
      <c r="K1927" s="102">
        <f>tbl_ArchitectureOffices!D1927</f>
        <v>0</v>
      </c>
      <c r="L1927" s="102">
        <f>tbl_ArchitectureOffices!C1927</f>
        <v>0</v>
      </c>
      <c r="M1927" s="102">
        <f t="shared" si="90"/>
        <v>0</v>
      </c>
      <c r="N1927" s="102">
        <f>tbl_Companys!D1927</f>
        <v>0</v>
      </c>
      <c r="O1927" s="102">
        <f>tbl_Companys!C1927</f>
        <v>0</v>
      </c>
      <c r="P1927" s="102">
        <f t="shared" si="91"/>
        <v>0</v>
      </c>
      <c r="Q1927" s="102">
        <f>tbl_ConsultingCompanys!D1927</f>
        <v>0</v>
      </c>
      <c r="R1927" s="102">
        <f>tbl_ConsultingCompanys!C1927</f>
        <v>0</v>
      </c>
      <c r="S1927" s="102">
        <f t="shared" si="92"/>
        <v>0</v>
      </c>
    </row>
    <row r="1928" spans="11:19" x14ac:dyDescent="0.15">
      <c r="K1928" s="102">
        <f>tbl_ArchitectureOffices!D1928</f>
        <v>0</v>
      </c>
      <c r="L1928" s="102">
        <f>tbl_ArchitectureOffices!C1928</f>
        <v>0</v>
      </c>
      <c r="M1928" s="102">
        <f t="shared" si="90"/>
        <v>0</v>
      </c>
      <c r="N1928" s="102">
        <f>tbl_Companys!D1928</f>
        <v>0</v>
      </c>
      <c r="O1928" s="102">
        <f>tbl_Companys!C1928</f>
        <v>0</v>
      </c>
      <c r="P1928" s="102">
        <f t="shared" si="91"/>
        <v>0</v>
      </c>
      <c r="Q1928" s="102">
        <f>tbl_ConsultingCompanys!D1928</f>
        <v>0</v>
      </c>
      <c r="R1928" s="102">
        <f>tbl_ConsultingCompanys!C1928</f>
        <v>0</v>
      </c>
      <c r="S1928" s="102">
        <f t="shared" si="92"/>
        <v>0</v>
      </c>
    </row>
    <row r="1929" spans="11:19" x14ac:dyDescent="0.15">
      <c r="K1929" s="102">
        <f>tbl_ArchitectureOffices!D1929</f>
        <v>0</v>
      </c>
      <c r="L1929" s="102">
        <f>tbl_ArchitectureOffices!C1929</f>
        <v>0</v>
      </c>
      <c r="M1929" s="102">
        <f t="shared" si="90"/>
        <v>0</v>
      </c>
      <c r="N1929" s="102">
        <f>tbl_Companys!D1929</f>
        <v>0</v>
      </c>
      <c r="O1929" s="102">
        <f>tbl_Companys!C1929</f>
        <v>0</v>
      </c>
      <c r="P1929" s="102">
        <f t="shared" si="91"/>
        <v>0</v>
      </c>
      <c r="Q1929" s="102">
        <f>tbl_ConsultingCompanys!D1929</f>
        <v>0</v>
      </c>
      <c r="R1929" s="102">
        <f>tbl_ConsultingCompanys!C1929</f>
        <v>0</v>
      </c>
      <c r="S1929" s="102">
        <f t="shared" si="92"/>
        <v>0</v>
      </c>
    </row>
    <row r="1930" spans="11:19" x14ac:dyDescent="0.15">
      <c r="K1930" s="102">
        <f>tbl_ArchitectureOffices!D1930</f>
        <v>0</v>
      </c>
      <c r="L1930" s="102">
        <f>tbl_ArchitectureOffices!C1930</f>
        <v>0</v>
      </c>
      <c r="M1930" s="102">
        <f t="shared" si="90"/>
        <v>0</v>
      </c>
      <c r="N1930" s="102">
        <f>tbl_Companys!D1930</f>
        <v>0</v>
      </c>
      <c r="O1930" s="102">
        <f>tbl_Companys!C1930</f>
        <v>0</v>
      </c>
      <c r="P1930" s="102">
        <f t="shared" si="91"/>
        <v>0</v>
      </c>
      <c r="Q1930" s="102">
        <f>tbl_ConsultingCompanys!D1930</f>
        <v>0</v>
      </c>
      <c r="R1930" s="102">
        <f>tbl_ConsultingCompanys!C1930</f>
        <v>0</v>
      </c>
      <c r="S1930" s="102">
        <f t="shared" si="92"/>
        <v>0</v>
      </c>
    </row>
    <row r="1931" spans="11:19" x14ac:dyDescent="0.15">
      <c r="K1931" s="102">
        <f>tbl_ArchitectureOffices!D1931</f>
        <v>0</v>
      </c>
      <c r="L1931" s="102">
        <f>tbl_ArchitectureOffices!C1931</f>
        <v>0</v>
      </c>
      <c r="M1931" s="102">
        <f t="shared" si="90"/>
        <v>0</v>
      </c>
      <c r="N1931" s="102">
        <f>tbl_Companys!D1931</f>
        <v>0</v>
      </c>
      <c r="O1931" s="102">
        <f>tbl_Companys!C1931</f>
        <v>0</v>
      </c>
      <c r="P1931" s="102">
        <f t="shared" si="91"/>
        <v>0</v>
      </c>
      <c r="Q1931" s="102">
        <f>tbl_ConsultingCompanys!D1931</f>
        <v>0</v>
      </c>
      <c r="R1931" s="102">
        <f>tbl_ConsultingCompanys!C1931</f>
        <v>0</v>
      </c>
      <c r="S1931" s="102">
        <f t="shared" si="92"/>
        <v>0</v>
      </c>
    </row>
    <row r="1932" spans="11:19" x14ac:dyDescent="0.15">
      <c r="K1932" s="102">
        <f>tbl_ArchitectureOffices!D1932</f>
        <v>0</v>
      </c>
      <c r="L1932" s="102">
        <f>tbl_ArchitectureOffices!C1932</f>
        <v>0</v>
      </c>
      <c r="M1932" s="102">
        <f t="shared" si="90"/>
        <v>0</v>
      </c>
      <c r="N1932" s="102">
        <f>tbl_Companys!D1932</f>
        <v>0</v>
      </c>
      <c r="O1932" s="102">
        <f>tbl_Companys!C1932</f>
        <v>0</v>
      </c>
      <c r="P1932" s="102">
        <f t="shared" si="91"/>
        <v>0</v>
      </c>
      <c r="Q1932" s="102">
        <f>tbl_ConsultingCompanys!D1932</f>
        <v>0</v>
      </c>
      <c r="R1932" s="102">
        <f>tbl_ConsultingCompanys!C1932</f>
        <v>0</v>
      </c>
      <c r="S1932" s="102">
        <f t="shared" si="92"/>
        <v>0</v>
      </c>
    </row>
    <row r="1933" spans="11:19" x14ac:dyDescent="0.15">
      <c r="K1933" s="102">
        <f>tbl_ArchitectureOffices!D1933</f>
        <v>0</v>
      </c>
      <c r="L1933" s="102">
        <f>tbl_ArchitectureOffices!C1933</f>
        <v>0</v>
      </c>
      <c r="M1933" s="102">
        <f t="shared" si="90"/>
        <v>0</v>
      </c>
      <c r="N1933" s="102">
        <f>tbl_Companys!D1933</f>
        <v>0</v>
      </c>
      <c r="O1933" s="102">
        <f>tbl_Companys!C1933</f>
        <v>0</v>
      </c>
      <c r="P1933" s="102">
        <f t="shared" si="91"/>
        <v>0</v>
      </c>
      <c r="Q1933" s="102">
        <f>tbl_ConsultingCompanys!D1933</f>
        <v>0</v>
      </c>
      <c r="R1933" s="102">
        <f>tbl_ConsultingCompanys!C1933</f>
        <v>0</v>
      </c>
      <c r="S1933" s="102">
        <f t="shared" si="92"/>
        <v>0</v>
      </c>
    </row>
    <row r="1934" spans="11:19" x14ac:dyDescent="0.15">
      <c r="K1934" s="102">
        <f>tbl_ArchitectureOffices!D1934</f>
        <v>0</v>
      </c>
      <c r="L1934" s="102">
        <f>tbl_ArchitectureOffices!C1934</f>
        <v>0</v>
      </c>
      <c r="M1934" s="102">
        <f t="shared" si="90"/>
        <v>0</v>
      </c>
      <c r="N1934" s="102">
        <f>tbl_Companys!D1934</f>
        <v>0</v>
      </c>
      <c r="O1934" s="102">
        <f>tbl_Companys!C1934</f>
        <v>0</v>
      </c>
      <c r="P1934" s="102">
        <f t="shared" si="91"/>
        <v>0</v>
      </c>
      <c r="Q1934" s="102">
        <f>tbl_ConsultingCompanys!D1934</f>
        <v>0</v>
      </c>
      <c r="R1934" s="102">
        <f>tbl_ConsultingCompanys!C1934</f>
        <v>0</v>
      </c>
      <c r="S1934" s="102">
        <f t="shared" si="92"/>
        <v>0</v>
      </c>
    </row>
    <row r="1935" spans="11:19" x14ac:dyDescent="0.15">
      <c r="K1935" s="102">
        <f>tbl_ArchitectureOffices!D1935</f>
        <v>0</v>
      </c>
      <c r="L1935" s="102">
        <f>tbl_ArchitectureOffices!C1935</f>
        <v>0</v>
      </c>
      <c r="M1935" s="102">
        <f t="shared" si="90"/>
        <v>0</v>
      </c>
      <c r="N1935" s="102">
        <f>tbl_Companys!D1935</f>
        <v>0</v>
      </c>
      <c r="O1935" s="102">
        <f>tbl_Companys!C1935</f>
        <v>0</v>
      </c>
      <c r="P1935" s="102">
        <f t="shared" si="91"/>
        <v>0</v>
      </c>
      <c r="Q1935" s="102">
        <f>tbl_ConsultingCompanys!D1935</f>
        <v>0</v>
      </c>
      <c r="R1935" s="102">
        <f>tbl_ConsultingCompanys!C1935</f>
        <v>0</v>
      </c>
      <c r="S1935" s="102">
        <f t="shared" si="92"/>
        <v>0</v>
      </c>
    </row>
    <row r="1936" spans="11:19" x14ac:dyDescent="0.15">
      <c r="K1936" s="102">
        <f>tbl_ArchitectureOffices!D1936</f>
        <v>0</v>
      </c>
      <c r="L1936" s="102">
        <f>tbl_ArchitectureOffices!C1936</f>
        <v>0</v>
      </c>
      <c r="M1936" s="102">
        <f t="shared" si="90"/>
        <v>0</v>
      </c>
      <c r="N1936" s="102">
        <f>tbl_Companys!D1936</f>
        <v>0</v>
      </c>
      <c r="O1936" s="102">
        <f>tbl_Companys!C1936</f>
        <v>0</v>
      </c>
      <c r="P1936" s="102">
        <f t="shared" si="91"/>
        <v>0</v>
      </c>
      <c r="Q1936" s="102">
        <f>tbl_ConsultingCompanys!D1936</f>
        <v>0</v>
      </c>
      <c r="R1936" s="102">
        <f>tbl_ConsultingCompanys!C1936</f>
        <v>0</v>
      </c>
      <c r="S1936" s="102">
        <f t="shared" si="92"/>
        <v>0</v>
      </c>
    </row>
    <row r="1937" spans="11:19" x14ac:dyDescent="0.15">
      <c r="K1937" s="102">
        <f>tbl_ArchitectureOffices!D1937</f>
        <v>0</v>
      </c>
      <c r="L1937" s="102">
        <f>tbl_ArchitectureOffices!C1937</f>
        <v>0</v>
      </c>
      <c r="M1937" s="102">
        <f t="shared" si="90"/>
        <v>0</v>
      </c>
      <c r="N1937" s="102">
        <f>tbl_Companys!D1937</f>
        <v>0</v>
      </c>
      <c r="O1937" s="102">
        <f>tbl_Companys!C1937</f>
        <v>0</v>
      </c>
      <c r="P1937" s="102">
        <f t="shared" si="91"/>
        <v>0</v>
      </c>
      <c r="Q1937" s="102">
        <f>tbl_ConsultingCompanys!D1937</f>
        <v>0</v>
      </c>
      <c r="R1937" s="102">
        <f>tbl_ConsultingCompanys!C1937</f>
        <v>0</v>
      </c>
      <c r="S1937" s="102">
        <f t="shared" si="92"/>
        <v>0</v>
      </c>
    </row>
    <row r="1938" spans="11:19" x14ac:dyDescent="0.15">
      <c r="K1938" s="102">
        <f>tbl_ArchitectureOffices!D1938</f>
        <v>0</v>
      </c>
      <c r="L1938" s="102">
        <f>tbl_ArchitectureOffices!C1938</f>
        <v>0</v>
      </c>
      <c r="M1938" s="102">
        <f t="shared" si="90"/>
        <v>0</v>
      </c>
      <c r="N1938" s="102">
        <f>tbl_Companys!D1938</f>
        <v>0</v>
      </c>
      <c r="O1938" s="102">
        <f>tbl_Companys!C1938</f>
        <v>0</v>
      </c>
      <c r="P1938" s="102">
        <f t="shared" si="91"/>
        <v>0</v>
      </c>
      <c r="Q1938" s="102">
        <f>tbl_ConsultingCompanys!D1938</f>
        <v>0</v>
      </c>
      <c r="R1938" s="102">
        <f>tbl_ConsultingCompanys!C1938</f>
        <v>0</v>
      </c>
      <c r="S1938" s="102">
        <f t="shared" si="92"/>
        <v>0</v>
      </c>
    </row>
    <row r="1939" spans="11:19" x14ac:dyDescent="0.15">
      <c r="K1939" s="102">
        <f>tbl_ArchitectureOffices!D1939</f>
        <v>0</v>
      </c>
      <c r="L1939" s="102">
        <f>tbl_ArchitectureOffices!C1939</f>
        <v>0</v>
      </c>
      <c r="M1939" s="102">
        <f t="shared" si="90"/>
        <v>0</v>
      </c>
      <c r="N1939" s="102">
        <f>tbl_Companys!D1939</f>
        <v>0</v>
      </c>
      <c r="O1939" s="102">
        <f>tbl_Companys!C1939</f>
        <v>0</v>
      </c>
      <c r="P1939" s="102">
        <f t="shared" si="91"/>
        <v>0</v>
      </c>
      <c r="Q1939" s="102">
        <f>tbl_ConsultingCompanys!D1939</f>
        <v>0</v>
      </c>
      <c r="R1939" s="102">
        <f>tbl_ConsultingCompanys!C1939</f>
        <v>0</v>
      </c>
      <c r="S1939" s="102">
        <f t="shared" si="92"/>
        <v>0</v>
      </c>
    </row>
    <row r="1940" spans="11:19" x14ac:dyDescent="0.15">
      <c r="K1940" s="102">
        <f>tbl_ArchitectureOffices!D1940</f>
        <v>0</v>
      </c>
      <c r="L1940" s="102">
        <f>tbl_ArchitectureOffices!C1940</f>
        <v>0</v>
      </c>
      <c r="M1940" s="102">
        <f t="shared" si="90"/>
        <v>0</v>
      </c>
      <c r="N1940" s="102">
        <f>tbl_Companys!D1940</f>
        <v>0</v>
      </c>
      <c r="O1940" s="102">
        <f>tbl_Companys!C1940</f>
        <v>0</v>
      </c>
      <c r="P1940" s="102">
        <f t="shared" si="91"/>
        <v>0</v>
      </c>
      <c r="Q1940" s="102">
        <f>tbl_ConsultingCompanys!D1940</f>
        <v>0</v>
      </c>
      <c r="R1940" s="102">
        <f>tbl_ConsultingCompanys!C1940</f>
        <v>0</v>
      </c>
      <c r="S1940" s="102">
        <f t="shared" si="92"/>
        <v>0</v>
      </c>
    </row>
    <row r="1941" spans="11:19" x14ac:dyDescent="0.15">
      <c r="K1941" s="102">
        <f>tbl_ArchitectureOffices!D1941</f>
        <v>0</v>
      </c>
      <c r="L1941" s="102">
        <f>tbl_ArchitectureOffices!C1941</f>
        <v>0</v>
      </c>
      <c r="M1941" s="102">
        <f t="shared" si="90"/>
        <v>0</v>
      </c>
      <c r="N1941" s="102">
        <f>tbl_Companys!D1941</f>
        <v>0</v>
      </c>
      <c r="O1941" s="102">
        <f>tbl_Companys!C1941</f>
        <v>0</v>
      </c>
      <c r="P1941" s="102">
        <f t="shared" si="91"/>
        <v>0</v>
      </c>
      <c r="Q1941" s="102">
        <f>tbl_ConsultingCompanys!D1941</f>
        <v>0</v>
      </c>
      <c r="R1941" s="102">
        <f>tbl_ConsultingCompanys!C1941</f>
        <v>0</v>
      </c>
      <c r="S1941" s="102">
        <f t="shared" si="92"/>
        <v>0</v>
      </c>
    </row>
    <row r="1942" spans="11:19" x14ac:dyDescent="0.15">
      <c r="K1942" s="102">
        <f>tbl_ArchitectureOffices!D1942</f>
        <v>0</v>
      </c>
      <c r="L1942" s="102">
        <f>tbl_ArchitectureOffices!C1942</f>
        <v>0</v>
      </c>
      <c r="M1942" s="102">
        <f t="shared" si="90"/>
        <v>0</v>
      </c>
      <c r="N1942" s="102">
        <f>tbl_Companys!D1942</f>
        <v>0</v>
      </c>
      <c r="O1942" s="102">
        <f>tbl_Companys!C1942</f>
        <v>0</v>
      </c>
      <c r="P1942" s="102">
        <f t="shared" si="91"/>
        <v>0</v>
      </c>
      <c r="Q1942" s="102">
        <f>tbl_ConsultingCompanys!D1942</f>
        <v>0</v>
      </c>
      <c r="R1942" s="102">
        <f>tbl_ConsultingCompanys!C1942</f>
        <v>0</v>
      </c>
      <c r="S1942" s="102">
        <f t="shared" si="92"/>
        <v>0</v>
      </c>
    </row>
    <row r="1943" spans="11:19" x14ac:dyDescent="0.15">
      <c r="K1943" s="102">
        <f>tbl_ArchitectureOffices!D1943</f>
        <v>0</v>
      </c>
      <c r="L1943" s="102">
        <f>tbl_ArchitectureOffices!C1943</f>
        <v>0</v>
      </c>
      <c r="M1943" s="102">
        <f t="shared" si="90"/>
        <v>0</v>
      </c>
      <c r="N1943" s="102">
        <f>tbl_Companys!D1943</f>
        <v>0</v>
      </c>
      <c r="O1943" s="102">
        <f>tbl_Companys!C1943</f>
        <v>0</v>
      </c>
      <c r="P1943" s="102">
        <f t="shared" si="91"/>
        <v>0</v>
      </c>
      <c r="Q1943" s="102">
        <f>tbl_ConsultingCompanys!D1943</f>
        <v>0</v>
      </c>
      <c r="R1943" s="102">
        <f>tbl_ConsultingCompanys!C1943</f>
        <v>0</v>
      </c>
      <c r="S1943" s="102">
        <f t="shared" si="92"/>
        <v>0</v>
      </c>
    </row>
    <row r="1944" spans="11:19" x14ac:dyDescent="0.15">
      <c r="K1944" s="102">
        <f>tbl_ArchitectureOffices!D1944</f>
        <v>0</v>
      </c>
      <c r="L1944" s="102">
        <f>tbl_ArchitectureOffices!C1944</f>
        <v>0</v>
      </c>
      <c r="M1944" s="102">
        <f t="shared" si="90"/>
        <v>0</v>
      </c>
      <c r="N1944" s="102">
        <f>tbl_Companys!D1944</f>
        <v>0</v>
      </c>
      <c r="O1944" s="102">
        <f>tbl_Companys!C1944</f>
        <v>0</v>
      </c>
      <c r="P1944" s="102">
        <f t="shared" si="91"/>
        <v>0</v>
      </c>
      <c r="Q1944" s="102">
        <f>tbl_ConsultingCompanys!D1944</f>
        <v>0</v>
      </c>
      <c r="R1944" s="102">
        <f>tbl_ConsultingCompanys!C1944</f>
        <v>0</v>
      </c>
      <c r="S1944" s="102">
        <f t="shared" si="92"/>
        <v>0</v>
      </c>
    </row>
    <row r="1945" spans="11:19" x14ac:dyDescent="0.15">
      <c r="K1945" s="102">
        <f>tbl_ArchitectureOffices!D1945</f>
        <v>0</v>
      </c>
      <c r="L1945" s="102">
        <f>tbl_ArchitectureOffices!C1945</f>
        <v>0</v>
      </c>
      <c r="M1945" s="102">
        <f t="shared" si="90"/>
        <v>0</v>
      </c>
      <c r="N1945" s="102">
        <f>tbl_Companys!D1945</f>
        <v>0</v>
      </c>
      <c r="O1945" s="102">
        <f>tbl_Companys!C1945</f>
        <v>0</v>
      </c>
      <c r="P1945" s="102">
        <f t="shared" si="91"/>
        <v>0</v>
      </c>
      <c r="Q1945" s="102">
        <f>tbl_ConsultingCompanys!D1945</f>
        <v>0</v>
      </c>
      <c r="R1945" s="102">
        <f>tbl_ConsultingCompanys!C1945</f>
        <v>0</v>
      </c>
      <c r="S1945" s="102">
        <f t="shared" si="92"/>
        <v>0</v>
      </c>
    </row>
    <row r="1946" spans="11:19" x14ac:dyDescent="0.15">
      <c r="K1946" s="102">
        <f>tbl_ArchitectureOffices!D1946</f>
        <v>0</v>
      </c>
      <c r="L1946" s="102">
        <f>tbl_ArchitectureOffices!C1946</f>
        <v>0</v>
      </c>
      <c r="M1946" s="102">
        <f t="shared" si="90"/>
        <v>0</v>
      </c>
      <c r="N1946" s="102">
        <f>tbl_Companys!D1946</f>
        <v>0</v>
      </c>
      <c r="O1946" s="102">
        <f>tbl_Companys!C1946</f>
        <v>0</v>
      </c>
      <c r="P1946" s="102">
        <f t="shared" si="91"/>
        <v>0</v>
      </c>
      <c r="Q1946" s="102">
        <f>tbl_ConsultingCompanys!D1946</f>
        <v>0</v>
      </c>
      <c r="R1946" s="102">
        <f>tbl_ConsultingCompanys!C1946</f>
        <v>0</v>
      </c>
      <c r="S1946" s="102">
        <f t="shared" si="92"/>
        <v>0</v>
      </c>
    </row>
    <row r="1947" spans="11:19" x14ac:dyDescent="0.15">
      <c r="K1947" s="102">
        <f>tbl_ArchitectureOffices!D1947</f>
        <v>0</v>
      </c>
      <c r="L1947" s="102">
        <f>tbl_ArchitectureOffices!C1947</f>
        <v>0</v>
      </c>
      <c r="M1947" s="102">
        <f t="shared" si="90"/>
        <v>0</v>
      </c>
      <c r="N1947" s="102">
        <f>tbl_Companys!D1947</f>
        <v>0</v>
      </c>
      <c r="O1947" s="102">
        <f>tbl_Companys!C1947</f>
        <v>0</v>
      </c>
      <c r="P1947" s="102">
        <f t="shared" si="91"/>
        <v>0</v>
      </c>
      <c r="Q1947" s="102">
        <f>tbl_ConsultingCompanys!D1947</f>
        <v>0</v>
      </c>
      <c r="R1947" s="102">
        <f>tbl_ConsultingCompanys!C1947</f>
        <v>0</v>
      </c>
      <c r="S1947" s="102">
        <f t="shared" si="92"/>
        <v>0</v>
      </c>
    </row>
    <row r="1948" spans="11:19" x14ac:dyDescent="0.15">
      <c r="K1948" s="102">
        <f>tbl_ArchitectureOffices!D1948</f>
        <v>0</v>
      </c>
      <c r="L1948" s="102">
        <f>tbl_ArchitectureOffices!C1948</f>
        <v>0</v>
      </c>
      <c r="M1948" s="102">
        <f t="shared" si="90"/>
        <v>0</v>
      </c>
      <c r="N1948" s="102">
        <f>tbl_Companys!D1948</f>
        <v>0</v>
      </c>
      <c r="O1948" s="102">
        <f>tbl_Companys!C1948</f>
        <v>0</v>
      </c>
      <c r="P1948" s="102">
        <f t="shared" si="91"/>
        <v>0</v>
      </c>
      <c r="Q1948" s="102">
        <f>tbl_ConsultingCompanys!D1948</f>
        <v>0</v>
      </c>
      <c r="R1948" s="102">
        <f>tbl_ConsultingCompanys!C1948</f>
        <v>0</v>
      </c>
      <c r="S1948" s="102">
        <f t="shared" si="92"/>
        <v>0</v>
      </c>
    </row>
    <row r="1949" spans="11:19" x14ac:dyDescent="0.15">
      <c r="K1949" s="102">
        <f>tbl_ArchitectureOffices!D1949</f>
        <v>0</v>
      </c>
      <c r="L1949" s="102">
        <f>tbl_ArchitectureOffices!C1949</f>
        <v>0</v>
      </c>
      <c r="M1949" s="102">
        <f t="shared" si="90"/>
        <v>0</v>
      </c>
      <c r="N1949" s="102">
        <f>tbl_Companys!D1949</f>
        <v>0</v>
      </c>
      <c r="O1949" s="102">
        <f>tbl_Companys!C1949</f>
        <v>0</v>
      </c>
      <c r="P1949" s="102">
        <f t="shared" si="91"/>
        <v>0</v>
      </c>
      <c r="Q1949" s="102">
        <f>tbl_ConsultingCompanys!D1949</f>
        <v>0</v>
      </c>
      <c r="R1949" s="102">
        <f>tbl_ConsultingCompanys!C1949</f>
        <v>0</v>
      </c>
      <c r="S1949" s="102">
        <f t="shared" si="92"/>
        <v>0</v>
      </c>
    </row>
    <row r="1950" spans="11:19" x14ac:dyDescent="0.15">
      <c r="K1950" s="102">
        <f>tbl_ArchitectureOffices!D1950</f>
        <v>0</v>
      </c>
      <c r="L1950" s="102">
        <f>tbl_ArchitectureOffices!C1950</f>
        <v>0</v>
      </c>
      <c r="M1950" s="102">
        <f t="shared" si="90"/>
        <v>0</v>
      </c>
      <c r="N1950" s="102">
        <f>tbl_Companys!D1950</f>
        <v>0</v>
      </c>
      <c r="O1950" s="102">
        <f>tbl_Companys!C1950</f>
        <v>0</v>
      </c>
      <c r="P1950" s="102">
        <f t="shared" si="91"/>
        <v>0</v>
      </c>
      <c r="Q1950" s="102">
        <f>tbl_ConsultingCompanys!D1950</f>
        <v>0</v>
      </c>
      <c r="R1950" s="102">
        <f>tbl_ConsultingCompanys!C1950</f>
        <v>0</v>
      </c>
      <c r="S1950" s="102">
        <f t="shared" si="92"/>
        <v>0</v>
      </c>
    </row>
    <row r="1951" spans="11:19" x14ac:dyDescent="0.15">
      <c r="K1951" s="102">
        <f>tbl_ArchitectureOffices!D1951</f>
        <v>0</v>
      </c>
      <c r="L1951" s="102">
        <f>tbl_ArchitectureOffices!C1951</f>
        <v>0</v>
      </c>
      <c r="M1951" s="102">
        <f t="shared" si="90"/>
        <v>0</v>
      </c>
      <c r="N1951" s="102">
        <f>tbl_Companys!D1951</f>
        <v>0</v>
      </c>
      <c r="O1951" s="102">
        <f>tbl_Companys!C1951</f>
        <v>0</v>
      </c>
      <c r="P1951" s="102">
        <f t="shared" si="91"/>
        <v>0</v>
      </c>
      <c r="Q1951" s="102">
        <f>tbl_ConsultingCompanys!D1951</f>
        <v>0</v>
      </c>
      <c r="R1951" s="102">
        <f>tbl_ConsultingCompanys!C1951</f>
        <v>0</v>
      </c>
      <c r="S1951" s="102">
        <f t="shared" si="92"/>
        <v>0</v>
      </c>
    </row>
    <row r="1952" spans="11:19" x14ac:dyDescent="0.15">
      <c r="K1952" s="102">
        <f>tbl_ArchitectureOffices!D1952</f>
        <v>0</v>
      </c>
      <c r="L1952" s="102">
        <f>tbl_ArchitectureOffices!C1952</f>
        <v>0</v>
      </c>
      <c r="M1952" s="102">
        <f t="shared" si="90"/>
        <v>0</v>
      </c>
      <c r="N1952" s="102">
        <f>tbl_Companys!D1952</f>
        <v>0</v>
      </c>
      <c r="O1952" s="102">
        <f>tbl_Companys!C1952</f>
        <v>0</v>
      </c>
      <c r="P1952" s="102">
        <f t="shared" si="91"/>
        <v>0</v>
      </c>
      <c r="Q1952" s="102">
        <f>tbl_ConsultingCompanys!D1952</f>
        <v>0</v>
      </c>
      <c r="R1952" s="102">
        <f>tbl_ConsultingCompanys!C1952</f>
        <v>0</v>
      </c>
      <c r="S1952" s="102">
        <f t="shared" si="92"/>
        <v>0</v>
      </c>
    </row>
    <row r="1953" spans="11:19" x14ac:dyDescent="0.15">
      <c r="K1953" s="102">
        <f>tbl_ArchitectureOffices!D1953</f>
        <v>0</v>
      </c>
      <c r="L1953" s="102">
        <f>tbl_ArchitectureOffices!C1953</f>
        <v>0</v>
      </c>
      <c r="M1953" s="102">
        <f t="shared" si="90"/>
        <v>0</v>
      </c>
      <c r="N1953" s="102">
        <f>tbl_Companys!D1953</f>
        <v>0</v>
      </c>
      <c r="O1953" s="102">
        <f>tbl_Companys!C1953</f>
        <v>0</v>
      </c>
      <c r="P1953" s="102">
        <f t="shared" si="91"/>
        <v>0</v>
      </c>
      <c r="Q1953" s="102">
        <f>tbl_ConsultingCompanys!D1953</f>
        <v>0</v>
      </c>
      <c r="R1953" s="102">
        <f>tbl_ConsultingCompanys!C1953</f>
        <v>0</v>
      </c>
      <c r="S1953" s="102">
        <f t="shared" si="92"/>
        <v>0</v>
      </c>
    </row>
    <row r="1954" spans="11:19" x14ac:dyDescent="0.15">
      <c r="K1954" s="102">
        <f>tbl_ArchitectureOffices!D1954</f>
        <v>0</v>
      </c>
      <c r="L1954" s="102">
        <f>tbl_ArchitectureOffices!C1954</f>
        <v>0</v>
      </c>
      <c r="M1954" s="102">
        <f t="shared" si="90"/>
        <v>0</v>
      </c>
      <c r="N1954" s="102">
        <f>tbl_Companys!D1954</f>
        <v>0</v>
      </c>
      <c r="O1954" s="102">
        <f>tbl_Companys!C1954</f>
        <v>0</v>
      </c>
      <c r="P1954" s="102">
        <f t="shared" si="91"/>
        <v>0</v>
      </c>
      <c r="Q1954" s="102">
        <f>tbl_ConsultingCompanys!D1954</f>
        <v>0</v>
      </c>
      <c r="R1954" s="102">
        <f>tbl_ConsultingCompanys!C1954</f>
        <v>0</v>
      </c>
      <c r="S1954" s="102">
        <f t="shared" si="92"/>
        <v>0</v>
      </c>
    </row>
    <row r="1955" spans="11:19" x14ac:dyDescent="0.15">
      <c r="K1955" s="102">
        <f>tbl_ArchitectureOffices!D1955</f>
        <v>0</v>
      </c>
      <c r="L1955" s="102">
        <f>tbl_ArchitectureOffices!C1955</f>
        <v>0</v>
      </c>
      <c r="M1955" s="102">
        <f t="shared" si="90"/>
        <v>0</v>
      </c>
      <c r="N1955" s="102">
        <f>tbl_Companys!D1955</f>
        <v>0</v>
      </c>
      <c r="O1955" s="102">
        <f>tbl_Companys!C1955</f>
        <v>0</v>
      </c>
      <c r="P1955" s="102">
        <f t="shared" si="91"/>
        <v>0</v>
      </c>
      <c r="Q1955" s="102">
        <f>tbl_ConsultingCompanys!D1955</f>
        <v>0</v>
      </c>
      <c r="R1955" s="102">
        <f>tbl_ConsultingCompanys!C1955</f>
        <v>0</v>
      </c>
      <c r="S1955" s="102">
        <f t="shared" si="92"/>
        <v>0</v>
      </c>
    </row>
    <row r="1956" spans="11:19" x14ac:dyDescent="0.15">
      <c r="K1956" s="102">
        <f>tbl_ArchitectureOffices!D1956</f>
        <v>0</v>
      </c>
      <c r="L1956" s="102">
        <f>tbl_ArchitectureOffices!C1956</f>
        <v>0</v>
      </c>
      <c r="M1956" s="102">
        <f t="shared" si="90"/>
        <v>0</v>
      </c>
      <c r="N1956" s="102">
        <f>tbl_Companys!D1956</f>
        <v>0</v>
      </c>
      <c r="O1956" s="102">
        <f>tbl_Companys!C1956</f>
        <v>0</v>
      </c>
      <c r="P1956" s="102">
        <f t="shared" si="91"/>
        <v>0</v>
      </c>
      <c r="Q1956" s="102">
        <f>tbl_ConsultingCompanys!D1956</f>
        <v>0</v>
      </c>
      <c r="R1956" s="102">
        <f>tbl_ConsultingCompanys!C1956</f>
        <v>0</v>
      </c>
      <c r="S1956" s="102">
        <f t="shared" si="92"/>
        <v>0</v>
      </c>
    </row>
    <row r="1957" spans="11:19" x14ac:dyDescent="0.15">
      <c r="K1957" s="102">
        <f>tbl_ArchitectureOffices!D1957</f>
        <v>0</v>
      </c>
      <c r="L1957" s="102">
        <f>tbl_ArchitectureOffices!C1957</f>
        <v>0</v>
      </c>
      <c r="M1957" s="102">
        <f t="shared" si="90"/>
        <v>0</v>
      </c>
      <c r="N1957" s="102">
        <f>tbl_Companys!D1957</f>
        <v>0</v>
      </c>
      <c r="O1957" s="102">
        <f>tbl_Companys!C1957</f>
        <v>0</v>
      </c>
      <c r="P1957" s="102">
        <f t="shared" si="91"/>
        <v>0</v>
      </c>
      <c r="Q1957" s="102">
        <f>tbl_ConsultingCompanys!D1957</f>
        <v>0</v>
      </c>
      <c r="R1957" s="102">
        <f>tbl_ConsultingCompanys!C1957</f>
        <v>0</v>
      </c>
      <c r="S1957" s="102">
        <f t="shared" si="92"/>
        <v>0</v>
      </c>
    </row>
    <row r="1958" spans="11:19" x14ac:dyDescent="0.15">
      <c r="K1958" s="102">
        <f>tbl_ArchitectureOffices!D1958</f>
        <v>0</v>
      </c>
      <c r="L1958" s="102">
        <f>tbl_ArchitectureOffices!C1958</f>
        <v>0</v>
      </c>
      <c r="M1958" s="102">
        <f t="shared" si="90"/>
        <v>0</v>
      </c>
      <c r="N1958" s="102">
        <f>tbl_Companys!D1958</f>
        <v>0</v>
      </c>
      <c r="O1958" s="102">
        <f>tbl_Companys!C1958</f>
        <v>0</v>
      </c>
      <c r="P1958" s="102">
        <f t="shared" si="91"/>
        <v>0</v>
      </c>
      <c r="Q1958" s="102">
        <f>tbl_ConsultingCompanys!D1958</f>
        <v>0</v>
      </c>
      <c r="R1958" s="102">
        <f>tbl_ConsultingCompanys!C1958</f>
        <v>0</v>
      </c>
      <c r="S1958" s="102">
        <f t="shared" si="92"/>
        <v>0</v>
      </c>
    </row>
    <row r="1959" spans="11:19" x14ac:dyDescent="0.15">
      <c r="K1959" s="102">
        <f>tbl_ArchitectureOffices!D1959</f>
        <v>0</v>
      </c>
      <c r="L1959" s="102">
        <f>tbl_ArchitectureOffices!C1959</f>
        <v>0</v>
      </c>
      <c r="M1959" s="102">
        <f t="shared" si="90"/>
        <v>0</v>
      </c>
      <c r="N1959" s="102">
        <f>tbl_Companys!D1959</f>
        <v>0</v>
      </c>
      <c r="O1959" s="102">
        <f>tbl_Companys!C1959</f>
        <v>0</v>
      </c>
      <c r="P1959" s="102">
        <f t="shared" si="91"/>
        <v>0</v>
      </c>
      <c r="Q1959" s="102">
        <f>tbl_ConsultingCompanys!D1959</f>
        <v>0</v>
      </c>
      <c r="R1959" s="102">
        <f>tbl_ConsultingCompanys!C1959</f>
        <v>0</v>
      </c>
      <c r="S1959" s="102">
        <f t="shared" si="92"/>
        <v>0</v>
      </c>
    </row>
    <row r="1960" spans="11:19" x14ac:dyDescent="0.15">
      <c r="K1960" s="102">
        <f>tbl_ArchitectureOffices!D1960</f>
        <v>0</v>
      </c>
      <c r="L1960" s="102">
        <f>tbl_ArchitectureOffices!C1960</f>
        <v>0</v>
      </c>
      <c r="M1960" s="102">
        <f t="shared" si="90"/>
        <v>0</v>
      </c>
      <c r="N1960" s="102">
        <f>tbl_Companys!D1960</f>
        <v>0</v>
      </c>
      <c r="O1960" s="102">
        <f>tbl_Companys!C1960</f>
        <v>0</v>
      </c>
      <c r="P1960" s="102">
        <f t="shared" si="91"/>
        <v>0</v>
      </c>
      <c r="Q1960" s="102">
        <f>tbl_ConsultingCompanys!D1960</f>
        <v>0</v>
      </c>
      <c r="R1960" s="102">
        <f>tbl_ConsultingCompanys!C1960</f>
        <v>0</v>
      </c>
      <c r="S1960" s="102">
        <f t="shared" si="92"/>
        <v>0</v>
      </c>
    </row>
    <row r="1961" spans="11:19" x14ac:dyDescent="0.15">
      <c r="K1961" s="102">
        <f>tbl_ArchitectureOffices!D1961</f>
        <v>0</v>
      </c>
      <c r="L1961" s="102">
        <f>tbl_ArchitectureOffices!C1961</f>
        <v>0</v>
      </c>
      <c r="M1961" s="102">
        <f t="shared" si="90"/>
        <v>0</v>
      </c>
      <c r="N1961" s="102">
        <f>tbl_Companys!D1961</f>
        <v>0</v>
      </c>
      <c r="O1961" s="102">
        <f>tbl_Companys!C1961</f>
        <v>0</v>
      </c>
      <c r="P1961" s="102">
        <f t="shared" si="91"/>
        <v>0</v>
      </c>
      <c r="Q1961" s="102">
        <f>tbl_ConsultingCompanys!D1961</f>
        <v>0</v>
      </c>
      <c r="R1961" s="102">
        <f>tbl_ConsultingCompanys!C1961</f>
        <v>0</v>
      </c>
      <c r="S1961" s="102">
        <f t="shared" si="92"/>
        <v>0</v>
      </c>
    </row>
    <row r="1962" spans="11:19" x14ac:dyDescent="0.15">
      <c r="K1962" s="102">
        <f>tbl_ArchitectureOffices!D1962</f>
        <v>0</v>
      </c>
      <c r="L1962" s="102">
        <f>tbl_ArchitectureOffices!C1962</f>
        <v>0</v>
      </c>
      <c r="M1962" s="102">
        <f t="shared" si="90"/>
        <v>0</v>
      </c>
      <c r="N1962" s="102">
        <f>tbl_Companys!D1962</f>
        <v>0</v>
      </c>
      <c r="O1962" s="102">
        <f>tbl_Companys!C1962</f>
        <v>0</v>
      </c>
      <c r="P1962" s="102">
        <f t="shared" si="91"/>
        <v>0</v>
      </c>
      <c r="Q1962" s="102">
        <f>tbl_ConsultingCompanys!D1962</f>
        <v>0</v>
      </c>
      <c r="R1962" s="102">
        <f>tbl_ConsultingCompanys!C1962</f>
        <v>0</v>
      </c>
      <c r="S1962" s="102">
        <f t="shared" si="92"/>
        <v>0</v>
      </c>
    </row>
    <row r="1963" spans="11:19" x14ac:dyDescent="0.15">
      <c r="K1963" s="102">
        <f>tbl_ArchitectureOffices!D1963</f>
        <v>0</v>
      </c>
      <c r="L1963" s="102">
        <f>tbl_ArchitectureOffices!C1963</f>
        <v>0</v>
      </c>
      <c r="M1963" s="102">
        <f t="shared" si="90"/>
        <v>0</v>
      </c>
      <c r="N1963" s="102">
        <f>tbl_Companys!D1963</f>
        <v>0</v>
      </c>
      <c r="O1963" s="102">
        <f>tbl_Companys!C1963</f>
        <v>0</v>
      </c>
      <c r="P1963" s="102">
        <f t="shared" si="91"/>
        <v>0</v>
      </c>
      <c r="Q1963" s="102">
        <f>tbl_ConsultingCompanys!D1963</f>
        <v>0</v>
      </c>
      <c r="R1963" s="102">
        <f>tbl_ConsultingCompanys!C1963</f>
        <v>0</v>
      </c>
      <c r="S1963" s="102">
        <f t="shared" si="92"/>
        <v>0</v>
      </c>
    </row>
    <row r="1964" spans="11:19" x14ac:dyDescent="0.15">
      <c r="K1964" s="102">
        <f>tbl_ArchitectureOffices!D1964</f>
        <v>0</v>
      </c>
      <c r="L1964" s="102">
        <f>tbl_ArchitectureOffices!C1964</f>
        <v>0</v>
      </c>
      <c r="M1964" s="102">
        <f t="shared" si="90"/>
        <v>0</v>
      </c>
      <c r="N1964" s="102">
        <f>tbl_Companys!D1964</f>
        <v>0</v>
      </c>
      <c r="O1964" s="102">
        <f>tbl_Companys!C1964</f>
        <v>0</v>
      </c>
      <c r="P1964" s="102">
        <f t="shared" si="91"/>
        <v>0</v>
      </c>
      <c r="Q1964" s="102">
        <f>tbl_ConsultingCompanys!D1964</f>
        <v>0</v>
      </c>
      <c r="R1964" s="102">
        <f>tbl_ConsultingCompanys!C1964</f>
        <v>0</v>
      </c>
      <c r="S1964" s="102">
        <f t="shared" si="92"/>
        <v>0</v>
      </c>
    </row>
    <row r="1965" spans="11:19" x14ac:dyDescent="0.15">
      <c r="K1965" s="102">
        <f>tbl_ArchitectureOffices!D1965</f>
        <v>0</v>
      </c>
      <c r="L1965" s="102">
        <f>tbl_ArchitectureOffices!C1965</f>
        <v>0</v>
      </c>
      <c r="M1965" s="102">
        <f t="shared" si="90"/>
        <v>0</v>
      </c>
      <c r="N1965" s="102">
        <f>tbl_Companys!D1965</f>
        <v>0</v>
      </c>
      <c r="O1965" s="102">
        <f>tbl_Companys!C1965</f>
        <v>0</v>
      </c>
      <c r="P1965" s="102">
        <f t="shared" si="91"/>
        <v>0</v>
      </c>
      <c r="Q1965" s="102">
        <f>tbl_ConsultingCompanys!D1965</f>
        <v>0</v>
      </c>
      <c r="R1965" s="102">
        <f>tbl_ConsultingCompanys!C1965</f>
        <v>0</v>
      </c>
      <c r="S1965" s="102">
        <f t="shared" si="92"/>
        <v>0</v>
      </c>
    </row>
    <row r="1966" spans="11:19" x14ac:dyDescent="0.15">
      <c r="K1966" s="102">
        <f>tbl_ArchitectureOffices!D1966</f>
        <v>0</v>
      </c>
      <c r="L1966" s="102">
        <f>tbl_ArchitectureOffices!C1966</f>
        <v>0</v>
      </c>
      <c r="M1966" s="102">
        <f t="shared" si="90"/>
        <v>0</v>
      </c>
      <c r="N1966" s="102">
        <f>tbl_Companys!D1966</f>
        <v>0</v>
      </c>
      <c r="O1966" s="102">
        <f>tbl_Companys!C1966</f>
        <v>0</v>
      </c>
      <c r="P1966" s="102">
        <f t="shared" si="91"/>
        <v>0</v>
      </c>
      <c r="Q1966" s="102">
        <f>tbl_ConsultingCompanys!D1966</f>
        <v>0</v>
      </c>
      <c r="R1966" s="102">
        <f>tbl_ConsultingCompanys!C1966</f>
        <v>0</v>
      </c>
      <c r="S1966" s="102">
        <f t="shared" si="92"/>
        <v>0</v>
      </c>
    </row>
    <row r="1967" spans="11:19" x14ac:dyDescent="0.15">
      <c r="K1967" s="102">
        <f>tbl_ArchitectureOffices!D1967</f>
        <v>0</v>
      </c>
      <c r="L1967" s="102">
        <f>tbl_ArchitectureOffices!C1967</f>
        <v>0</v>
      </c>
      <c r="M1967" s="102">
        <f t="shared" si="90"/>
        <v>0</v>
      </c>
      <c r="N1967" s="102">
        <f>tbl_Companys!D1967</f>
        <v>0</v>
      </c>
      <c r="O1967" s="102">
        <f>tbl_Companys!C1967</f>
        <v>0</v>
      </c>
      <c r="P1967" s="102">
        <f t="shared" si="91"/>
        <v>0</v>
      </c>
      <c r="Q1967" s="102">
        <f>tbl_ConsultingCompanys!D1967</f>
        <v>0</v>
      </c>
      <c r="R1967" s="102">
        <f>tbl_ConsultingCompanys!C1967</f>
        <v>0</v>
      </c>
      <c r="S1967" s="102">
        <f t="shared" si="92"/>
        <v>0</v>
      </c>
    </row>
    <row r="1968" spans="11:19" x14ac:dyDescent="0.15">
      <c r="K1968" s="102">
        <f>tbl_ArchitectureOffices!D1968</f>
        <v>0</v>
      </c>
      <c r="L1968" s="102">
        <f>tbl_ArchitectureOffices!C1968</f>
        <v>0</v>
      </c>
      <c r="M1968" s="102">
        <f t="shared" si="90"/>
        <v>0</v>
      </c>
      <c r="N1968" s="102">
        <f>tbl_Companys!D1968</f>
        <v>0</v>
      </c>
      <c r="O1968" s="102">
        <f>tbl_Companys!C1968</f>
        <v>0</v>
      </c>
      <c r="P1968" s="102">
        <f t="shared" si="91"/>
        <v>0</v>
      </c>
      <c r="Q1968" s="102">
        <f>tbl_ConsultingCompanys!D1968</f>
        <v>0</v>
      </c>
      <c r="R1968" s="102">
        <f>tbl_ConsultingCompanys!C1968</f>
        <v>0</v>
      </c>
      <c r="S1968" s="102">
        <f t="shared" si="92"/>
        <v>0</v>
      </c>
    </row>
    <row r="1969" spans="11:19" x14ac:dyDescent="0.15">
      <c r="K1969" s="102">
        <f>tbl_ArchitectureOffices!D1969</f>
        <v>0</v>
      </c>
      <c r="L1969" s="102">
        <f>tbl_ArchitectureOffices!C1969</f>
        <v>0</v>
      </c>
      <c r="M1969" s="102">
        <f t="shared" si="90"/>
        <v>0</v>
      </c>
      <c r="N1969" s="102">
        <f>tbl_Companys!D1969</f>
        <v>0</v>
      </c>
      <c r="O1969" s="102">
        <f>tbl_Companys!C1969</f>
        <v>0</v>
      </c>
      <c r="P1969" s="102">
        <f t="shared" si="91"/>
        <v>0</v>
      </c>
      <c r="Q1969" s="102">
        <f>tbl_ConsultingCompanys!D1969</f>
        <v>0</v>
      </c>
      <c r="R1969" s="102">
        <f>tbl_ConsultingCompanys!C1969</f>
        <v>0</v>
      </c>
      <c r="S1969" s="102">
        <f t="shared" si="92"/>
        <v>0</v>
      </c>
    </row>
    <row r="1970" spans="11:19" x14ac:dyDescent="0.15">
      <c r="K1970" s="102">
        <f>tbl_ArchitectureOffices!D1970</f>
        <v>0</v>
      </c>
      <c r="L1970" s="102">
        <f>tbl_ArchitectureOffices!C1970</f>
        <v>0</v>
      </c>
      <c r="M1970" s="102">
        <f t="shared" si="90"/>
        <v>0</v>
      </c>
      <c r="N1970" s="102">
        <f>tbl_Companys!D1970</f>
        <v>0</v>
      </c>
      <c r="O1970" s="102">
        <f>tbl_Companys!C1970</f>
        <v>0</v>
      </c>
      <c r="P1970" s="102">
        <f t="shared" si="91"/>
        <v>0</v>
      </c>
      <c r="Q1970" s="102">
        <f>tbl_ConsultingCompanys!D1970</f>
        <v>0</v>
      </c>
      <c r="R1970" s="102">
        <f>tbl_ConsultingCompanys!C1970</f>
        <v>0</v>
      </c>
      <c r="S1970" s="102">
        <f t="shared" si="92"/>
        <v>0</v>
      </c>
    </row>
    <row r="1971" spans="11:19" x14ac:dyDescent="0.15">
      <c r="K1971" s="102">
        <f>tbl_ArchitectureOffices!D1971</f>
        <v>0</v>
      </c>
      <c r="L1971" s="102">
        <f>tbl_ArchitectureOffices!C1971</f>
        <v>0</v>
      </c>
      <c r="M1971" s="102">
        <f t="shared" si="90"/>
        <v>0</v>
      </c>
      <c r="N1971" s="102">
        <f>tbl_Companys!D1971</f>
        <v>0</v>
      </c>
      <c r="O1971" s="102">
        <f>tbl_Companys!C1971</f>
        <v>0</v>
      </c>
      <c r="P1971" s="102">
        <f t="shared" si="91"/>
        <v>0</v>
      </c>
      <c r="Q1971" s="102">
        <f>tbl_ConsultingCompanys!D1971</f>
        <v>0</v>
      </c>
      <c r="R1971" s="102">
        <f>tbl_ConsultingCompanys!C1971</f>
        <v>0</v>
      </c>
      <c r="S1971" s="102">
        <f t="shared" si="92"/>
        <v>0</v>
      </c>
    </row>
    <row r="1972" spans="11:19" x14ac:dyDescent="0.15">
      <c r="K1972" s="102">
        <f>tbl_ArchitectureOffices!D1972</f>
        <v>0</v>
      </c>
      <c r="L1972" s="102">
        <f>tbl_ArchitectureOffices!C1972</f>
        <v>0</v>
      </c>
      <c r="M1972" s="102">
        <f t="shared" si="90"/>
        <v>0</v>
      </c>
      <c r="N1972" s="102">
        <f>tbl_Companys!D1972</f>
        <v>0</v>
      </c>
      <c r="O1972" s="102">
        <f>tbl_Companys!C1972</f>
        <v>0</v>
      </c>
      <c r="P1972" s="102">
        <f t="shared" si="91"/>
        <v>0</v>
      </c>
      <c r="Q1972" s="102">
        <f>tbl_ConsultingCompanys!D1972</f>
        <v>0</v>
      </c>
      <c r="R1972" s="102">
        <f>tbl_ConsultingCompanys!C1972</f>
        <v>0</v>
      </c>
      <c r="S1972" s="102">
        <f t="shared" si="92"/>
        <v>0</v>
      </c>
    </row>
    <row r="1973" spans="11:19" x14ac:dyDescent="0.15">
      <c r="K1973" s="102">
        <f>tbl_ArchitectureOffices!D1973</f>
        <v>0</v>
      </c>
      <c r="L1973" s="102">
        <f>tbl_ArchitectureOffices!C1973</f>
        <v>0</v>
      </c>
      <c r="M1973" s="102">
        <f t="shared" si="90"/>
        <v>0</v>
      </c>
      <c r="N1973" s="102">
        <f>tbl_Companys!D1973</f>
        <v>0</v>
      </c>
      <c r="O1973" s="102">
        <f>tbl_Companys!C1973</f>
        <v>0</v>
      </c>
      <c r="P1973" s="102">
        <f t="shared" si="91"/>
        <v>0</v>
      </c>
      <c r="Q1973" s="102">
        <f>tbl_ConsultingCompanys!D1973</f>
        <v>0</v>
      </c>
      <c r="R1973" s="102">
        <f>tbl_ConsultingCompanys!C1973</f>
        <v>0</v>
      </c>
      <c r="S1973" s="102">
        <f t="shared" si="92"/>
        <v>0</v>
      </c>
    </row>
    <row r="1974" spans="11:19" x14ac:dyDescent="0.15">
      <c r="K1974" s="102">
        <f>tbl_ArchitectureOffices!D1974</f>
        <v>0</v>
      </c>
      <c r="L1974" s="102">
        <f>tbl_ArchitectureOffices!C1974</f>
        <v>0</v>
      </c>
      <c r="M1974" s="102">
        <f t="shared" ref="M1974:M2000" si="93">IFERROR(REPLACE(K1974,FIND(" ",K1974,LEN(K1974)),1,""),K1974)</f>
        <v>0</v>
      </c>
      <c r="N1974" s="102">
        <f>tbl_Companys!D1974</f>
        <v>0</v>
      </c>
      <c r="O1974" s="102">
        <f>tbl_Companys!C1974</f>
        <v>0</v>
      </c>
      <c r="P1974" s="102">
        <f t="shared" si="91"/>
        <v>0</v>
      </c>
      <c r="Q1974" s="102">
        <f>tbl_ConsultingCompanys!D1974</f>
        <v>0</v>
      </c>
      <c r="R1974" s="102">
        <f>tbl_ConsultingCompanys!C1974</f>
        <v>0</v>
      </c>
      <c r="S1974" s="102">
        <f t="shared" si="92"/>
        <v>0</v>
      </c>
    </row>
    <row r="1975" spans="11:19" x14ac:dyDescent="0.15">
      <c r="K1975" s="102">
        <f>tbl_ArchitectureOffices!D1975</f>
        <v>0</v>
      </c>
      <c r="L1975" s="102">
        <f>tbl_ArchitectureOffices!C1975</f>
        <v>0</v>
      </c>
      <c r="M1975" s="102">
        <f t="shared" si="93"/>
        <v>0</v>
      </c>
      <c r="N1975" s="102">
        <f>tbl_Companys!D1975</f>
        <v>0</v>
      </c>
      <c r="O1975" s="102">
        <f>tbl_Companys!C1975</f>
        <v>0</v>
      </c>
      <c r="P1975" s="102">
        <f t="shared" si="91"/>
        <v>0</v>
      </c>
      <c r="Q1975" s="102">
        <f>tbl_ConsultingCompanys!D1975</f>
        <v>0</v>
      </c>
      <c r="R1975" s="102">
        <f>tbl_ConsultingCompanys!C1975</f>
        <v>0</v>
      </c>
      <c r="S1975" s="102">
        <f t="shared" si="92"/>
        <v>0</v>
      </c>
    </row>
    <row r="1976" spans="11:19" x14ac:dyDescent="0.15">
      <c r="K1976" s="102">
        <f>tbl_ArchitectureOffices!D1976</f>
        <v>0</v>
      </c>
      <c r="L1976" s="102">
        <f>tbl_ArchitectureOffices!C1976</f>
        <v>0</v>
      </c>
      <c r="M1976" s="102">
        <f t="shared" si="93"/>
        <v>0</v>
      </c>
      <c r="N1976" s="102">
        <f>tbl_Companys!D1976</f>
        <v>0</v>
      </c>
      <c r="O1976" s="102">
        <f>tbl_Companys!C1976</f>
        <v>0</v>
      </c>
      <c r="P1976" s="102">
        <f t="shared" si="91"/>
        <v>0</v>
      </c>
      <c r="Q1976" s="102">
        <f>tbl_ConsultingCompanys!D1976</f>
        <v>0</v>
      </c>
      <c r="R1976" s="102">
        <f>tbl_ConsultingCompanys!C1976</f>
        <v>0</v>
      </c>
      <c r="S1976" s="102">
        <f t="shared" si="92"/>
        <v>0</v>
      </c>
    </row>
    <row r="1977" spans="11:19" x14ac:dyDescent="0.15">
      <c r="K1977" s="102">
        <f>tbl_ArchitectureOffices!D1977</f>
        <v>0</v>
      </c>
      <c r="L1977" s="102">
        <f>tbl_ArchitectureOffices!C1977</f>
        <v>0</v>
      </c>
      <c r="M1977" s="102">
        <f t="shared" si="93"/>
        <v>0</v>
      </c>
      <c r="N1977" s="102">
        <f>tbl_Companys!D1977</f>
        <v>0</v>
      </c>
      <c r="O1977" s="102">
        <f>tbl_Companys!C1977</f>
        <v>0</v>
      </c>
      <c r="P1977" s="102">
        <f t="shared" si="91"/>
        <v>0</v>
      </c>
      <c r="Q1977" s="102">
        <f>tbl_ConsultingCompanys!D1977</f>
        <v>0</v>
      </c>
      <c r="R1977" s="102">
        <f>tbl_ConsultingCompanys!C1977</f>
        <v>0</v>
      </c>
      <c r="S1977" s="102">
        <f t="shared" si="92"/>
        <v>0</v>
      </c>
    </row>
    <row r="1978" spans="11:19" x14ac:dyDescent="0.15">
      <c r="K1978" s="102">
        <f>tbl_ArchitectureOffices!D1978</f>
        <v>0</v>
      </c>
      <c r="L1978" s="102">
        <f>tbl_ArchitectureOffices!C1978</f>
        <v>0</v>
      </c>
      <c r="M1978" s="102">
        <f t="shared" si="93"/>
        <v>0</v>
      </c>
      <c r="N1978" s="102">
        <f>tbl_Companys!D1978</f>
        <v>0</v>
      </c>
      <c r="O1978" s="102">
        <f>tbl_Companys!C1978</f>
        <v>0</v>
      </c>
      <c r="P1978" s="102">
        <f t="shared" si="91"/>
        <v>0</v>
      </c>
      <c r="Q1978" s="102">
        <f>tbl_ConsultingCompanys!D1978</f>
        <v>0</v>
      </c>
      <c r="R1978" s="102">
        <f>tbl_ConsultingCompanys!C1978</f>
        <v>0</v>
      </c>
      <c r="S1978" s="102">
        <f t="shared" si="92"/>
        <v>0</v>
      </c>
    </row>
    <row r="1979" spans="11:19" x14ac:dyDescent="0.15">
      <c r="K1979" s="102">
        <f>tbl_ArchitectureOffices!D1979</f>
        <v>0</v>
      </c>
      <c r="L1979" s="102">
        <f>tbl_ArchitectureOffices!C1979</f>
        <v>0</v>
      </c>
      <c r="M1979" s="102">
        <f t="shared" si="93"/>
        <v>0</v>
      </c>
      <c r="N1979" s="102">
        <f>tbl_Companys!D1979</f>
        <v>0</v>
      </c>
      <c r="O1979" s="102">
        <f>tbl_Companys!C1979</f>
        <v>0</v>
      </c>
      <c r="P1979" s="102">
        <f t="shared" si="91"/>
        <v>0</v>
      </c>
      <c r="Q1979" s="102">
        <f>tbl_ConsultingCompanys!D1979</f>
        <v>0</v>
      </c>
      <c r="R1979" s="102">
        <f>tbl_ConsultingCompanys!C1979</f>
        <v>0</v>
      </c>
      <c r="S1979" s="102">
        <f t="shared" si="92"/>
        <v>0</v>
      </c>
    </row>
    <row r="1980" spans="11:19" x14ac:dyDescent="0.15">
      <c r="K1980" s="102">
        <f>tbl_ArchitectureOffices!D1980</f>
        <v>0</v>
      </c>
      <c r="L1980" s="102">
        <f>tbl_ArchitectureOffices!C1980</f>
        <v>0</v>
      </c>
      <c r="M1980" s="102">
        <f t="shared" si="93"/>
        <v>0</v>
      </c>
      <c r="N1980" s="102">
        <f>tbl_Companys!D1980</f>
        <v>0</v>
      </c>
      <c r="O1980" s="102">
        <f>tbl_Companys!C1980</f>
        <v>0</v>
      </c>
      <c r="P1980" s="102">
        <f t="shared" si="91"/>
        <v>0</v>
      </c>
      <c r="Q1980" s="102">
        <f>tbl_ConsultingCompanys!D1980</f>
        <v>0</v>
      </c>
      <c r="R1980" s="102">
        <f>tbl_ConsultingCompanys!C1980</f>
        <v>0</v>
      </c>
      <c r="S1980" s="102">
        <f t="shared" si="92"/>
        <v>0</v>
      </c>
    </row>
    <row r="1981" spans="11:19" x14ac:dyDescent="0.15">
      <c r="K1981" s="102">
        <f>tbl_ArchitectureOffices!D1981</f>
        <v>0</v>
      </c>
      <c r="L1981" s="102">
        <f>tbl_ArchitectureOffices!C1981</f>
        <v>0</v>
      </c>
      <c r="M1981" s="102">
        <f t="shared" si="93"/>
        <v>0</v>
      </c>
      <c r="N1981" s="102">
        <f>tbl_Companys!D1981</f>
        <v>0</v>
      </c>
      <c r="O1981" s="102">
        <f>tbl_Companys!C1981</f>
        <v>0</v>
      </c>
      <c r="P1981" s="102">
        <f t="shared" si="91"/>
        <v>0</v>
      </c>
      <c r="Q1981" s="102">
        <f>tbl_ConsultingCompanys!D1981</f>
        <v>0</v>
      </c>
      <c r="R1981" s="102">
        <f>tbl_ConsultingCompanys!C1981</f>
        <v>0</v>
      </c>
      <c r="S1981" s="102">
        <f t="shared" si="92"/>
        <v>0</v>
      </c>
    </row>
    <row r="1982" spans="11:19" x14ac:dyDescent="0.15">
      <c r="K1982" s="102">
        <f>tbl_ArchitectureOffices!D1982</f>
        <v>0</v>
      </c>
      <c r="L1982" s="102">
        <f>tbl_ArchitectureOffices!C1982</f>
        <v>0</v>
      </c>
      <c r="M1982" s="102">
        <f t="shared" si="93"/>
        <v>0</v>
      </c>
      <c r="N1982" s="102">
        <f>tbl_Companys!D1982</f>
        <v>0</v>
      </c>
      <c r="O1982" s="102">
        <f>tbl_Companys!C1982</f>
        <v>0</v>
      </c>
      <c r="P1982" s="102">
        <f t="shared" si="91"/>
        <v>0</v>
      </c>
      <c r="Q1982" s="102">
        <f>tbl_ConsultingCompanys!D1982</f>
        <v>0</v>
      </c>
      <c r="R1982" s="102">
        <f>tbl_ConsultingCompanys!C1982</f>
        <v>0</v>
      </c>
      <c r="S1982" s="102">
        <f t="shared" si="92"/>
        <v>0</v>
      </c>
    </row>
    <row r="1983" spans="11:19" x14ac:dyDescent="0.15">
      <c r="K1983" s="102">
        <f>tbl_ArchitectureOffices!D1983</f>
        <v>0</v>
      </c>
      <c r="L1983" s="102">
        <f>tbl_ArchitectureOffices!C1983</f>
        <v>0</v>
      </c>
      <c r="M1983" s="102">
        <f t="shared" si="93"/>
        <v>0</v>
      </c>
      <c r="N1983" s="102">
        <f>tbl_Companys!D1983</f>
        <v>0</v>
      </c>
      <c r="O1983" s="102">
        <f>tbl_Companys!C1983</f>
        <v>0</v>
      </c>
      <c r="P1983" s="102">
        <f t="shared" si="91"/>
        <v>0</v>
      </c>
      <c r="Q1983" s="102">
        <f>tbl_ConsultingCompanys!D1983</f>
        <v>0</v>
      </c>
      <c r="R1983" s="102">
        <f>tbl_ConsultingCompanys!C1983</f>
        <v>0</v>
      </c>
      <c r="S1983" s="102">
        <f t="shared" si="92"/>
        <v>0</v>
      </c>
    </row>
    <row r="1984" spans="11:19" x14ac:dyDescent="0.15">
      <c r="K1984" s="102">
        <f>tbl_ArchitectureOffices!D1984</f>
        <v>0</v>
      </c>
      <c r="L1984" s="102">
        <f>tbl_ArchitectureOffices!C1984</f>
        <v>0</v>
      </c>
      <c r="M1984" s="102">
        <f t="shared" si="93"/>
        <v>0</v>
      </c>
      <c r="N1984" s="102">
        <f>tbl_Companys!D1984</f>
        <v>0</v>
      </c>
      <c r="O1984" s="102">
        <f>tbl_Companys!C1984</f>
        <v>0</v>
      </c>
      <c r="P1984" s="102">
        <f t="shared" si="91"/>
        <v>0</v>
      </c>
      <c r="Q1984" s="102">
        <f>tbl_ConsultingCompanys!D1984</f>
        <v>0</v>
      </c>
      <c r="R1984" s="102">
        <f>tbl_ConsultingCompanys!C1984</f>
        <v>0</v>
      </c>
      <c r="S1984" s="102">
        <f t="shared" si="92"/>
        <v>0</v>
      </c>
    </row>
    <row r="1985" spans="11:19" x14ac:dyDescent="0.15">
      <c r="K1985" s="102">
        <f>tbl_ArchitectureOffices!D1985</f>
        <v>0</v>
      </c>
      <c r="L1985" s="102">
        <f>tbl_ArchitectureOffices!C1985</f>
        <v>0</v>
      </c>
      <c r="M1985" s="102">
        <f t="shared" si="93"/>
        <v>0</v>
      </c>
      <c r="N1985" s="102">
        <f>tbl_Companys!D1985</f>
        <v>0</v>
      </c>
      <c r="O1985" s="102">
        <f>tbl_Companys!C1985</f>
        <v>0</v>
      </c>
      <c r="P1985" s="102">
        <f t="shared" si="91"/>
        <v>0</v>
      </c>
      <c r="Q1985" s="102">
        <f>tbl_ConsultingCompanys!D1985</f>
        <v>0</v>
      </c>
      <c r="R1985" s="102">
        <f>tbl_ConsultingCompanys!C1985</f>
        <v>0</v>
      </c>
      <c r="S1985" s="102">
        <f t="shared" si="92"/>
        <v>0</v>
      </c>
    </row>
    <row r="1986" spans="11:19" x14ac:dyDescent="0.15">
      <c r="K1986" s="102">
        <f>tbl_ArchitectureOffices!D1986</f>
        <v>0</v>
      </c>
      <c r="L1986" s="102">
        <f>tbl_ArchitectureOffices!C1986</f>
        <v>0</v>
      </c>
      <c r="M1986" s="102">
        <f t="shared" si="93"/>
        <v>0</v>
      </c>
      <c r="N1986" s="102">
        <f>tbl_Companys!D1986</f>
        <v>0</v>
      </c>
      <c r="O1986" s="102">
        <f>tbl_Companys!C1986</f>
        <v>0</v>
      </c>
      <c r="P1986" s="102">
        <f t="shared" si="91"/>
        <v>0</v>
      </c>
      <c r="Q1986" s="102">
        <f>tbl_ConsultingCompanys!D1986</f>
        <v>0</v>
      </c>
      <c r="R1986" s="102">
        <f>tbl_ConsultingCompanys!C1986</f>
        <v>0</v>
      </c>
      <c r="S1986" s="102">
        <f t="shared" si="92"/>
        <v>0</v>
      </c>
    </row>
    <row r="1987" spans="11:19" x14ac:dyDescent="0.15">
      <c r="K1987" s="102">
        <f>tbl_ArchitectureOffices!D1987</f>
        <v>0</v>
      </c>
      <c r="L1987" s="102">
        <f>tbl_ArchitectureOffices!C1987</f>
        <v>0</v>
      </c>
      <c r="M1987" s="102">
        <f t="shared" si="93"/>
        <v>0</v>
      </c>
      <c r="N1987" s="102">
        <f>tbl_Companys!D1987</f>
        <v>0</v>
      </c>
      <c r="O1987" s="102">
        <f>tbl_Companys!C1987</f>
        <v>0</v>
      </c>
      <c r="P1987" s="102">
        <f t="shared" ref="P1987:P2000" si="94">IFERROR(REPLACE(N1987,FIND(" ",N1987,LEN(N1987)),1,""),N1987)</f>
        <v>0</v>
      </c>
      <c r="Q1987" s="102">
        <f>tbl_ConsultingCompanys!D1987</f>
        <v>0</v>
      </c>
      <c r="R1987" s="102">
        <f>tbl_ConsultingCompanys!C1987</f>
        <v>0</v>
      </c>
      <c r="S1987" s="102">
        <f t="shared" ref="S1987:S2000" si="95">IFERROR(REPLACE(Q1987,FIND(" ",Q1987,LEN(Q1987)),1,""),Q1987)</f>
        <v>0</v>
      </c>
    </row>
    <row r="1988" spans="11:19" x14ac:dyDescent="0.15">
      <c r="K1988" s="102">
        <f>tbl_ArchitectureOffices!D1988</f>
        <v>0</v>
      </c>
      <c r="L1988" s="102">
        <f>tbl_ArchitectureOffices!C1988</f>
        <v>0</v>
      </c>
      <c r="M1988" s="102">
        <f t="shared" si="93"/>
        <v>0</v>
      </c>
      <c r="N1988" s="102">
        <f>tbl_Companys!D1988</f>
        <v>0</v>
      </c>
      <c r="O1988" s="102">
        <f>tbl_Companys!C1988</f>
        <v>0</v>
      </c>
      <c r="P1988" s="102">
        <f t="shared" si="94"/>
        <v>0</v>
      </c>
      <c r="Q1988" s="102">
        <f>tbl_ConsultingCompanys!D1988</f>
        <v>0</v>
      </c>
      <c r="R1988" s="102">
        <f>tbl_ConsultingCompanys!C1988</f>
        <v>0</v>
      </c>
      <c r="S1988" s="102">
        <f t="shared" si="95"/>
        <v>0</v>
      </c>
    </row>
    <row r="1989" spans="11:19" x14ac:dyDescent="0.15">
      <c r="K1989" s="102">
        <f>tbl_ArchitectureOffices!D1989</f>
        <v>0</v>
      </c>
      <c r="L1989" s="102">
        <f>tbl_ArchitectureOffices!C1989</f>
        <v>0</v>
      </c>
      <c r="M1989" s="102">
        <f t="shared" si="93"/>
        <v>0</v>
      </c>
      <c r="N1989" s="102">
        <f>tbl_Companys!D1989</f>
        <v>0</v>
      </c>
      <c r="O1989" s="102">
        <f>tbl_Companys!C1989</f>
        <v>0</v>
      </c>
      <c r="P1989" s="102">
        <f t="shared" si="94"/>
        <v>0</v>
      </c>
      <c r="Q1989" s="102">
        <f>tbl_ConsultingCompanys!D1989</f>
        <v>0</v>
      </c>
      <c r="R1989" s="102">
        <f>tbl_ConsultingCompanys!C1989</f>
        <v>0</v>
      </c>
      <c r="S1989" s="102">
        <f t="shared" si="95"/>
        <v>0</v>
      </c>
    </row>
    <row r="1990" spans="11:19" x14ac:dyDescent="0.15">
      <c r="K1990" s="102">
        <f>tbl_ArchitectureOffices!D1990</f>
        <v>0</v>
      </c>
      <c r="L1990" s="102">
        <f>tbl_ArchitectureOffices!C1990</f>
        <v>0</v>
      </c>
      <c r="M1990" s="102">
        <f t="shared" si="93"/>
        <v>0</v>
      </c>
      <c r="N1990" s="102">
        <f>tbl_Companys!D1990</f>
        <v>0</v>
      </c>
      <c r="O1990" s="102">
        <f>tbl_Companys!C1990</f>
        <v>0</v>
      </c>
      <c r="P1990" s="102">
        <f t="shared" si="94"/>
        <v>0</v>
      </c>
      <c r="Q1990" s="102">
        <f>tbl_ConsultingCompanys!D1990</f>
        <v>0</v>
      </c>
      <c r="R1990" s="102">
        <f>tbl_ConsultingCompanys!C1990</f>
        <v>0</v>
      </c>
      <c r="S1990" s="102">
        <f t="shared" si="95"/>
        <v>0</v>
      </c>
    </row>
    <row r="1991" spans="11:19" x14ac:dyDescent="0.15">
      <c r="K1991" s="102">
        <f>tbl_ArchitectureOffices!D1991</f>
        <v>0</v>
      </c>
      <c r="L1991" s="102">
        <f>tbl_ArchitectureOffices!C1991</f>
        <v>0</v>
      </c>
      <c r="M1991" s="102">
        <f t="shared" si="93"/>
        <v>0</v>
      </c>
      <c r="N1991" s="102">
        <f>tbl_Companys!D1991</f>
        <v>0</v>
      </c>
      <c r="O1991" s="102">
        <f>tbl_Companys!C1991</f>
        <v>0</v>
      </c>
      <c r="P1991" s="102">
        <f t="shared" si="94"/>
        <v>0</v>
      </c>
      <c r="Q1991" s="102">
        <f>tbl_ConsultingCompanys!D1991</f>
        <v>0</v>
      </c>
      <c r="R1991" s="102">
        <f>tbl_ConsultingCompanys!C1991</f>
        <v>0</v>
      </c>
      <c r="S1991" s="102">
        <f t="shared" si="95"/>
        <v>0</v>
      </c>
    </row>
    <row r="1992" spans="11:19" x14ac:dyDescent="0.15">
      <c r="K1992" s="102">
        <f>tbl_ArchitectureOffices!D1992</f>
        <v>0</v>
      </c>
      <c r="L1992" s="102">
        <f>tbl_ArchitectureOffices!C1992</f>
        <v>0</v>
      </c>
      <c r="M1992" s="102">
        <f t="shared" si="93"/>
        <v>0</v>
      </c>
      <c r="N1992" s="102">
        <f>tbl_Companys!D1992</f>
        <v>0</v>
      </c>
      <c r="O1992" s="102">
        <f>tbl_Companys!C1992</f>
        <v>0</v>
      </c>
      <c r="P1992" s="102">
        <f t="shared" si="94"/>
        <v>0</v>
      </c>
      <c r="Q1992" s="102">
        <f>tbl_ConsultingCompanys!D1992</f>
        <v>0</v>
      </c>
      <c r="R1992" s="102">
        <f>tbl_ConsultingCompanys!C1992</f>
        <v>0</v>
      </c>
      <c r="S1992" s="102">
        <f t="shared" si="95"/>
        <v>0</v>
      </c>
    </row>
    <row r="1993" spans="11:19" x14ac:dyDescent="0.15">
      <c r="K1993" s="102">
        <f>tbl_ArchitectureOffices!D1993</f>
        <v>0</v>
      </c>
      <c r="L1993" s="102">
        <f>tbl_ArchitectureOffices!C1993</f>
        <v>0</v>
      </c>
      <c r="M1993" s="102">
        <f t="shared" si="93"/>
        <v>0</v>
      </c>
      <c r="N1993" s="102">
        <f>tbl_Companys!D1993</f>
        <v>0</v>
      </c>
      <c r="O1993" s="102">
        <f>tbl_Companys!C1993</f>
        <v>0</v>
      </c>
      <c r="P1993" s="102">
        <f t="shared" si="94"/>
        <v>0</v>
      </c>
      <c r="Q1993" s="102">
        <f>tbl_ConsultingCompanys!D1993</f>
        <v>0</v>
      </c>
      <c r="R1993" s="102">
        <f>tbl_ConsultingCompanys!C1993</f>
        <v>0</v>
      </c>
      <c r="S1993" s="102">
        <f t="shared" si="95"/>
        <v>0</v>
      </c>
    </row>
    <row r="1994" spans="11:19" x14ac:dyDescent="0.15">
      <c r="K1994" s="102">
        <f>tbl_ArchitectureOffices!D1994</f>
        <v>0</v>
      </c>
      <c r="L1994" s="102">
        <f>tbl_ArchitectureOffices!C1994</f>
        <v>0</v>
      </c>
      <c r="M1994" s="102">
        <f t="shared" si="93"/>
        <v>0</v>
      </c>
      <c r="N1994" s="102">
        <f>tbl_Companys!D1994</f>
        <v>0</v>
      </c>
      <c r="O1994" s="102">
        <f>tbl_Companys!C1994</f>
        <v>0</v>
      </c>
      <c r="P1994" s="102">
        <f t="shared" si="94"/>
        <v>0</v>
      </c>
      <c r="Q1994" s="102">
        <f>tbl_ConsultingCompanys!D1994</f>
        <v>0</v>
      </c>
      <c r="R1994" s="102">
        <f>tbl_ConsultingCompanys!C1994</f>
        <v>0</v>
      </c>
      <c r="S1994" s="102">
        <f t="shared" si="95"/>
        <v>0</v>
      </c>
    </row>
    <row r="1995" spans="11:19" x14ac:dyDescent="0.15">
      <c r="K1995" s="102">
        <f>tbl_ArchitectureOffices!D1995</f>
        <v>0</v>
      </c>
      <c r="L1995" s="102">
        <f>tbl_ArchitectureOffices!C1995</f>
        <v>0</v>
      </c>
      <c r="M1995" s="102">
        <f t="shared" si="93"/>
        <v>0</v>
      </c>
      <c r="N1995" s="102">
        <f>tbl_Companys!D1995</f>
        <v>0</v>
      </c>
      <c r="O1995" s="102">
        <f>tbl_Companys!C1995</f>
        <v>0</v>
      </c>
      <c r="P1995" s="102">
        <f t="shared" si="94"/>
        <v>0</v>
      </c>
      <c r="Q1995" s="102">
        <f>tbl_ConsultingCompanys!D1995</f>
        <v>0</v>
      </c>
      <c r="R1995" s="102">
        <f>tbl_ConsultingCompanys!C1995</f>
        <v>0</v>
      </c>
      <c r="S1995" s="102">
        <f t="shared" si="95"/>
        <v>0</v>
      </c>
    </row>
    <row r="1996" spans="11:19" x14ac:dyDescent="0.15">
      <c r="K1996" s="102">
        <f>tbl_ArchitectureOffices!D1996</f>
        <v>0</v>
      </c>
      <c r="L1996" s="102">
        <f>tbl_ArchitectureOffices!C1996</f>
        <v>0</v>
      </c>
      <c r="M1996" s="102">
        <f t="shared" si="93"/>
        <v>0</v>
      </c>
      <c r="N1996" s="102">
        <f>tbl_Companys!D1996</f>
        <v>0</v>
      </c>
      <c r="O1996" s="102">
        <f>tbl_Companys!C1996</f>
        <v>0</v>
      </c>
      <c r="P1996" s="102">
        <f t="shared" si="94"/>
        <v>0</v>
      </c>
      <c r="Q1996" s="102">
        <f>tbl_ConsultingCompanys!D1996</f>
        <v>0</v>
      </c>
      <c r="R1996" s="102">
        <f>tbl_ConsultingCompanys!C1996</f>
        <v>0</v>
      </c>
      <c r="S1996" s="102">
        <f t="shared" si="95"/>
        <v>0</v>
      </c>
    </row>
    <row r="1997" spans="11:19" x14ac:dyDescent="0.15">
      <c r="K1997" s="102">
        <f>tbl_ArchitectureOffices!D1997</f>
        <v>0</v>
      </c>
      <c r="L1997" s="102">
        <f>tbl_ArchitectureOffices!C1997</f>
        <v>0</v>
      </c>
      <c r="M1997" s="102">
        <f t="shared" si="93"/>
        <v>0</v>
      </c>
      <c r="N1997" s="102">
        <f>tbl_Companys!D1997</f>
        <v>0</v>
      </c>
      <c r="O1997" s="102">
        <f>tbl_Companys!C1997</f>
        <v>0</v>
      </c>
      <c r="P1997" s="102">
        <f t="shared" si="94"/>
        <v>0</v>
      </c>
      <c r="Q1997" s="102">
        <f>tbl_ConsultingCompanys!D1997</f>
        <v>0</v>
      </c>
      <c r="R1997" s="102">
        <f>tbl_ConsultingCompanys!C1997</f>
        <v>0</v>
      </c>
      <c r="S1997" s="102">
        <f t="shared" si="95"/>
        <v>0</v>
      </c>
    </row>
    <row r="1998" spans="11:19" x14ac:dyDescent="0.15">
      <c r="K1998" s="102">
        <f>tbl_ArchitectureOffices!D1998</f>
        <v>0</v>
      </c>
      <c r="L1998" s="102">
        <f>tbl_ArchitectureOffices!C1998</f>
        <v>0</v>
      </c>
      <c r="M1998" s="102">
        <f t="shared" si="93"/>
        <v>0</v>
      </c>
      <c r="N1998" s="102">
        <f>tbl_Companys!D1998</f>
        <v>0</v>
      </c>
      <c r="O1998" s="102">
        <f>tbl_Companys!C1998</f>
        <v>0</v>
      </c>
      <c r="P1998" s="102">
        <f t="shared" si="94"/>
        <v>0</v>
      </c>
      <c r="Q1998" s="102">
        <f>tbl_ConsultingCompanys!D1998</f>
        <v>0</v>
      </c>
      <c r="R1998" s="102">
        <f>tbl_ConsultingCompanys!C1998</f>
        <v>0</v>
      </c>
      <c r="S1998" s="102">
        <f t="shared" si="95"/>
        <v>0</v>
      </c>
    </row>
    <row r="1999" spans="11:19" x14ac:dyDescent="0.15">
      <c r="K1999" s="102">
        <f>tbl_ArchitectureOffices!D1999</f>
        <v>0</v>
      </c>
      <c r="L1999" s="102">
        <f>tbl_ArchitectureOffices!C1999</f>
        <v>0</v>
      </c>
      <c r="M1999" s="102">
        <f t="shared" si="93"/>
        <v>0</v>
      </c>
      <c r="N1999" s="102">
        <f>tbl_Companys!D1999</f>
        <v>0</v>
      </c>
      <c r="O1999" s="102">
        <f>tbl_Companys!C1999</f>
        <v>0</v>
      </c>
      <c r="P1999" s="102">
        <f t="shared" si="94"/>
        <v>0</v>
      </c>
      <c r="Q1999" s="102">
        <f>tbl_ConsultingCompanys!D1999</f>
        <v>0</v>
      </c>
      <c r="R1999" s="102">
        <f>tbl_ConsultingCompanys!C1999</f>
        <v>0</v>
      </c>
      <c r="S1999" s="102">
        <f t="shared" si="95"/>
        <v>0</v>
      </c>
    </row>
    <row r="2000" spans="11:19" x14ac:dyDescent="0.15">
      <c r="K2000" s="102">
        <f>tbl_ArchitectureOffices!D2000</f>
        <v>0</v>
      </c>
      <c r="L2000" s="102">
        <f>tbl_ArchitectureOffices!C2000</f>
        <v>0</v>
      </c>
      <c r="M2000" s="102">
        <f t="shared" si="93"/>
        <v>0</v>
      </c>
      <c r="N2000" s="102">
        <f>tbl_Companys!D2000</f>
        <v>0</v>
      </c>
      <c r="O2000" s="102">
        <f>tbl_Companys!C2000</f>
        <v>0</v>
      </c>
      <c r="P2000" s="102">
        <f t="shared" si="94"/>
        <v>0</v>
      </c>
      <c r="Q2000" s="102">
        <f>tbl_ConsultingCompanys!D2000</f>
        <v>0</v>
      </c>
      <c r="R2000" s="102">
        <f>tbl_ConsultingCompanys!C2000</f>
        <v>0</v>
      </c>
      <c r="S2000" s="102">
        <f t="shared" si="95"/>
        <v>0</v>
      </c>
    </row>
  </sheetData>
  <sheetProtection password="D9F3" sheet="1" objects="1" scenarios="1"/>
  <autoFilter ref="A1:H1" xr:uid="{00000000-0009-0000-0000-000004000000}"/>
  <phoneticPr fontId="4" type="noConversion"/>
  <pageMargins left="0.79000000000000015" right="0.79000000000000015" top="1" bottom="1" header="0.5" footer="0.5"/>
  <pageSetup orientation="portrait" verticalDpi="60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32"/>
  <dimension ref="A1:F133"/>
  <sheetViews>
    <sheetView workbookViewId="0">
      <selection activeCell="W1" sqref="W1:W1048576"/>
    </sheetView>
  </sheetViews>
  <sheetFormatPr baseColWidth="10" defaultColWidth="11" defaultRowHeight="13" x14ac:dyDescent="0.15"/>
  <cols>
    <col min="1" max="1" width="10.1640625" customWidth="1"/>
    <col min="2" max="2" width="32" bestFit="1" customWidth="1"/>
    <col min="3" max="3" width="21.5" customWidth="1"/>
    <col min="4" max="4" width="13.5" customWidth="1"/>
    <col min="5" max="5" width="55.83203125" bestFit="1" customWidth="1"/>
    <col min="6" max="6" width="33.33203125" bestFit="1" customWidth="1"/>
  </cols>
  <sheetData>
    <row r="1" spans="1:6" x14ac:dyDescent="0.15">
      <c r="A1" s="2" t="s">
        <v>3339</v>
      </c>
      <c r="B1" s="2" t="s">
        <v>3340</v>
      </c>
      <c r="C1" s="2" t="s">
        <v>3341</v>
      </c>
      <c r="D1" s="2" t="s">
        <v>3342</v>
      </c>
      <c r="E1" s="2" t="s">
        <v>3343</v>
      </c>
      <c r="F1" s="2" t="s">
        <v>3344</v>
      </c>
    </row>
    <row r="2" spans="1:6" x14ac:dyDescent="0.15">
      <c r="A2" s="102">
        <v>240366</v>
      </c>
      <c r="B2" s="102" t="s">
        <v>703</v>
      </c>
      <c r="C2" s="102">
        <v>15</v>
      </c>
      <c r="D2" s="102">
        <v>240405</v>
      </c>
      <c r="E2" s="102" t="s">
        <v>3151</v>
      </c>
      <c r="F2" s="102" t="s">
        <v>717</v>
      </c>
    </row>
    <row r="3" spans="1:6" x14ac:dyDescent="0.15">
      <c r="A3" s="102">
        <v>74568</v>
      </c>
      <c r="B3" s="102" t="s">
        <v>699</v>
      </c>
      <c r="C3" s="102">
        <v>23</v>
      </c>
      <c r="D3" s="102">
        <v>209239</v>
      </c>
      <c r="E3" s="102" t="s">
        <v>3153</v>
      </c>
      <c r="F3" s="102" t="s">
        <v>712</v>
      </c>
    </row>
    <row r="4" spans="1:6" x14ac:dyDescent="0.15">
      <c r="A4" s="102">
        <v>58723</v>
      </c>
      <c r="B4" s="102" t="s">
        <v>692</v>
      </c>
      <c r="C4" s="102">
        <v>6</v>
      </c>
      <c r="D4" s="102">
        <v>58731</v>
      </c>
      <c r="E4" s="102" t="s">
        <v>3345</v>
      </c>
      <c r="F4" s="102" t="s">
        <v>705</v>
      </c>
    </row>
    <row r="5" spans="1:6" x14ac:dyDescent="0.15">
      <c r="A5" s="102">
        <v>74568</v>
      </c>
      <c r="B5" s="102" t="s">
        <v>699</v>
      </c>
      <c r="C5" s="102">
        <v>23</v>
      </c>
      <c r="D5" s="102">
        <v>209240</v>
      </c>
      <c r="E5" s="102" t="s">
        <v>3157</v>
      </c>
      <c r="F5" s="102" t="s">
        <v>726</v>
      </c>
    </row>
    <row r="6" spans="1:6" x14ac:dyDescent="0.15">
      <c r="A6" s="102">
        <v>74206</v>
      </c>
      <c r="B6" s="102" t="s">
        <v>694</v>
      </c>
      <c r="C6" s="102">
        <v>10</v>
      </c>
      <c r="D6" s="102">
        <v>160697</v>
      </c>
      <c r="E6" s="102" t="s">
        <v>3158</v>
      </c>
      <c r="F6" s="102" t="s">
        <v>707</v>
      </c>
    </row>
    <row r="7" spans="1:6" x14ac:dyDescent="0.15">
      <c r="A7" s="102">
        <v>74521</v>
      </c>
      <c r="B7" s="102" t="s">
        <v>696</v>
      </c>
      <c r="C7" s="102">
        <v>12</v>
      </c>
      <c r="D7" s="102">
        <v>74594</v>
      </c>
      <c r="E7" s="102" t="s">
        <v>3159</v>
      </c>
      <c r="F7" s="102" t="s">
        <v>709</v>
      </c>
    </row>
    <row r="8" spans="1:6" x14ac:dyDescent="0.15">
      <c r="A8" s="102">
        <v>74568</v>
      </c>
      <c r="B8" s="102" t="s">
        <v>699</v>
      </c>
      <c r="C8" s="102">
        <v>23</v>
      </c>
      <c r="D8" s="102">
        <v>74700</v>
      </c>
      <c r="E8" s="102" t="s">
        <v>3161</v>
      </c>
      <c r="F8" s="102" t="s">
        <v>740</v>
      </c>
    </row>
    <row r="9" spans="1:6" x14ac:dyDescent="0.15">
      <c r="A9" s="102">
        <v>74568</v>
      </c>
      <c r="B9" s="102" t="s">
        <v>699</v>
      </c>
      <c r="C9" s="102">
        <v>23</v>
      </c>
      <c r="D9" s="102">
        <v>242053</v>
      </c>
      <c r="E9" s="102" t="s">
        <v>3162</v>
      </c>
      <c r="F9" s="102" t="s">
        <v>754</v>
      </c>
    </row>
    <row r="10" spans="1:6" x14ac:dyDescent="0.15">
      <c r="A10" s="102">
        <v>74577</v>
      </c>
      <c r="B10" s="102" t="s">
        <v>701</v>
      </c>
      <c r="C10" s="102">
        <v>7</v>
      </c>
      <c r="D10" s="102">
        <v>74671</v>
      </c>
      <c r="E10" s="102" t="s">
        <v>3164</v>
      </c>
      <c r="F10" s="102" t="s">
        <v>715</v>
      </c>
    </row>
    <row r="11" spans="1:6" x14ac:dyDescent="0.15">
      <c r="A11" s="102">
        <v>58730</v>
      </c>
      <c r="B11" s="102" t="s">
        <v>693</v>
      </c>
      <c r="C11" s="102">
        <v>5</v>
      </c>
      <c r="D11" s="102">
        <v>74840</v>
      </c>
      <c r="E11" s="102" t="s">
        <v>3166</v>
      </c>
      <c r="F11" s="102" t="s">
        <v>706</v>
      </c>
    </row>
    <row r="12" spans="1:6" x14ac:dyDescent="0.15">
      <c r="A12" s="102">
        <v>58723</v>
      </c>
      <c r="B12" s="102" t="s">
        <v>692</v>
      </c>
      <c r="C12" s="102">
        <v>6</v>
      </c>
      <c r="D12" s="102">
        <v>240388</v>
      </c>
      <c r="E12" s="102" t="s">
        <v>3167</v>
      </c>
      <c r="F12" s="102" t="s">
        <v>719</v>
      </c>
    </row>
    <row r="13" spans="1:6" x14ac:dyDescent="0.15">
      <c r="A13" s="102">
        <v>58723</v>
      </c>
      <c r="B13" s="102" t="s">
        <v>692</v>
      </c>
      <c r="C13" s="102">
        <v>6</v>
      </c>
      <c r="D13" s="102">
        <v>240389</v>
      </c>
      <c r="E13" s="102" t="s">
        <v>3169</v>
      </c>
      <c r="F13" s="102" t="s">
        <v>733</v>
      </c>
    </row>
    <row r="14" spans="1:6" x14ac:dyDescent="0.15">
      <c r="A14" s="102">
        <v>58723</v>
      </c>
      <c r="B14" s="102" t="s">
        <v>692</v>
      </c>
      <c r="C14" s="102">
        <v>6</v>
      </c>
      <c r="D14" s="102">
        <v>240390</v>
      </c>
      <c r="E14" s="102" t="s">
        <v>3170</v>
      </c>
      <c r="F14" s="102" t="s">
        <v>747</v>
      </c>
    </row>
    <row r="15" spans="1:6" x14ac:dyDescent="0.15">
      <c r="A15" s="102">
        <v>58723</v>
      </c>
      <c r="B15" s="102" t="s">
        <v>692</v>
      </c>
      <c r="C15" s="102">
        <v>6</v>
      </c>
      <c r="D15" s="102">
        <v>240391</v>
      </c>
      <c r="E15" s="102" t="s">
        <v>3171</v>
      </c>
      <c r="F15" s="102" t="s">
        <v>759</v>
      </c>
    </row>
    <row r="16" spans="1:6" x14ac:dyDescent="0.15">
      <c r="A16" s="102">
        <v>74565</v>
      </c>
      <c r="B16" s="102" t="s">
        <v>698</v>
      </c>
      <c r="C16" s="102">
        <v>19</v>
      </c>
      <c r="D16" s="102">
        <v>74947</v>
      </c>
      <c r="E16" s="102" t="s">
        <v>3173</v>
      </c>
      <c r="F16" s="102" t="s">
        <v>711</v>
      </c>
    </row>
    <row r="17" spans="1:6" x14ac:dyDescent="0.15">
      <c r="A17" s="102">
        <v>74565</v>
      </c>
      <c r="B17" s="102" t="s">
        <v>698</v>
      </c>
      <c r="C17" s="102">
        <v>19</v>
      </c>
      <c r="D17" s="102">
        <v>240374</v>
      </c>
      <c r="E17" s="102" t="s">
        <v>3174</v>
      </c>
      <c r="F17" s="102" t="s">
        <v>725</v>
      </c>
    </row>
    <row r="18" spans="1:6" x14ac:dyDescent="0.15">
      <c r="A18" s="102">
        <v>74206</v>
      </c>
      <c r="B18" s="102" t="s">
        <v>694</v>
      </c>
      <c r="C18" s="102">
        <v>10</v>
      </c>
      <c r="D18" s="102">
        <v>74808</v>
      </c>
      <c r="E18" s="102" t="s">
        <v>3176</v>
      </c>
      <c r="F18" s="102" t="s">
        <v>721</v>
      </c>
    </row>
    <row r="19" spans="1:6" x14ac:dyDescent="0.15">
      <c r="A19" s="102">
        <v>155019</v>
      </c>
      <c r="B19" s="102" t="s">
        <v>702</v>
      </c>
      <c r="C19" s="102">
        <v>5</v>
      </c>
      <c r="D19" s="102">
        <v>240371</v>
      </c>
      <c r="E19" s="102" t="s">
        <v>3177</v>
      </c>
      <c r="F19" s="102" t="s">
        <v>716</v>
      </c>
    </row>
    <row r="20" spans="1:6" x14ac:dyDescent="0.15">
      <c r="A20" s="102">
        <v>155019</v>
      </c>
      <c r="B20" s="102" t="s">
        <v>702</v>
      </c>
      <c r="C20" s="102">
        <v>5</v>
      </c>
      <c r="D20" s="102">
        <v>102766</v>
      </c>
      <c r="E20" s="102" t="s">
        <v>3179</v>
      </c>
      <c r="F20" s="102" t="s">
        <v>730</v>
      </c>
    </row>
    <row r="21" spans="1:6" x14ac:dyDescent="0.15">
      <c r="A21" s="102">
        <v>74206</v>
      </c>
      <c r="B21" s="102" t="s">
        <v>694</v>
      </c>
      <c r="C21" s="102">
        <v>10</v>
      </c>
      <c r="D21" s="102">
        <v>75000</v>
      </c>
      <c r="E21" s="102" t="s">
        <v>3180</v>
      </c>
      <c r="F21" s="102" t="s">
        <v>735</v>
      </c>
    </row>
    <row r="22" spans="1:6" x14ac:dyDescent="0.15">
      <c r="A22" s="102">
        <v>74568</v>
      </c>
      <c r="B22" s="102" t="s">
        <v>699</v>
      </c>
      <c r="C22" s="102">
        <v>23</v>
      </c>
      <c r="D22" s="102">
        <v>75000</v>
      </c>
      <c r="E22" s="102" t="s">
        <v>3180</v>
      </c>
      <c r="F22" s="102" t="s">
        <v>735</v>
      </c>
    </row>
    <row r="23" spans="1:6" x14ac:dyDescent="0.15">
      <c r="A23" s="102">
        <v>74206</v>
      </c>
      <c r="B23" s="102" t="s">
        <v>694</v>
      </c>
      <c r="C23" s="102">
        <v>10</v>
      </c>
      <c r="D23" s="102">
        <v>178279</v>
      </c>
      <c r="E23" s="102" t="s">
        <v>3182</v>
      </c>
      <c r="F23" s="102" t="s">
        <v>749</v>
      </c>
    </row>
    <row r="24" spans="1:6" x14ac:dyDescent="0.15">
      <c r="A24" s="102">
        <v>74568</v>
      </c>
      <c r="B24" s="102" t="s">
        <v>699</v>
      </c>
      <c r="C24" s="102">
        <v>23</v>
      </c>
      <c r="D24" s="102">
        <v>209243</v>
      </c>
      <c r="E24" s="102" t="s">
        <v>3184</v>
      </c>
      <c r="F24" s="102" t="s">
        <v>775</v>
      </c>
    </row>
    <row r="25" spans="1:6" x14ac:dyDescent="0.15">
      <c r="A25" s="102">
        <v>74565</v>
      </c>
      <c r="B25" s="102" t="s">
        <v>698</v>
      </c>
      <c r="C25" s="102">
        <v>19</v>
      </c>
      <c r="D25" s="102">
        <v>240381</v>
      </c>
      <c r="E25" s="102" t="s">
        <v>3185</v>
      </c>
      <c r="F25" s="102" t="s">
        <v>739</v>
      </c>
    </row>
    <row r="26" spans="1:6" x14ac:dyDescent="0.15">
      <c r="A26" s="102">
        <v>74568</v>
      </c>
      <c r="B26" s="102" t="s">
        <v>699</v>
      </c>
      <c r="C26" s="102">
        <v>23</v>
      </c>
      <c r="D26" s="102">
        <v>209244</v>
      </c>
      <c r="E26" s="102" t="s">
        <v>3187</v>
      </c>
      <c r="F26" s="102" t="s">
        <v>783</v>
      </c>
    </row>
    <row r="27" spans="1:6" x14ac:dyDescent="0.15">
      <c r="A27" s="102">
        <v>74568</v>
      </c>
      <c r="B27" s="102" t="s">
        <v>699</v>
      </c>
      <c r="C27" s="102">
        <v>23</v>
      </c>
      <c r="D27" s="102">
        <v>209258</v>
      </c>
      <c r="E27" s="102" t="s">
        <v>3188</v>
      </c>
      <c r="F27" s="102" t="s">
        <v>790</v>
      </c>
    </row>
    <row r="28" spans="1:6" x14ac:dyDescent="0.15">
      <c r="A28" s="102">
        <v>74565</v>
      </c>
      <c r="B28" s="102" t="s">
        <v>698</v>
      </c>
      <c r="C28" s="102">
        <v>19</v>
      </c>
      <c r="D28" s="102">
        <v>240384</v>
      </c>
      <c r="E28" s="102" t="s">
        <v>3189</v>
      </c>
      <c r="F28" s="102" t="s">
        <v>753</v>
      </c>
    </row>
    <row r="29" spans="1:6" x14ac:dyDescent="0.15">
      <c r="A29" s="102">
        <v>74497</v>
      </c>
      <c r="B29" s="102" t="s">
        <v>695</v>
      </c>
      <c r="C29" s="102">
        <v>11</v>
      </c>
      <c r="D29" s="102">
        <v>240363</v>
      </c>
      <c r="E29" s="102" t="s">
        <v>3191</v>
      </c>
      <c r="F29" s="102" t="s">
        <v>708</v>
      </c>
    </row>
    <row r="30" spans="1:6" x14ac:dyDescent="0.15">
      <c r="A30" s="102">
        <v>58723</v>
      </c>
      <c r="B30" s="102" t="s">
        <v>692</v>
      </c>
      <c r="C30" s="102">
        <v>6</v>
      </c>
      <c r="D30" s="102">
        <v>58732</v>
      </c>
      <c r="E30" s="102" t="s">
        <v>3193</v>
      </c>
      <c r="F30" s="102" t="s">
        <v>770</v>
      </c>
    </row>
    <row r="31" spans="1:6" x14ac:dyDescent="0.15">
      <c r="A31" s="102">
        <v>74568</v>
      </c>
      <c r="B31" s="102" t="s">
        <v>699</v>
      </c>
      <c r="C31" s="102">
        <v>23</v>
      </c>
      <c r="D31" s="102">
        <v>209253</v>
      </c>
      <c r="E31" s="102" t="s">
        <v>3194</v>
      </c>
      <c r="F31" s="102" t="s">
        <v>796</v>
      </c>
    </row>
    <row r="32" spans="1:6" x14ac:dyDescent="0.15">
      <c r="A32" s="102">
        <v>240366</v>
      </c>
      <c r="B32" s="102" t="s">
        <v>703</v>
      </c>
      <c r="C32" s="102">
        <v>15</v>
      </c>
      <c r="D32" s="102">
        <v>240395</v>
      </c>
      <c r="E32" s="102" t="s">
        <v>3195</v>
      </c>
      <c r="F32" s="102" t="s">
        <v>731</v>
      </c>
    </row>
    <row r="33" spans="1:6" x14ac:dyDescent="0.15">
      <c r="A33" s="102">
        <v>240366</v>
      </c>
      <c r="B33" s="102" t="s">
        <v>703</v>
      </c>
      <c r="C33" s="102">
        <v>15</v>
      </c>
      <c r="D33" s="102">
        <v>240393</v>
      </c>
      <c r="E33" s="102" t="s">
        <v>3197</v>
      </c>
      <c r="F33" s="102" t="s">
        <v>745</v>
      </c>
    </row>
    <row r="34" spans="1:6" x14ac:dyDescent="0.15">
      <c r="A34" s="102">
        <v>74521</v>
      </c>
      <c r="B34" s="102" t="s">
        <v>696</v>
      </c>
      <c r="C34" s="102">
        <v>12</v>
      </c>
      <c r="D34" s="102">
        <v>74610</v>
      </c>
      <c r="E34" s="102" t="s">
        <v>3199</v>
      </c>
      <c r="F34" s="102" t="s">
        <v>723</v>
      </c>
    </row>
    <row r="35" spans="1:6" x14ac:dyDescent="0.15">
      <c r="A35" s="102">
        <v>74497</v>
      </c>
      <c r="B35" s="102" t="s">
        <v>695</v>
      </c>
      <c r="C35" s="102">
        <v>11</v>
      </c>
      <c r="D35" s="102">
        <v>240364</v>
      </c>
      <c r="E35" s="102" t="s">
        <v>3200</v>
      </c>
      <c r="F35" s="102" t="s">
        <v>722</v>
      </c>
    </row>
    <row r="36" spans="1:6" x14ac:dyDescent="0.15">
      <c r="A36" s="102">
        <v>74574</v>
      </c>
      <c r="B36" s="102" t="s">
        <v>36</v>
      </c>
      <c r="C36" s="102">
        <v>6</v>
      </c>
      <c r="D36" s="102">
        <v>75065</v>
      </c>
      <c r="E36" s="102" t="s">
        <v>3202</v>
      </c>
      <c r="F36" s="102" t="s">
        <v>714</v>
      </c>
    </row>
    <row r="37" spans="1:6" x14ac:dyDescent="0.15">
      <c r="A37" s="102">
        <v>74206</v>
      </c>
      <c r="B37" s="102" t="s">
        <v>694</v>
      </c>
      <c r="C37" s="102">
        <v>10</v>
      </c>
      <c r="D37" s="102">
        <v>74812</v>
      </c>
      <c r="E37" s="102" t="s">
        <v>3204</v>
      </c>
      <c r="F37" s="102" t="s">
        <v>761</v>
      </c>
    </row>
    <row r="38" spans="1:6" x14ac:dyDescent="0.15">
      <c r="A38" s="102">
        <v>74568</v>
      </c>
      <c r="B38" s="102" t="s">
        <v>699</v>
      </c>
      <c r="C38" s="102">
        <v>23</v>
      </c>
      <c r="D38" s="102">
        <v>74712</v>
      </c>
      <c r="E38" s="102" t="s">
        <v>3206</v>
      </c>
      <c r="F38" s="102" t="s">
        <v>802</v>
      </c>
    </row>
    <row r="39" spans="1:6" x14ac:dyDescent="0.15">
      <c r="A39" s="102">
        <v>74497</v>
      </c>
      <c r="B39" s="102" t="s">
        <v>695</v>
      </c>
      <c r="C39" s="102">
        <v>11</v>
      </c>
      <c r="D39" s="102">
        <v>74193</v>
      </c>
      <c r="E39" s="102" t="s">
        <v>3208</v>
      </c>
      <c r="F39" s="102" t="s">
        <v>736</v>
      </c>
    </row>
    <row r="40" spans="1:6" x14ac:dyDescent="0.15">
      <c r="A40" s="102">
        <v>74497</v>
      </c>
      <c r="B40" s="102" t="s">
        <v>695</v>
      </c>
      <c r="C40" s="102">
        <v>11</v>
      </c>
      <c r="D40" s="102">
        <v>240365</v>
      </c>
      <c r="E40" s="102" t="s">
        <v>3210</v>
      </c>
      <c r="F40" s="102" t="s">
        <v>750</v>
      </c>
    </row>
    <row r="41" spans="1:6" x14ac:dyDescent="0.15">
      <c r="A41" s="102">
        <v>240366</v>
      </c>
      <c r="B41" s="102" t="s">
        <v>703</v>
      </c>
      <c r="C41" s="102">
        <v>15</v>
      </c>
      <c r="D41" s="102">
        <v>74849</v>
      </c>
      <c r="E41" s="102" t="s">
        <v>3212</v>
      </c>
      <c r="F41" s="102" t="s">
        <v>61</v>
      </c>
    </row>
    <row r="42" spans="1:6" x14ac:dyDescent="0.15">
      <c r="A42" s="102">
        <v>58730</v>
      </c>
      <c r="B42" s="102" t="s">
        <v>693</v>
      </c>
      <c r="C42" s="102">
        <v>5</v>
      </c>
      <c r="D42" s="102">
        <v>58734</v>
      </c>
      <c r="E42" s="102" t="s">
        <v>3214</v>
      </c>
      <c r="F42" s="102" t="s">
        <v>720</v>
      </c>
    </row>
    <row r="43" spans="1:6" x14ac:dyDescent="0.15">
      <c r="A43" s="102">
        <v>58730</v>
      </c>
      <c r="B43" s="102" t="s">
        <v>693</v>
      </c>
      <c r="C43" s="102">
        <v>5</v>
      </c>
      <c r="D43" s="102">
        <v>74862</v>
      </c>
      <c r="E43" s="102" t="s">
        <v>3215</v>
      </c>
      <c r="F43" s="102" t="s">
        <v>734</v>
      </c>
    </row>
    <row r="44" spans="1:6" x14ac:dyDescent="0.15">
      <c r="A44" s="102">
        <v>240366</v>
      </c>
      <c r="B44" s="102" t="s">
        <v>703</v>
      </c>
      <c r="C44" s="102">
        <v>15</v>
      </c>
      <c r="D44" s="102">
        <v>240398</v>
      </c>
      <c r="E44" s="102" t="s">
        <v>3216</v>
      </c>
      <c r="F44" s="102" t="s">
        <v>769</v>
      </c>
    </row>
    <row r="45" spans="1:6" x14ac:dyDescent="0.15">
      <c r="A45" s="102">
        <v>74206</v>
      </c>
      <c r="B45" s="102" t="s">
        <v>694</v>
      </c>
      <c r="C45" s="102">
        <v>10</v>
      </c>
      <c r="D45" s="102">
        <v>74817</v>
      </c>
      <c r="E45" s="102" t="s">
        <v>3218</v>
      </c>
      <c r="F45" s="102" t="s">
        <v>771</v>
      </c>
    </row>
    <row r="46" spans="1:6" x14ac:dyDescent="0.15">
      <c r="A46" s="102">
        <v>74565</v>
      </c>
      <c r="B46" s="102" t="s">
        <v>698</v>
      </c>
      <c r="C46" s="102">
        <v>19</v>
      </c>
      <c r="D46" s="102">
        <v>240387</v>
      </c>
      <c r="E46" s="102" t="s">
        <v>3219</v>
      </c>
      <c r="F46" s="102" t="s">
        <v>765</v>
      </c>
    </row>
    <row r="47" spans="1:6" x14ac:dyDescent="0.15">
      <c r="A47" s="102">
        <v>240366</v>
      </c>
      <c r="B47" s="102" t="s">
        <v>703</v>
      </c>
      <c r="C47" s="102">
        <v>15</v>
      </c>
      <c r="D47" s="102">
        <v>240392</v>
      </c>
      <c r="E47" s="102" t="s">
        <v>3221</v>
      </c>
      <c r="F47" s="102" t="s">
        <v>778</v>
      </c>
    </row>
    <row r="48" spans="1:6" x14ac:dyDescent="0.15">
      <c r="A48" s="102">
        <v>74565</v>
      </c>
      <c r="B48" s="102" t="s">
        <v>698</v>
      </c>
      <c r="C48" s="102">
        <v>19</v>
      </c>
      <c r="D48" s="102">
        <v>240372</v>
      </c>
      <c r="E48" s="102" t="s">
        <v>3223</v>
      </c>
      <c r="F48" s="102" t="s">
        <v>774</v>
      </c>
    </row>
    <row r="49" spans="1:6" x14ac:dyDescent="0.15">
      <c r="A49" s="102">
        <v>74568</v>
      </c>
      <c r="B49" s="102" t="s">
        <v>699</v>
      </c>
      <c r="C49" s="102">
        <v>23</v>
      </c>
      <c r="D49" s="102">
        <v>74723</v>
      </c>
      <c r="E49" s="102" t="s">
        <v>3225</v>
      </c>
      <c r="F49" s="102" t="s">
        <v>807</v>
      </c>
    </row>
    <row r="50" spans="1:6" x14ac:dyDescent="0.15">
      <c r="A50" s="102">
        <v>74497</v>
      </c>
      <c r="B50" s="102" t="s">
        <v>695</v>
      </c>
      <c r="C50" s="102">
        <v>11</v>
      </c>
      <c r="D50" s="102">
        <v>74676</v>
      </c>
      <c r="E50" s="102" t="s">
        <v>3226</v>
      </c>
      <c r="F50" s="102" t="s">
        <v>762</v>
      </c>
    </row>
    <row r="51" spans="1:6" x14ac:dyDescent="0.15">
      <c r="A51" s="102">
        <v>74565</v>
      </c>
      <c r="B51" s="102" t="s">
        <v>698</v>
      </c>
      <c r="C51" s="102">
        <v>19</v>
      </c>
      <c r="D51" s="102">
        <v>240386</v>
      </c>
      <c r="E51" s="102" t="s">
        <v>3228</v>
      </c>
      <c r="F51" s="102" t="s">
        <v>782</v>
      </c>
    </row>
    <row r="52" spans="1:6" x14ac:dyDescent="0.15">
      <c r="A52" s="102">
        <v>74565</v>
      </c>
      <c r="B52" s="102" t="s">
        <v>698</v>
      </c>
      <c r="C52" s="102">
        <v>19</v>
      </c>
      <c r="D52" s="102">
        <v>240385</v>
      </c>
      <c r="E52" s="102" t="s">
        <v>3230</v>
      </c>
      <c r="F52" s="102" t="s">
        <v>789</v>
      </c>
    </row>
    <row r="53" spans="1:6" x14ac:dyDescent="0.15">
      <c r="A53" s="102">
        <v>74573</v>
      </c>
      <c r="B53" s="102" t="s">
        <v>700</v>
      </c>
      <c r="C53" s="102">
        <v>4</v>
      </c>
      <c r="D53" s="102">
        <v>75050</v>
      </c>
      <c r="E53" s="102" t="s">
        <v>3231</v>
      </c>
      <c r="F53" s="102" t="s">
        <v>713</v>
      </c>
    </row>
    <row r="54" spans="1:6" x14ac:dyDescent="0.15">
      <c r="A54" s="102">
        <v>240366</v>
      </c>
      <c r="B54" s="102" t="s">
        <v>703</v>
      </c>
      <c r="C54" s="102">
        <v>15</v>
      </c>
      <c r="D54" s="102">
        <v>240401</v>
      </c>
      <c r="E54" s="102" t="s">
        <v>3232</v>
      </c>
      <c r="F54" s="102" t="s">
        <v>785</v>
      </c>
    </row>
    <row r="55" spans="1:6" x14ac:dyDescent="0.15">
      <c r="A55" s="102">
        <v>240366</v>
      </c>
      <c r="B55" s="102" t="s">
        <v>703</v>
      </c>
      <c r="C55" s="102">
        <v>15</v>
      </c>
      <c r="D55" s="102">
        <v>240402</v>
      </c>
      <c r="E55" s="102" t="s">
        <v>3234</v>
      </c>
      <c r="F55" s="102" t="s">
        <v>791</v>
      </c>
    </row>
    <row r="56" spans="1:6" x14ac:dyDescent="0.15">
      <c r="A56" s="102">
        <v>74521</v>
      </c>
      <c r="B56" s="102" t="s">
        <v>696</v>
      </c>
      <c r="C56" s="102">
        <v>12</v>
      </c>
      <c r="D56" s="102">
        <v>74611</v>
      </c>
      <c r="E56" s="102" t="s">
        <v>3236</v>
      </c>
      <c r="F56" s="102" t="s">
        <v>737</v>
      </c>
    </row>
    <row r="57" spans="1:6" x14ac:dyDescent="0.15">
      <c r="A57" s="102">
        <v>74565</v>
      </c>
      <c r="B57" s="102" t="s">
        <v>698</v>
      </c>
      <c r="C57" s="102">
        <v>19</v>
      </c>
      <c r="D57" s="102">
        <v>240382</v>
      </c>
      <c r="E57" s="102" t="s">
        <v>3237</v>
      </c>
      <c r="F57" s="102" t="s">
        <v>795</v>
      </c>
    </row>
    <row r="58" spans="1:6" x14ac:dyDescent="0.15">
      <c r="A58" s="102">
        <v>74497</v>
      </c>
      <c r="B58" s="102" t="s">
        <v>695</v>
      </c>
      <c r="C58" s="102">
        <v>11</v>
      </c>
      <c r="D58" s="102">
        <v>74681</v>
      </c>
      <c r="E58" s="102" t="s">
        <v>3239</v>
      </c>
      <c r="F58" s="102" t="s">
        <v>772</v>
      </c>
    </row>
    <row r="59" spans="1:6" x14ac:dyDescent="0.15">
      <c r="A59" s="102">
        <v>74565</v>
      </c>
      <c r="B59" s="102" t="s">
        <v>698</v>
      </c>
      <c r="C59" s="102">
        <v>19</v>
      </c>
      <c r="D59" s="102">
        <v>240373</v>
      </c>
      <c r="E59" s="102" t="s">
        <v>3240</v>
      </c>
      <c r="F59" s="102" t="s">
        <v>801</v>
      </c>
    </row>
    <row r="60" spans="1:6" x14ac:dyDescent="0.15">
      <c r="A60" s="102">
        <v>74573</v>
      </c>
      <c r="B60" s="102" t="s">
        <v>700</v>
      </c>
      <c r="C60" s="102">
        <v>4</v>
      </c>
      <c r="D60" s="102">
        <v>75051</v>
      </c>
      <c r="E60" s="102" t="s">
        <v>3242</v>
      </c>
      <c r="F60" s="102" t="s">
        <v>727</v>
      </c>
    </row>
    <row r="61" spans="1:6" x14ac:dyDescent="0.15">
      <c r="A61" s="102">
        <v>74206</v>
      </c>
      <c r="B61" s="102" t="s">
        <v>694</v>
      </c>
      <c r="C61" s="102">
        <v>10</v>
      </c>
      <c r="D61" s="102">
        <v>74915</v>
      </c>
      <c r="E61" s="102" t="s">
        <v>3243</v>
      </c>
      <c r="F61" s="102" t="s">
        <v>779</v>
      </c>
    </row>
    <row r="62" spans="1:6" x14ac:dyDescent="0.15">
      <c r="A62" s="102">
        <v>74562</v>
      </c>
      <c r="B62" s="102" t="s">
        <v>697</v>
      </c>
      <c r="C62" s="102">
        <v>5</v>
      </c>
      <c r="D62" s="102">
        <v>74920</v>
      </c>
      <c r="E62" s="102" t="s">
        <v>3245</v>
      </c>
      <c r="F62" s="102" t="s">
        <v>710</v>
      </c>
    </row>
    <row r="63" spans="1:6" x14ac:dyDescent="0.15">
      <c r="A63" s="102">
        <v>74574</v>
      </c>
      <c r="B63" s="102" t="s">
        <v>36</v>
      </c>
      <c r="C63" s="102">
        <v>6</v>
      </c>
      <c r="D63" s="102">
        <v>75091</v>
      </c>
      <c r="E63" s="102" t="s">
        <v>3246</v>
      </c>
      <c r="F63" s="102" t="s">
        <v>728</v>
      </c>
    </row>
    <row r="64" spans="1:6" x14ac:dyDescent="0.15">
      <c r="A64" s="102">
        <v>74574</v>
      </c>
      <c r="B64" s="102" t="s">
        <v>36</v>
      </c>
      <c r="C64" s="102">
        <v>6</v>
      </c>
      <c r="D64" s="102">
        <v>75092</v>
      </c>
      <c r="E64" s="102" t="s">
        <v>3247</v>
      </c>
      <c r="F64" s="102" t="s">
        <v>742</v>
      </c>
    </row>
    <row r="65" spans="1:6" x14ac:dyDescent="0.15">
      <c r="A65" s="102">
        <v>74206</v>
      </c>
      <c r="B65" s="102" t="s">
        <v>694</v>
      </c>
      <c r="C65" s="102">
        <v>10</v>
      </c>
      <c r="D65" s="102">
        <v>74818</v>
      </c>
      <c r="E65" s="102" t="s">
        <v>3248</v>
      </c>
      <c r="F65" s="102" t="s">
        <v>786</v>
      </c>
    </row>
    <row r="66" spans="1:6" x14ac:dyDescent="0.15">
      <c r="A66" s="102">
        <v>74565</v>
      </c>
      <c r="B66" s="102" t="s">
        <v>698</v>
      </c>
      <c r="C66" s="102">
        <v>19</v>
      </c>
      <c r="D66" s="102">
        <v>240377</v>
      </c>
      <c r="E66" s="102" t="s">
        <v>3249</v>
      </c>
      <c r="F66" s="102" t="s">
        <v>806</v>
      </c>
    </row>
    <row r="67" spans="1:6" x14ac:dyDescent="0.15">
      <c r="A67" s="102">
        <v>240368</v>
      </c>
      <c r="B67" s="102" t="s">
        <v>704</v>
      </c>
      <c r="C67" s="102">
        <v>3</v>
      </c>
      <c r="D67" s="102">
        <v>240367</v>
      </c>
      <c r="E67" s="102" t="s">
        <v>3251</v>
      </c>
      <c r="F67" s="102" t="s">
        <v>718</v>
      </c>
    </row>
    <row r="68" spans="1:6" x14ac:dyDescent="0.15">
      <c r="A68" s="102">
        <v>74521</v>
      </c>
      <c r="B68" s="102" t="s">
        <v>696</v>
      </c>
      <c r="C68" s="102">
        <v>12</v>
      </c>
      <c r="D68" s="102">
        <v>240352</v>
      </c>
      <c r="E68" s="102" t="s">
        <v>3253</v>
      </c>
      <c r="F68" s="102" t="s">
        <v>751</v>
      </c>
    </row>
    <row r="69" spans="1:6" x14ac:dyDescent="0.15">
      <c r="A69" s="102">
        <v>74565</v>
      </c>
      <c r="B69" s="102" t="s">
        <v>698</v>
      </c>
      <c r="C69" s="102">
        <v>19</v>
      </c>
      <c r="D69" s="102">
        <v>240379</v>
      </c>
      <c r="E69" s="102" t="s">
        <v>3255</v>
      </c>
      <c r="F69" s="102" t="s">
        <v>810</v>
      </c>
    </row>
    <row r="70" spans="1:6" x14ac:dyDescent="0.15">
      <c r="A70" s="102">
        <v>74565</v>
      </c>
      <c r="B70" s="102" t="s">
        <v>698</v>
      </c>
      <c r="C70" s="102">
        <v>19</v>
      </c>
      <c r="D70" s="102">
        <v>240378</v>
      </c>
      <c r="E70" s="102" t="s">
        <v>3257</v>
      </c>
      <c r="F70" s="102" t="s">
        <v>813</v>
      </c>
    </row>
    <row r="71" spans="1:6" x14ac:dyDescent="0.15">
      <c r="A71" s="102">
        <v>74565</v>
      </c>
      <c r="B71" s="102" t="s">
        <v>698</v>
      </c>
      <c r="C71" s="102">
        <v>19</v>
      </c>
      <c r="D71" s="102">
        <v>74952</v>
      </c>
      <c r="E71" s="102" t="s">
        <v>3259</v>
      </c>
      <c r="F71" s="102" t="s">
        <v>816</v>
      </c>
    </row>
    <row r="72" spans="1:6" x14ac:dyDescent="0.15">
      <c r="A72" s="102">
        <v>74565</v>
      </c>
      <c r="B72" s="102" t="s">
        <v>698</v>
      </c>
      <c r="C72" s="102">
        <v>19</v>
      </c>
      <c r="D72" s="102">
        <v>240380</v>
      </c>
      <c r="E72" s="102" t="s">
        <v>3260</v>
      </c>
      <c r="F72" s="102" t="s">
        <v>819</v>
      </c>
    </row>
    <row r="73" spans="1:6" x14ac:dyDescent="0.15">
      <c r="A73" s="102">
        <v>155019</v>
      </c>
      <c r="B73" s="102" t="s">
        <v>702</v>
      </c>
      <c r="C73" s="102">
        <v>5</v>
      </c>
      <c r="D73" s="102">
        <v>102769</v>
      </c>
      <c r="E73" s="102" t="s">
        <v>3261</v>
      </c>
      <c r="F73" s="102" t="s">
        <v>744</v>
      </c>
    </row>
    <row r="74" spans="1:6" x14ac:dyDescent="0.15">
      <c r="A74" s="102">
        <v>74521</v>
      </c>
      <c r="B74" s="102" t="s">
        <v>696</v>
      </c>
      <c r="C74" s="102">
        <v>12</v>
      </c>
      <c r="D74" s="102">
        <v>74622</v>
      </c>
      <c r="E74" s="102" t="s">
        <v>3262</v>
      </c>
      <c r="F74" s="102" t="s">
        <v>763</v>
      </c>
    </row>
    <row r="75" spans="1:6" x14ac:dyDescent="0.15">
      <c r="A75" s="102">
        <v>74562</v>
      </c>
      <c r="B75" s="102" t="s">
        <v>697</v>
      </c>
      <c r="C75" s="102">
        <v>5</v>
      </c>
      <c r="D75" s="102">
        <v>74933</v>
      </c>
      <c r="E75" s="102" t="s">
        <v>3263</v>
      </c>
      <c r="F75" s="102" t="s">
        <v>724</v>
      </c>
    </row>
    <row r="76" spans="1:6" x14ac:dyDescent="0.15">
      <c r="A76" s="102">
        <v>74497</v>
      </c>
      <c r="B76" s="102" t="s">
        <v>695</v>
      </c>
      <c r="C76" s="102">
        <v>11</v>
      </c>
      <c r="D76" s="102">
        <v>74983</v>
      </c>
      <c r="E76" s="102" t="s">
        <v>3264</v>
      </c>
      <c r="F76" s="102" t="s">
        <v>780</v>
      </c>
    </row>
    <row r="77" spans="1:6" x14ac:dyDescent="0.15">
      <c r="A77" s="102">
        <v>155019</v>
      </c>
      <c r="B77" s="102" t="s">
        <v>702</v>
      </c>
      <c r="C77" s="102">
        <v>5</v>
      </c>
      <c r="D77" s="102">
        <v>102768</v>
      </c>
      <c r="E77" s="102" t="s">
        <v>3266</v>
      </c>
      <c r="F77" s="102" t="s">
        <v>758</v>
      </c>
    </row>
    <row r="78" spans="1:6" x14ac:dyDescent="0.15">
      <c r="A78" s="102">
        <v>74565</v>
      </c>
      <c r="B78" s="102" t="s">
        <v>698</v>
      </c>
      <c r="C78" s="102">
        <v>19</v>
      </c>
      <c r="D78" s="102">
        <v>240376</v>
      </c>
      <c r="E78" s="102" t="s">
        <v>3267</v>
      </c>
      <c r="F78" s="102" t="s">
        <v>822</v>
      </c>
    </row>
    <row r="79" spans="1:6" x14ac:dyDescent="0.15">
      <c r="A79" s="102">
        <v>74206</v>
      </c>
      <c r="B79" s="102" t="s">
        <v>694</v>
      </c>
      <c r="C79" s="102">
        <v>10</v>
      </c>
      <c r="D79" s="102">
        <v>82844</v>
      </c>
      <c r="E79" s="102" t="s">
        <v>3269</v>
      </c>
      <c r="F79" s="102" t="s">
        <v>792</v>
      </c>
    </row>
    <row r="80" spans="1:6" x14ac:dyDescent="0.15">
      <c r="A80" s="102">
        <v>74562</v>
      </c>
      <c r="B80" s="102" t="s">
        <v>697</v>
      </c>
      <c r="C80" s="102">
        <v>5</v>
      </c>
      <c r="D80" s="102">
        <v>74940</v>
      </c>
      <c r="E80" s="102" t="s">
        <v>3270</v>
      </c>
      <c r="F80" s="102" t="s">
        <v>738</v>
      </c>
    </row>
    <row r="81" spans="1:6" x14ac:dyDescent="0.15">
      <c r="A81" s="102">
        <v>74565</v>
      </c>
      <c r="B81" s="102" t="s">
        <v>698</v>
      </c>
      <c r="C81" s="102">
        <v>19</v>
      </c>
      <c r="D81" s="102">
        <v>246801</v>
      </c>
      <c r="E81" s="102" t="s">
        <v>3271</v>
      </c>
      <c r="F81" s="102" t="s">
        <v>824</v>
      </c>
    </row>
    <row r="82" spans="1:6" x14ac:dyDescent="0.15">
      <c r="A82" s="102">
        <v>58730</v>
      </c>
      <c r="B82" s="102" t="s">
        <v>693</v>
      </c>
      <c r="C82" s="102">
        <v>5</v>
      </c>
      <c r="D82" s="102">
        <v>74882</v>
      </c>
      <c r="E82" s="102" t="s">
        <v>3273</v>
      </c>
      <c r="F82" s="102" t="s">
        <v>748</v>
      </c>
    </row>
    <row r="83" spans="1:6" x14ac:dyDescent="0.15">
      <c r="A83" s="102">
        <v>240368</v>
      </c>
      <c r="B83" s="102" t="s">
        <v>704</v>
      </c>
      <c r="C83" s="102">
        <v>3</v>
      </c>
      <c r="D83" s="102">
        <v>240369</v>
      </c>
      <c r="E83" s="102" t="s">
        <v>3274</v>
      </c>
      <c r="F83" s="102" t="s">
        <v>732</v>
      </c>
    </row>
    <row r="84" spans="1:6" x14ac:dyDescent="0.15">
      <c r="A84" s="102">
        <v>74497</v>
      </c>
      <c r="B84" s="102" t="s">
        <v>695</v>
      </c>
      <c r="C84" s="102">
        <v>11</v>
      </c>
      <c r="D84" s="102">
        <v>74986</v>
      </c>
      <c r="E84" s="102" t="s">
        <v>3276</v>
      </c>
      <c r="F84" s="102" t="s">
        <v>787</v>
      </c>
    </row>
    <row r="85" spans="1:6" x14ac:dyDescent="0.15">
      <c r="A85" s="102">
        <v>74577</v>
      </c>
      <c r="B85" s="102" t="s">
        <v>701</v>
      </c>
      <c r="C85" s="102">
        <v>7</v>
      </c>
      <c r="D85" s="102">
        <v>75119</v>
      </c>
      <c r="E85" s="102" t="s">
        <v>3277</v>
      </c>
      <c r="F85" s="102" t="s">
        <v>729</v>
      </c>
    </row>
    <row r="86" spans="1:6" x14ac:dyDescent="0.15">
      <c r="A86" s="102">
        <v>74574</v>
      </c>
      <c r="B86" s="102" t="s">
        <v>36</v>
      </c>
      <c r="C86" s="102">
        <v>6</v>
      </c>
      <c r="D86" s="102">
        <v>75093</v>
      </c>
      <c r="E86" s="102" t="s">
        <v>3278</v>
      </c>
      <c r="F86" s="102" t="s">
        <v>756</v>
      </c>
    </row>
    <row r="87" spans="1:6" x14ac:dyDescent="0.15">
      <c r="A87" s="102">
        <v>240366</v>
      </c>
      <c r="B87" s="102" t="s">
        <v>703</v>
      </c>
      <c r="C87" s="102">
        <v>15</v>
      </c>
      <c r="D87" s="102">
        <v>240394</v>
      </c>
      <c r="E87" s="102" t="s">
        <v>3279</v>
      </c>
      <c r="F87" s="102" t="s">
        <v>797</v>
      </c>
    </row>
    <row r="88" spans="1:6" x14ac:dyDescent="0.15">
      <c r="A88" s="102">
        <v>74574</v>
      </c>
      <c r="B88" s="102" t="s">
        <v>36</v>
      </c>
      <c r="C88" s="102">
        <v>6</v>
      </c>
      <c r="D88" s="102">
        <v>75106</v>
      </c>
      <c r="E88" s="102" t="s">
        <v>3280</v>
      </c>
      <c r="F88" s="102" t="s">
        <v>766</v>
      </c>
    </row>
    <row r="89" spans="1:6" x14ac:dyDescent="0.15">
      <c r="A89" s="102">
        <v>240366</v>
      </c>
      <c r="B89" s="102" t="s">
        <v>703</v>
      </c>
      <c r="C89" s="102">
        <v>15</v>
      </c>
      <c r="D89" s="102">
        <v>240406</v>
      </c>
      <c r="E89" s="102" t="s">
        <v>3281</v>
      </c>
      <c r="F89" s="102" t="s">
        <v>803</v>
      </c>
    </row>
    <row r="90" spans="1:6" x14ac:dyDescent="0.15">
      <c r="A90" s="102">
        <v>74577</v>
      </c>
      <c r="B90" s="102" t="s">
        <v>701</v>
      </c>
      <c r="C90" s="102">
        <v>7</v>
      </c>
      <c r="D90" s="102">
        <v>74865</v>
      </c>
      <c r="E90" s="102" t="s">
        <v>3282</v>
      </c>
      <c r="F90" s="102" t="s">
        <v>743</v>
      </c>
    </row>
    <row r="91" spans="1:6" x14ac:dyDescent="0.15">
      <c r="A91" s="102">
        <v>58730</v>
      </c>
      <c r="B91" s="102" t="s">
        <v>693</v>
      </c>
      <c r="C91" s="102">
        <v>5</v>
      </c>
      <c r="D91" s="102">
        <v>58733</v>
      </c>
      <c r="E91" s="102" t="s">
        <v>3284</v>
      </c>
      <c r="F91" s="102" t="s">
        <v>760</v>
      </c>
    </row>
    <row r="92" spans="1:6" x14ac:dyDescent="0.15">
      <c r="A92" s="102">
        <v>74568</v>
      </c>
      <c r="B92" s="102" t="s">
        <v>699</v>
      </c>
      <c r="C92" s="102">
        <v>23</v>
      </c>
      <c r="D92" s="102">
        <v>209254</v>
      </c>
      <c r="E92" s="102" t="s">
        <v>3285</v>
      </c>
      <c r="F92" s="102" t="s">
        <v>811</v>
      </c>
    </row>
    <row r="93" spans="1:6" x14ac:dyDescent="0.15">
      <c r="A93" s="102">
        <v>240366</v>
      </c>
      <c r="B93" s="102" t="s">
        <v>703</v>
      </c>
      <c r="C93" s="102">
        <v>15</v>
      </c>
      <c r="D93" s="102">
        <v>240404</v>
      </c>
      <c r="E93" s="102" t="s">
        <v>3286</v>
      </c>
      <c r="F93" s="102" t="s">
        <v>808</v>
      </c>
    </row>
    <row r="94" spans="1:6" x14ac:dyDescent="0.15">
      <c r="A94" s="102">
        <v>74497</v>
      </c>
      <c r="B94" s="102" t="s">
        <v>695</v>
      </c>
      <c r="C94" s="102">
        <v>11</v>
      </c>
      <c r="D94" s="102">
        <v>74993</v>
      </c>
      <c r="E94" s="102" t="s">
        <v>3288</v>
      </c>
      <c r="F94" s="102" t="s">
        <v>793</v>
      </c>
    </row>
    <row r="95" spans="1:6" x14ac:dyDescent="0.15">
      <c r="A95" s="102">
        <v>74497</v>
      </c>
      <c r="B95" s="102" t="s">
        <v>695</v>
      </c>
      <c r="C95" s="102">
        <v>11</v>
      </c>
      <c r="D95" s="102">
        <v>240362</v>
      </c>
      <c r="E95" s="102" t="s">
        <v>3290</v>
      </c>
      <c r="F95" s="102" t="s">
        <v>799</v>
      </c>
    </row>
    <row r="96" spans="1:6" x14ac:dyDescent="0.15">
      <c r="A96" s="102">
        <v>74521</v>
      </c>
      <c r="B96" s="102" t="s">
        <v>696</v>
      </c>
      <c r="C96" s="102">
        <v>12</v>
      </c>
      <c r="D96" s="102">
        <v>240354</v>
      </c>
      <c r="E96" s="102" t="s">
        <v>3292</v>
      </c>
      <c r="F96" s="102" t="s">
        <v>773</v>
      </c>
    </row>
    <row r="97" spans="1:6" x14ac:dyDescent="0.15">
      <c r="A97" s="102">
        <v>74521</v>
      </c>
      <c r="B97" s="102" t="s">
        <v>696</v>
      </c>
      <c r="C97" s="102">
        <v>12</v>
      </c>
      <c r="D97" s="102">
        <v>74633</v>
      </c>
      <c r="E97" s="102" t="s">
        <v>3294</v>
      </c>
      <c r="F97" s="102" t="s">
        <v>781</v>
      </c>
    </row>
    <row r="98" spans="1:6" x14ac:dyDescent="0.15">
      <c r="A98" s="102">
        <v>240368</v>
      </c>
      <c r="B98" s="102" t="s">
        <v>704</v>
      </c>
      <c r="C98" s="102">
        <v>3</v>
      </c>
      <c r="D98" s="102">
        <v>240370</v>
      </c>
      <c r="E98" s="102" t="s">
        <v>3346</v>
      </c>
      <c r="F98" s="102" t="s">
        <v>746</v>
      </c>
    </row>
    <row r="99" spans="1:6" x14ac:dyDescent="0.15">
      <c r="A99" s="102">
        <v>74565</v>
      </c>
      <c r="B99" s="102" t="s">
        <v>698</v>
      </c>
      <c r="C99" s="102">
        <v>19</v>
      </c>
      <c r="D99" s="102">
        <v>240383</v>
      </c>
      <c r="E99" s="102" t="s">
        <v>3296</v>
      </c>
      <c r="F99" s="102" t="s">
        <v>826</v>
      </c>
    </row>
    <row r="100" spans="1:6" x14ac:dyDescent="0.15">
      <c r="A100" s="102">
        <v>240366</v>
      </c>
      <c r="B100" s="102" t="s">
        <v>703</v>
      </c>
      <c r="C100" s="102">
        <v>15</v>
      </c>
      <c r="D100" s="102">
        <v>240400</v>
      </c>
      <c r="E100" s="102" t="s">
        <v>3298</v>
      </c>
      <c r="F100" s="102" t="s">
        <v>812</v>
      </c>
    </row>
    <row r="101" spans="1:6" x14ac:dyDescent="0.15">
      <c r="A101" s="102">
        <v>74577</v>
      </c>
      <c r="B101" s="102" t="s">
        <v>701</v>
      </c>
      <c r="C101" s="102">
        <v>7</v>
      </c>
      <c r="D101" s="102">
        <v>75131</v>
      </c>
      <c r="E101" s="102" t="s">
        <v>3299</v>
      </c>
      <c r="F101" s="102" t="s">
        <v>757</v>
      </c>
    </row>
    <row r="102" spans="1:6" x14ac:dyDescent="0.15">
      <c r="A102" s="102">
        <v>74562</v>
      </c>
      <c r="B102" s="102" t="s">
        <v>697</v>
      </c>
      <c r="C102" s="102">
        <v>5</v>
      </c>
      <c r="D102" s="102">
        <v>74941</v>
      </c>
      <c r="E102" s="102" t="s">
        <v>3300</v>
      </c>
      <c r="F102" s="102" t="s">
        <v>752</v>
      </c>
    </row>
    <row r="103" spans="1:6" x14ac:dyDescent="0.15">
      <c r="A103" s="102">
        <v>74577</v>
      </c>
      <c r="B103" s="102" t="s">
        <v>701</v>
      </c>
      <c r="C103" s="102">
        <v>7</v>
      </c>
      <c r="D103" s="102">
        <v>74682</v>
      </c>
      <c r="E103" s="102" t="s">
        <v>3301</v>
      </c>
      <c r="F103" s="102" t="s">
        <v>767</v>
      </c>
    </row>
    <row r="104" spans="1:6" x14ac:dyDescent="0.15">
      <c r="A104" s="102">
        <v>74206</v>
      </c>
      <c r="B104" s="102" t="s">
        <v>694</v>
      </c>
      <c r="C104" s="102">
        <v>10</v>
      </c>
      <c r="D104" s="102">
        <v>74825</v>
      </c>
      <c r="E104" s="102" t="s">
        <v>3302</v>
      </c>
      <c r="F104" s="102" t="s">
        <v>798</v>
      </c>
    </row>
    <row r="105" spans="1:6" x14ac:dyDescent="0.15">
      <c r="A105" s="102">
        <v>240366</v>
      </c>
      <c r="B105" s="102" t="s">
        <v>703</v>
      </c>
      <c r="C105" s="102">
        <v>15</v>
      </c>
      <c r="D105" s="102">
        <v>240403</v>
      </c>
      <c r="E105" s="102" t="s">
        <v>3303</v>
      </c>
      <c r="F105" s="102" t="s">
        <v>815</v>
      </c>
    </row>
    <row r="106" spans="1:6" x14ac:dyDescent="0.15">
      <c r="A106" s="102">
        <v>74521</v>
      </c>
      <c r="B106" s="102" t="s">
        <v>696</v>
      </c>
      <c r="C106" s="102">
        <v>12</v>
      </c>
      <c r="D106" s="102">
        <v>74957</v>
      </c>
      <c r="E106" s="102" t="s">
        <v>3304</v>
      </c>
      <c r="F106" s="102" t="s">
        <v>788</v>
      </c>
    </row>
    <row r="107" spans="1:6" x14ac:dyDescent="0.15">
      <c r="A107" s="102">
        <v>155019</v>
      </c>
      <c r="B107" s="102" t="s">
        <v>702</v>
      </c>
      <c r="C107" s="102">
        <v>5</v>
      </c>
      <c r="D107" s="102">
        <v>102767</v>
      </c>
      <c r="E107" s="102" t="s">
        <v>3306</v>
      </c>
      <c r="F107" s="102" t="s">
        <v>768</v>
      </c>
    </row>
    <row r="108" spans="1:6" x14ac:dyDescent="0.15">
      <c r="A108" s="102">
        <v>240366</v>
      </c>
      <c r="B108" s="102" t="s">
        <v>703</v>
      </c>
      <c r="C108" s="102">
        <v>15</v>
      </c>
      <c r="D108" s="102">
        <v>240396</v>
      </c>
      <c r="E108" s="102" t="s">
        <v>3307</v>
      </c>
      <c r="F108" s="102" t="s">
        <v>818</v>
      </c>
    </row>
    <row r="109" spans="1:6" x14ac:dyDescent="0.15">
      <c r="A109" s="102">
        <v>74562</v>
      </c>
      <c r="B109" s="102" t="s">
        <v>697</v>
      </c>
      <c r="C109" s="102">
        <v>5</v>
      </c>
      <c r="D109" s="102">
        <v>74942</v>
      </c>
      <c r="E109" s="102" t="s">
        <v>3309</v>
      </c>
      <c r="F109" s="102" t="s">
        <v>764</v>
      </c>
    </row>
    <row r="110" spans="1:6" x14ac:dyDescent="0.15">
      <c r="A110" s="102">
        <v>74568</v>
      </c>
      <c r="B110" s="102" t="s">
        <v>699</v>
      </c>
      <c r="C110" s="102">
        <v>23</v>
      </c>
      <c r="D110" s="102">
        <v>75028</v>
      </c>
      <c r="E110" s="102" t="s">
        <v>3310</v>
      </c>
      <c r="F110" s="102" t="s">
        <v>814</v>
      </c>
    </row>
    <row r="111" spans="1:6" x14ac:dyDescent="0.15">
      <c r="A111" s="102">
        <v>74568</v>
      </c>
      <c r="B111" s="102" t="s">
        <v>699</v>
      </c>
      <c r="C111" s="102">
        <v>23</v>
      </c>
      <c r="D111" s="102">
        <v>74771</v>
      </c>
      <c r="E111" s="102" t="s">
        <v>3312</v>
      </c>
      <c r="F111" s="102" t="s">
        <v>817</v>
      </c>
    </row>
    <row r="112" spans="1:6" x14ac:dyDescent="0.15">
      <c r="A112" s="102">
        <v>74568</v>
      </c>
      <c r="B112" s="102" t="s">
        <v>699</v>
      </c>
      <c r="C112" s="102">
        <v>23</v>
      </c>
      <c r="D112" s="102">
        <v>74788</v>
      </c>
      <c r="E112" s="102" t="s">
        <v>3313</v>
      </c>
      <c r="F112" s="102" t="s">
        <v>820</v>
      </c>
    </row>
    <row r="113" spans="1:6" x14ac:dyDescent="0.15">
      <c r="A113" s="102">
        <v>74568</v>
      </c>
      <c r="B113" s="102" t="s">
        <v>699</v>
      </c>
      <c r="C113" s="102">
        <v>23</v>
      </c>
      <c r="D113" s="102">
        <v>74800</v>
      </c>
      <c r="E113" s="102" t="s">
        <v>3314</v>
      </c>
      <c r="F113" s="102" t="s">
        <v>823</v>
      </c>
    </row>
    <row r="114" spans="1:6" x14ac:dyDescent="0.15">
      <c r="A114" s="102">
        <v>74568</v>
      </c>
      <c r="B114" s="102" t="s">
        <v>699</v>
      </c>
      <c r="C114" s="102">
        <v>23</v>
      </c>
      <c r="D114" s="102">
        <v>209245</v>
      </c>
      <c r="E114" s="102" t="s">
        <v>3315</v>
      </c>
      <c r="F114" s="102" t="s">
        <v>825</v>
      </c>
    </row>
    <row r="115" spans="1:6" x14ac:dyDescent="0.15">
      <c r="A115" s="102">
        <v>74565</v>
      </c>
      <c r="B115" s="102" t="s">
        <v>698</v>
      </c>
      <c r="C115" s="102">
        <v>19</v>
      </c>
      <c r="D115" s="102">
        <v>240375</v>
      </c>
      <c r="E115" s="102" t="s">
        <v>3316</v>
      </c>
      <c r="F115" s="102" t="s">
        <v>828</v>
      </c>
    </row>
    <row r="116" spans="1:6" x14ac:dyDescent="0.15">
      <c r="A116" s="102">
        <v>74521</v>
      </c>
      <c r="B116" s="102" t="s">
        <v>696</v>
      </c>
      <c r="C116" s="102">
        <v>12</v>
      </c>
      <c r="D116" s="102">
        <v>74640</v>
      </c>
      <c r="E116" s="102" t="s">
        <v>3318</v>
      </c>
      <c r="F116" s="102" t="s">
        <v>794</v>
      </c>
    </row>
    <row r="117" spans="1:6" x14ac:dyDescent="0.15">
      <c r="A117" s="102">
        <v>74521</v>
      </c>
      <c r="B117" s="102" t="s">
        <v>696</v>
      </c>
      <c r="C117" s="102">
        <v>12</v>
      </c>
      <c r="D117" s="102">
        <v>240351</v>
      </c>
      <c r="E117" s="102" t="s">
        <v>3319</v>
      </c>
      <c r="F117" s="102" t="s">
        <v>800</v>
      </c>
    </row>
    <row r="118" spans="1:6" x14ac:dyDescent="0.15">
      <c r="A118" s="102">
        <v>74568</v>
      </c>
      <c r="B118" s="102" t="s">
        <v>699</v>
      </c>
      <c r="C118" s="102">
        <v>23</v>
      </c>
      <c r="D118" s="102">
        <v>157595</v>
      </c>
      <c r="E118" s="102" t="s">
        <v>3320</v>
      </c>
      <c r="F118" s="102" t="s">
        <v>827</v>
      </c>
    </row>
    <row r="119" spans="1:6" x14ac:dyDescent="0.15">
      <c r="A119" s="102">
        <v>74568</v>
      </c>
      <c r="B119" s="102" t="s">
        <v>699</v>
      </c>
      <c r="C119" s="102">
        <v>23</v>
      </c>
      <c r="D119" s="102">
        <v>209246</v>
      </c>
      <c r="E119" s="102" t="s">
        <v>3322</v>
      </c>
      <c r="F119" s="102" t="s">
        <v>829</v>
      </c>
    </row>
    <row r="120" spans="1:6" x14ac:dyDescent="0.15">
      <c r="A120" s="102">
        <v>74573</v>
      </c>
      <c r="B120" s="102" t="s">
        <v>700</v>
      </c>
      <c r="C120" s="102">
        <v>4</v>
      </c>
      <c r="D120" s="102">
        <v>87638</v>
      </c>
      <c r="E120" s="102" t="s">
        <v>3323</v>
      </c>
      <c r="F120" s="102" t="s">
        <v>741</v>
      </c>
    </row>
    <row r="121" spans="1:6" x14ac:dyDescent="0.15">
      <c r="A121" s="102">
        <v>74568</v>
      </c>
      <c r="B121" s="102" t="s">
        <v>699</v>
      </c>
      <c r="C121" s="102">
        <v>23</v>
      </c>
      <c r="D121" s="102">
        <v>75039</v>
      </c>
      <c r="E121" s="102" t="s">
        <v>3324</v>
      </c>
      <c r="F121" s="102" t="s">
        <v>830</v>
      </c>
    </row>
    <row r="122" spans="1:6" x14ac:dyDescent="0.15">
      <c r="A122" s="102">
        <v>74521</v>
      </c>
      <c r="B122" s="102" t="s">
        <v>696</v>
      </c>
      <c r="C122" s="102">
        <v>12</v>
      </c>
      <c r="D122" s="102">
        <v>74659</v>
      </c>
      <c r="E122" s="102" t="s">
        <v>3325</v>
      </c>
      <c r="F122" s="102" t="s">
        <v>805</v>
      </c>
    </row>
    <row r="123" spans="1:6" x14ac:dyDescent="0.15">
      <c r="A123" s="102">
        <v>74574</v>
      </c>
      <c r="B123" s="102" t="s">
        <v>36</v>
      </c>
      <c r="C123" s="102">
        <v>6</v>
      </c>
      <c r="D123" s="102">
        <v>75111</v>
      </c>
      <c r="E123" s="102" t="s">
        <v>3326</v>
      </c>
      <c r="F123" s="102" t="s">
        <v>776</v>
      </c>
    </row>
    <row r="124" spans="1:6" x14ac:dyDescent="0.15">
      <c r="A124" s="102">
        <v>74521</v>
      </c>
      <c r="B124" s="102" t="s">
        <v>696</v>
      </c>
      <c r="C124" s="102">
        <v>12</v>
      </c>
      <c r="D124" s="102">
        <v>74668</v>
      </c>
      <c r="E124" s="102" t="s">
        <v>3327</v>
      </c>
      <c r="F124" s="102" t="s">
        <v>809</v>
      </c>
    </row>
    <row r="125" spans="1:6" x14ac:dyDescent="0.15">
      <c r="A125" s="102">
        <v>74577</v>
      </c>
      <c r="B125" s="102" t="s">
        <v>701</v>
      </c>
      <c r="C125" s="102">
        <v>7</v>
      </c>
      <c r="D125" s="102">
        <v>75132</v>
      </c>
      <c r="E125" s="102" t="s">
        <v>3328</v>
      </c>
      <c r="F125" s="102" t="s">
        <v>777</v>
      </c>
    </row>
    <row r="126" spans="1:6" x14ac:dyDescent="0.15">
      <c r="A126" s="102">
        <v>74568</v>
      </c>
      <c r="B126" s="102" t="s">
        <v>699</v>
      </c>
      <c r="C126" s="102">
        <v>23</v>
      </c>
      <c r="D126" s="102">
        <v>209247</v>
      </c>
      <c r="E126" s="102" t="s">
        <v>3329</v>
      </c>
      <c r="F126" s="102" t="s">
        <v>831</v>
      </c>
    </row>
    <row r="127" spans="1:6" x14ac:dyDescent="0.15">
      <c r="A127" s="102">
        <v>74577</v>
      </c>
      <c r="B127" s="102" t="s">
        <v>701</v>
      </c>
      <c r="C127" s="102">
        <v>7</v>
      </c>
      <c r="D127" s="102">
        <v>75133</v>
      </c>
      <c r="E127" s="102" t="s">
        <v>3330</v>
      </c>
      <c r="F127" s="102" t="s">
        <v>784</v>
      </c>
    </row>
    <row r="128" spans="1:6" x14ac:dyDescent="0.15">
      <c r="A128" s="102">
        <v>74568</v>
      </c>
      <c r="B128" s="102" t="s">
        <v>699</v>
      </c>
      <c r="C128" s="102">
        <v>23</v>
      </c>
      <c r="D128" s="102">
        <v>209252</v>
      </c>
      <c r="E128" s="102" t="s">
        <v>3331</v>
      </c>
      <c r="F128" s="102" t="s">
        <v>832</v>
      </c>
    </row>
    <row r="129" spans="1:6" x14ac:dyDescent="0.15">
      <c r="A129" s="102">
        <v>74568</v>
      </c>
      <c r="B129" s="102" t="s">
        <v>699</v>
      </c>
      <c r="C129" s="102">
        <v>23</v>
      </c>
      <c r="D129" s="102">
        <v>209255</v>
      </c>
      <c r="E129" s="102" t="s">
        <v>3332</v>
      </c>
      <c r="F129" s="102" t="s">
        <v>833</v>
      </c>
    </row>
    <row r="130" spans="1:6" x14ac:dyDescent="0.15">
      <c r="A130" s="102">
        <v>74573</v>
      </c>
      <c r="B130" s="102" t="s">
        <v>700</v>
      </c>
      <c r="C130" s="102">
        <v>4</v>
      </c>
      <c r="D130" s="102">
        <v>74883</v>
      </c>
      <c r="E130" s="102" t="s">
        <v>3333</v>
      </c>
      <c r="F130" s="102" t="s">
        <v>755</v>
      </c>
    </row>
    <row r="131" spans="1:6" x14ac:dyDescent="0.15">
      <c r="A131" s="102">
        <v>240366</v>
      </c>
      <c r="B131" s="102" t="s">
        <v>703</v>
      </c>
      <c r="C131" s="102">
        <v>15</v>
      </c>
      <c r="D131" s="102">
        <v>240399</v>
      </c>
      <c r="E131" s="102" t="s">
        <v>3335</v>
      </c>
      <c r="F131" s="102" t="s">
        <v>821</v>
      </c>
    </row>
    <row r="132" spans="1:6" x14ac:dyDescent="0.15">
      <c r="A132" s="102">
        <v>74497</v>
      </c>
      <c r="B132" s="102" t="s">
        <v>695</v>
      </c>
      <c r="C132" s="102">
        <v>11</v>
      </c>
      <c r="D132" s="102">
        <v>242054</v>
      </c>
      <c r="E132" s="102" t="s">
        <v>3337</v>
      </c>
      <c r="F132" s="102" t="s">
        <v>804</v>
      </c>
    </row>
    <row r="133" spans="1:6" x14ac:dyDescent="0.15">
      <c r="A133" s="102"/>
      <c r="B133" s="102"/>
      <c r="C133" s="102"/>
      <c r="D133" s="102"/>
      <c r="E133" s="102"/>
      <c r="F133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12"/>
  <dimension ref="A1:E32"/>
  <sheetViews>
    <sheetView topLeftCell="A4" workbookViewId="0">
      <selection activeCell="A2" sqref="A2:D32"/>
    </sheetView>
  </sheetViews>
  <sheetFormatPr baseColWidth="10" defaultColWidth="11" defaultRowHeight="13" x14ac:dyDescent="0.15"/>
  <cols>
    <col min="1" max="1" width="30" bestFit="1" customWidth="1"/>
    <col min="2" max="2" width="25.5" bestFit="1" customWidth="1"/>
    <col min="3" max="3" width="6.83203125" bestFit="1" customWidth="1"/>
    <col min="4" max="4" width="30" bestFit="1" customWidth="1"/>
    <col min="5" max="5" width="11.1640625" customWidth="1"/>
  </cols>
  <sheetData>
    <row r="1" spans="1:5" x14ac:dyDescent="0.15">
      <c r="A1" s="2" t="s">
        <v>1097</v>
      </c>
      <c r="B1" s="2" t="s">
        <v>1098</v>
      </c>
      <c r="C1" s="2" t="s">
        <v>168</v>
      </c>
      <c r="D1" s="2" t="s">
        <v>838</v>
      </c>
      <c r="E1" s="2" t="s">
        <v>1099</v>
      </c>
    </row>
    <row r="2" spans="1:5" x14ac:dyDescent="0.15">
      <c r="A2" s="102" t="s">
        <v>90</v>
      </c>
      <c r="B2" s="102" t="s">
        <v>3347</v>
      </c>
      <c r="C2" s="102">
        <v>172590</v>
      </c>
      <c r="D2" s="102" t="s">
        <v>90</v>
      </c>
      <c r="E2" s="102"/>
    </row>
    <row r="3" spans="1:5" x14ac:dyDescent="0.15">
      <c r="A3" s="102" t="s">
        <v>3348</v>
      </c>
      <c r="B3" s="102" t="s">
        <v>3349</v>
      </c>
      <c r="C3" s="102">
        <v>172579</v>
      </c>
      <c r="D3" s="102" t="s">
        <v>3348</v>
      </c>
      <c r="E3" s="102"/>
    </row>
    <row r="4" spans="1:5" x14ac:dyDescent="0.15">
      <c r="A4" s="102" t="s">
        <v>3350</v>
      </c>
      <c r="B4" s="102" t="s">
        <v>3351</v>
      </c>
      <c r="C4" s="102">
        <v>172591</v>
      </c>
      <c r="D4" s="102" t="s">
        <v>3350</v>
      </c>
      <c r="E4" s="102"/>
    </row>
    <row r="5" spans="1:5" x14ac:dyDescent="0.15">
      <c r="A5" s="102" t="s">
        <v>3352</v>
      </c>
      <c r="B5" s="102" t="s">
        <v>3353</v>
      </c>
      <c r="C5" s="102">
        <v>229027</v>
      </c>
      <c r="D5" s="102" t="s">
        <v>3352</v>
      </c>
      <c r="E5" s="102"/>
    </row>
    <row r="6" spans="1:5" x14ac:dyDescent="0.15">
      <c r="A6" s="102" t="s">
        <v>3354</v>
      </c>
      <c r="B6" s="102" t="s">
        <v>3355</v>
      </c>
      <c r="C6" s="102">
        <v>165326</v>
      </c>
      <c r="D6" s="102" t="s">
        <v>3354</v>
      </c>
      <c r="E6" s="102"/>
    </row>
    <row r="7" spans="1:5" x14ac:dyDescent="0.15">
      <c r="A7" s="102" t="s">
        <v>3356</v>
      </c>
      <c r="B7" s="102" t="s">
        <v>3357</v>
      </c>
      <c r="C7" s="102">
        <v>172597</v>
      </c>
      <c r="D7" s="102" t="s">
        <v>3356</v>
      </c>
      <c r="E7" s="102"/>
    </row>
    <row r="8" spans="1:5" x14ac:dyDescent="0.15">
      <c r="A8" s="102" t="s">
        <v>3358</v>
      </c>
      <c r="B8" s="102" t="s">
        <v>3359</v>
      </c>
      <c r="C8" s="102">
        <v>237099</v>
      </c>
      <c r="D8" s="102" t="s">
        <v>3358</v>
      </c>
      <c r="E8" s="102"/>
    </row>
    <row r="9" spans="1:5" x14ac:dyDescent="0.15">
      <c r="A9" s="102" t="s">
        <v>3360</v>
      </c>
      <c r="B9" s="102" t="s">
        <v>3361</v>
      </c>
      <c r="C9" s="102">
        <v>229515</v>
      </c>
      <c r="D9" s="102" t="s">
        <v>3360</v>
      </c>
      <c r="E9" s="102"/>
    </row>
    <row r="10" spans="1:5" x14ac:dyDescent="0.15">
      <c r="A10" s="102" t="s">
        <v>3362</v>
      </c>
      <c r="B10" s="102" t="s">
        <v>3363</v>
      </c>
      <c r="C10" s="102">
        <v>165329</v>
      </c>
      <c r="D10" s="102" t="s">
        <v>3362</v>
      </c>
      <c r="E10" s="102"/>
    </row>
    <row r="11" spans="1:5" x14ac:dyDescent="0.15">
      <c r="A11" s="102" t="s">
        <v>135</v>
      </c>
      <c r="B11" s="102" t="s">
        <v>3364</v>
      </c>
      <c r="C11" s="102">
        <v>165319</v>
      </c>
      <c r="D11" s="102" t="s">
        <v>135</v>
      </c>
      <c r="E11" s="102"/>
    </row>
    <row r="12" spans="1:5" x14ac:dyDescent="0.15">
      <c r="A12" s="102" t="s">
        <v>3365</v>
      </c>
      <c r="B12" s="102" t="s">
        <v>3366</v>
      </c>
      <c r="C12" s="102">
        <v>172580</v>
      </c>
      <c r="D12" s="102" t="s">
        <v>3365</v>
      </c>
      <c r="E12" s="102"/>
    </row>
    <row r="13" spans="1:5" x14ac:dyDescent="0.15">
      <c r="A13" s="102" t="s">
        <v>3367</v>
      </c>
      <c r="B13" s="102" t="s">
        <v>3368</v>
      </c>
      <c r="C13" s="102">
        <v>165316</v>
      </c>
      <c r="D13" s="102" t="s">
        <v>3367</v>
      </c>
      <c r="E13" s="102"/>
    </row>
    <row r="14" spans="1:5" x14ac:dyDescent="0.15">
      <c r="A14" s="102" t="s">
        <v>3369</v>
      </c>
      <c r="B14" s="102" t="s">
        <v>3370</v>
      </c>
      <c r="C14" s="102">
        <v>172663</v>
      </c>
      <c r="D14" s="102" t="s">
        <v>3369</v>
      </c>
      <c r="E14" s="102"/>
    </row>
    <row r="15" spans="1:5" x14ac:dyDescent="0.15">
      <c r="A15" s="102" t="s">
        <v>3371</v>
      </c>
      <c r="B15" s="102" t="s">
        <v>3372</v>
      </c>
      <c r="C15" s="102">
        <v>165323</v>
      </c>
      <c r="D15" s="102" t="s">
        <v>3371</v>
      </c>
      <c r="E15" s="102"/>
    </row>
    <row r="16" spans="1:5" x14ac:dyDescent="0.15">
      <c r="A16" s="102" t="s">
        <v>3373</v>
      </c>
      <c r="B16" s="102" t="s">
        <v>3374</v>
      </c>
      <c r="C16" s="102">
        <v>165317</v>
      </c>
      <c r="D16" s="102" t="s">
        <v>3373</v>
      </c>
      <c r="E16" s="102"/>
    </row>
    <row r="17" spans="1:5" x14ac:dyDescent="0.15">
      <c r="A17" s="102" t="s">
        <v>3375</v>
      </c>
      <c r="B17" s="102" t="s">
        <v>3376</v>
      </c>
      <c r="C17" s="102">
        <v>165327</v>
      </c>
      <c r="D17" s="102" t="s">
        <v>3375</v>
      </c>
      <c r="E17" s="102"/>
    </row>
    <row r="18" spans="1:5" x14ac:dyDescent="0.15">
      <c r="A18" s="102" t="s">
        <v>3377</v>
      </c>
      <c r="B18" s="102" t="s">
        <v>3378</v>
      </c>
      <c r="C18" s="102">
        <v>165324</v>
      </c>
      <c r="D18" s="102" t="s">
        <v>3377</v>
      </c>
      <c r="E18" s="102"/>
    </row>
    <row r="19" spans="1:5" x14ac:dyDescent="0.15">
      <c r="A19" s="102" t="s">
        <v>3379</v>
      </c>
      <c r="B19" s="102" t="s">
        <v>3380</v>
      </c>
      <c r="C19" s="102">
        <v>172677</v>
      </c>
      <c r="D19" s="102" t="s">
        <v>3379</v>
      </c>
      <c r="E19" s="102"/>
    </row>
    <row r="20" spans="1:5" x14ac:dyDescent="0.15">
      <c r="A20" s="102" t="s">
        <v>3381</v>
      </c>
      <c r="B20" s="102" t="s">
        <v>3382</v>
      </c>
      <c r="C20" s="102">
        <v>165328</v>
      </c>
      <c r="D20" s="102" t="s">
        <v>3381</v>
      </c>
      <c r="E20" s="102"/>
    </row>
    <row r="21" spans="1:5" x14ac:dyDescent="0.15">
      <c r="A21" s="102" t="s">
        <v>3383</v>
      </c>
      <c r="B21" s="102" t="s">
        <v>3384</v>
      </c>
      <c r="C21" s="102">
        <v>229029</v>
      </c>
      <c r="D21" s="102" t="s">
        <v>3383</v>
      </c>
      <c r="E21" s="102"/>
    </row>
    <row r="22" spans="1:5" x14ac:dyDescent="0.15">
      <c r="A22" s="102" t="s">
        <v>3385</v>
      </c>
      <c r="B22" s="102" t="s">
        <v>3386</v>
      </c>
      <c r="C22" s="102">
        <v>172707</v>
      </c>
      <c r="D22" s="102" t="s">
        <v>3385</v>
      </c>
      <c r="E22" s="102"/>
    </row>
    <row r="23" spans="1:5" x14ac:dyDescent="0.15">
      <c r="A23" s="102" t="s">
        <v>3387</v>
      </c>
      <c r="B23" s="102" t="s">
        <v>3388</v>
      </c>
      <c r="C23" s="102">
        <v>229516</v>
      </c>
      <c r="D23" s="102" t="s">
        <v>3387</v>
      </c>
      <c r="E23" s="102"/>
    </row>
    <row r="24" spans="1:5" x14ac:dyDescent="0.15">
      <c r="A24" s="102" t="s">
        <v>3389</v>
      </c>
      <c r="B24" s="102" t="s">
        <v>3390</v>
      </c>
      <c r="C24" s="102">
        <v>172578</v>
      </c>
      <c r="D24" s="102" t="s">
        <v>3389</v>
      </c>
      <c r="E24" s="102"/>
    </row>
    <row r="25" spans="1:5" x14ac:dyDescent="0.15">
      <c r="A25" s="102" t="s">
        <v>3391</v>
      </c>
      <c r="B25" s="102" t="s">
        <v>3392</v>
      </c>
      <c r="C25" s="102">
        <v>172607</v>
      </c>
      <c r="D25" s="102" t="s">
        <v>3391</v>
      </c>
      <c r="E25" s="102"/>
    </row>
    <row r="26" spans="1:5" x14ac:dyDescent="0.15">
      <c r="A26" s="102" t="s">
        <v>3393</v>
      </c>
      <c r="B26" s="102" t="s">
        <v>3394</v>
      </c>
      <c r="C26" s="102">
        <v>165322</v>
      </c>
      <c r="D26" s="102" t="s">
        <v>3393</v>
      </c>
      <c r="E26" s="102"/>
    </row>
    <row r="27" spans="1:5" x14ac:dyDescent="0.15">
      <c r="A27" s="102" t="s">
        <v>3395</v>
      </c>
      <c r="B27" s="102" t="s">
        <v>3372</v>
      </c>
      <c r="C27" s="102">
        <v>165321</v>
      </c>
      <c r="D27" s="102" t="s">
        <v>3395</v>
      </c>
      <c r="E27" s="102"/>
    </row>
    <row r="28" spans="1:5" x14ac:dyDescent="0.15">
      <c r="A28" s="102" t="s">
        <v>134</v>
      </c>
      <c r="B28" s="102" t="s">
        <v>3396</v>
      </c>
      <c r="C28" s="102">
        <v>229518</v>
      </c>
      <c r="D28" s="102" t="s">
        <v>134</v>
      </c>
      <c r="E28" s="102"/>
    </row>
    <row r="29" spans="1:5" x14ac:dyDescent="0.15">
      <c r="A29" s="102" t="s">
        <v>132</v>
      </c>
      <c r="B29" s="102" t="s">
        <v>3396</v>
      </c>
      <c r="C29" s="102">
        <v>229519</v>
      </c>
      <c r="D29" s="102" t="s">
        <v>132</v>
      </c>
      <c r="E29" s="102"/>
    </row>
    <row r="30" spans="1:5" x14ac:dyDescent="0.15">
      <c r="A30" s="102" t="s">
        <v>3148</v>
      </c>
      <c r="B30" s="102" t="s">
        <v>3397</v>
      </c>
      <c r="C30" s="102">
        <v>172667</v>
      </c>
      <c r="D30" s="102" t="s">
        <v>3148</v>
      </c>
      <c r="E30" s="102"/>
    </row>
    <row r="31" spans="1:5" x14ac:dyDescent="0.15">
      <c r="A31" s="102" t="s">
        <v>3398</v>
      </c>
      <c r="B31" s="102" t="s">
        <v>3399</v>
      </c>
      <c r="C31" s="102">
        <v>229517</v>
      </c>
      <c r="D31" s="102" t="s">
        <v>3398</v>
      </c>
      <c r="E31" s="102"/>
    </row>
    <row r="32" spans="1:5" x14ac:dyDescent="0.15">
      <c r="A32" s="102" t="s">
        <v>3400</v>
      </c>
      <c r="B32" s="102" t="s">
        <v>3401</v>
      </c>
      <c r="C32" s="102">
        <v>165325</v>
      </c>
      <c r="D32" s="102" t="s">
        <v>3400</v>
      </c>
      <c r="E32" s="102"/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A25"/>
  <sheetViews>
    <sheetView workbookViewId="0">
      <selection activeCell="D22" sqref="D22"/>
    </sheetView>
  </sheetViews>
  <sheetFormatPr baseColWidth="10" defaultColWidth="11" defaultRowHeight="13" x14ac:dyDescent="0.15"/>
  <cols>
    <col min="1" max="1" width="21.1640625" customWidth="1"/>
    <col min="3" max="3" width="5.6640625" customWidth="1"/>
    <col min="4" max="4" width="21.1640625" customWidth="1"/>
    <col min="6" max="6" width="5.6640625" customWidth="1"/>
    <col min="7" max="7" width="21.1640625" customWidth="1"/>
    <col min="9" max="9" width="5.6640625" customWidth="1"/>
    <col min="10" max="10" width="21.1640625" customWidth="1"/>
    <col min="12" max="12" width="5.6640625" customWidth="1"/>
    <col min="13" max="13" width="21.1640625" customWidth="1"/>
    <col min="15" max="15" width="5.6640625" customWidth="1"/>
    <col min="16" max="16" width="21.1640625" customWidth="1"/>
    <col min="18" max="18" width="5.6640625" customWidth="1"/>
    <col min="25" max="25" width="30.83203125" customWidth="1"/>
    <col min="26" max="26" width="31.83203125" customWidth="1"/>
  </cols>
  <sheetData>
    <row r="1" spans="1:27" x14ac:dyDescent="0.15">
      <c r="A1" s="2" t="s">
        <v>157</v>
      </c>
      <c r="B1" s="2" t="s">
        <v>158</v>
      </c>
      <c r="C1" s="2" t="s">
        <v>159</v>
      </c>
      <c r="D1" s="2" t="s">
        <v>160</v>
      </c>
      <c r="E1" s="2" t="s">
        <v>158</v>
      </c>
      <c r="F1" s="2" t="s">
        <v>159</v>
      </c>
      <c r="G1" s="2" t="s">
        <v>161</v>
      </c>
      <c r="H1" s="2" t="s">
        <v>158</v>
      </c>
      <c r="I1" s="2" t="s">
        <v>159</v>
      </c>
      <c r="J1" s="2" t="s">
        <v>162</v>
      </c>
      <c r="K1" s="2" t="s">
        <v>158</v>
      </c>
      <c r="L1" s="2" t="s">
        <v>159</v>
      </c>
      <c r="M1" s="2" t="s">
        <v>163</v>
      </c>
      <c r="N1" s="2" t="s">
        <v>158</v>
      </c>
      <c r="O1" s="2" t="s">
        <v>159</v>
      </c>
      <c r="P1" s="2" t="s">
        <v>164</v>
      </c>
      <c r="Q1" s="2" t="s">
        <v>158</v>
      </c>
      <c r="R1" s="2" t="s">
        <v>159</v>
      </c>
      <c r="S1" s="2" t="s">
        <v>165</v>
      </c>
      <c r="T1" s="2" t="s">
        <v>158</v>
      </c>
      <c r="U1" s="2" t="s">
        <v>166</v>
      </c>
      <c r="V1" s="2" t="s">
        <v>158</v>
      </c>
      <c r="W1" s="2" t="s">
        <v>159</v>
      </c>
      <c r="X1" s="2" t="s">
        <v>105</v>
      </c>
      <c r="Y1" s="2" t="s">
        <v>106</v>
      </c>
      <c r="Z1" s="2" t="s">
        <v>167</v>
      </c>
      <c r="AA1" s="2" t="s">
        <v>168</v>
      </c>
    </row>
    <row r="2" spans="1:27" x14ac:dyDescent="0.15">
      <c r="A2" s="103" t="s">
        <v>169</v>
      </c>
      <c r="B2" s="3" t="s">
        <v>170</v>
      </c>
      <c r="C2">
        <v>1</v>
      </c>
      <c r="D2" s="103" t="s">
        <v>169</v>
      </c>
      <c r="E2" s="3" t="s">
        <v>170</v>
      </c>
      <c r="F2">
        <v>1</v>
      </c>
      <c r="G2" t="s">
        <v>171</v>
      </c>
      <c r="H2" t="s">
        <v>172</v>
      </c>
      <c r="I2">
        <v>1</v>
      </c>
      <c r="J2" t="s">
        <v>173</v>
      </c>
      <c r="K2" t="s">
        <v>174</v>
      </c>
      <c r="L2">
        <v>1</v>
      </c>
      <c r="M2" t="s">
        <v>175</v>
      </c>
      <c r="N2" t="s">
        <v>176</v>
      </c>
      <c r="O2">
        <v>5</v>
      </c>
      <c r="P2" t="s">
        <v>177</v>
      </c>
      <c r="Q2" t="s">
        <v>178</v>
      </c>
      <c r="R2">
        <v>1</v>
      </c>
      <c r="S2" s="3" t="s">
        <v>14</v>
      </c>
      <c r="T2">
        <v>0</v>
      </c>
      <c r="U2">
        <v>1</v>
      </c>
      <c r="V2" t="s">
        <v>179</v>
      </c>
      <c r="W2">
        <v>1</v>
      </c>
      <c r="X2" s="9" t="s">
        <v>14</v>
      </c>
      <c r="Y2" s="3" t="s">
        <v>14</v>
      </c>
      <c r="Z2" s="102" t="s">
        <v>180</v>
      </c>
      <c r="AA2">
        <v>235520</v>
      </c>
    </row>
    <row r="3" spans="1:27" ht="28" x14ac:dyDescent="0.15">
      <c r="A3" s="1" t="s">
        <v>181</v>
      </c>
      <c r="B3" s="1" t="s">
        <v>182</v>
      </c>
      <c r="C3" s="1">
        <v>2</v>
      </c>
      <c r="D3" s="104" t="s">
        <v>183</v>
      </c>
      <c r="E3" s="1" t="s">
        <v>184</v>
      </c>
      <c r="F3" s="1">
        <v>2</v>
      </c>
      <c r="G3" t="s">
        <v>185</v>
      </c>
      <c r="H3" t="s">
        <v>186</v>
      </c>
      <c r="I3">
        <v>2</v>
      </c>
      <c r="J3" t="s">
        <v>187</v>
      </c>
      <c r="K3" t="s">
        <v>188</v>
      </c>
      <c r="L3">
        <v>2</v>
      </c>
      <c r="M3" t="s">
        <v>189</v>
      </c>
      <c r="N3" t="s">
        <v>190</v>
      </c>
      <c r="O3">
        <v>1</v>
      </c>
      <c r="P3" t="s">
        <v>191</v>
      </c>
      <c r="Q3" t="s">
        <v>188</v>
      </c>
      <c r="R3">
        <v>2</v>
      </c>
      <c r="S3" t="s">
        <v>192</v>
      </c>
      <c r="T3" t="s">
        <v>193</v>
      </c>
      <c r="U3">
        <v>2</v>
      </c>
      <c r="V3" t="s">
        <v>194</v>
      </c>
      <c r="W3">
        <v>2</v>
      </c>
      <c r="X3" s="1" t="s">
        <v>115</v>
      </c>
      <c r="Y3" t="s">
        <v>116</v>
      </c>
      <c r="Z3" s="102" t="s">
        <v>195</v>
      </c>
      <c r="AA3">
        <v>57213</v>
      </c>
    </row>
    <row r="4" spans="1:27" ht="14" x14ac:dyDescent="0.15">
      <c r="A4" s="1" t="s">
        <v>196</v>
      </c>
      <c r="B4" s="1" t="s">
        <v>197</v>
      </c>
      <c r="C4" s="1">
        <v>3</v>
      </c>
      <c r="D4" s="104" t="s">
        <v>198</v>
      </c>
      <c r="E4" s="1" t="s">
        <v>199</v>
      </c>
      <c r="F4" s="1">
        <v>3</v>
      </c>
      <c r="G4" t="s">
        <v>200</v>
      </c>
      <c r="H4" t="s">
        <v>201</v>
      </c>
      <c r="I4">
        <v>3</v>
      </c>
      <c r="J4" t="s">
        <v>202</v>
      </c>
      <c r="K4" t="s">
        <v>203</v>
      </c>
      <c r="L4">
        <v>3</v>
      </c>
      <c r="M4" t="s">
        <v>204</v>
      </c>
      <c r="N4" t="s">
        <v>205</v>
      </c>
      <c r="O4">
        <v>2</v>
      </c>
      <c r="P4" t="s">
        <v>206</v>
      </c>
      <c r="Q4" t="s">
        <v>207</v>
      </c>
      <c r="R4">
        <v>3</v>
      </c>
      <c r="S4" s="3" t="s">
        <v>208</v>
      </c>
      <c r="T4" t="s">
        <v>209</v>
      </c>
      <c r="U4">
        <v>3</v>
      </c>
      <c r="V4" t="s">
        <v>210</v>
      </c>
      <c r="W4">
        <v>3</v>
      </c>
      <c r="X4" s="1" t="s">
        <v>118</v>
      </c>
      <c r="Y4" t="s">
        <v>119</v>
      </c>
      <c r="Z4" s="102" t="s">
        <v>211</v>
      </c>
      <c r="AA4">
        <v>244777</v>
      </c>
    </row>
    <row r="5" spans="1:27" ht="14" x14ac:dyDescent="0.15">
      <c r="A5" s="1" t="s">
        <v>212</v>
      </c>
      <c r="B5" s="1" t="s">
        <v>213</v>
      </c>
      <c r="C5" s="1">
        <v>4</v>
      </c>
      <c r="D5" s="1" t="s">
        <v>214</v>
      </c>
      <c r="E5" s="1" t="s">
        <v>215</v>
      </c>
      <c r="F5" s="1">
        <v>4</v>
      </c>
      <c r="G5" t="s">
        <v>216</v>
      </c>
      <c r="H5" t="s">
        <v>217</v>
      </c>
      <c r="I5">
        <v>4</v>
      </c>
      <c r="M5" t="s">
        <v>218</v>
      </c>
      <c r="N5" t="s">
        <v>219</v>
      </c>
      <c r="O5">
        <v>3</v>
      </c>
      <c r="S5">
        <v>0</v>
      </c>
      <c r="T5">
        <v>0</v>
      </c>
      <c r="U5">
        <v>4</v>
      </c>
      <c r="V5" t="s">
        <v>220</v>
      </c>
      <c r="W5">
        <v>4</v>
      </c>
      <c r="X5" s="1" t="s">
        <v>121</v>
      </c>
      <c r="Y5" s="3" t="s">
        <v>14</v>
      </c>
    </row>
    <row r="6" spans="1:27" ht="28" x14ac:dyDescent="0.15">
      <c r="A6" s="1" t="s">
        <v>221</v>
      </c>
      <c r="B6" s="1" t="s">
        <v>222</v>
      </c>
      <c r="C6" s="1">
        <v>5</v>
      </c>
      <c r="D6" s="1" t="s">
        <v>223</v>
      </c>
      <c r="E6" s="1" t="s">
        <v>224</v>
      </c>
      <c r="F6" s="1">
        <v>5</v>
      </c>
      <c r="M6" t="s">
        <v>225</v>
      </c>
      <c r="N6" t="s">
        <v>226</v>
      </c>
      <c r="O6">
        <v>4</v>
      </c>
      <c r="U6">
        <v>5</v>
      </c>
      <c r="V6" t="s">
        <v>227</v>
      </c>
      <c r="W6">
        <v>5</v>
      </c>
      <c r="X6" s="1" t="s">
        <v>123</v>
      </c>
      <c r="Y6" t="s">
        <v>124</v>
      </c>
    </row>
    <row r="7" spans="1:27" ht="28" x14ac:dyDescent="0.15">
      <c r="A7" s="1" t="s">
        <v>228</v>
      </c>
      <c r="B7" s="1" t="s">
        <v>229</v>
      </c>
      <c r="C7" s="1">
        <v>6</v>
      </c>
      <c r="D7" s="1" t="s">
        <v>230</v>
      </c>
      <c r="E7" s="1" t="s">
        <v>231</v>
      </c>
      <c r="F7" s="1">
        <v>6</v>
      </c>
      <c r="U7">
        <v>6</v>
      </c>
      <c r="V7" t="s">
        <v>232</v>
      </c>
      <c r="W7">
        <v>6</v>
      </c>
      <c r="X7" s="1" t="s">
        <v>126</v>
      </c>
      <c r="Y7" t="s">
        <v>127</v>
      </c>
    </row>
    <row r="8" spans="1:27" ht="28" x14ac:dyDescent="0.15">
      <c r="A8" s="1" t="s">
        <v>233</v>
      </c>
      <c r="B8" s="1" t="s">
        <v>234</v>
      </c>
      <c r="C8" s="1">
        <v>7</v>
      </c>
      <c r="D8" s="1"/>
      <c r="E8" s="1"/>
      <c r="F8" s="1"/>
      <c r="U8">
        <v>7</v>
      </c>
      <c r="V8" t="s">
        <v>235</v>
      </c>
      <c r="W8">
        <v>7</v>
      </c>
      <c r="X8" s="1" t="s">
        <v>129</v>
      </c>
      <c r="Y8" t="s">
        <v>130</v>
      </c>
    </row>
    <row r="9" spans="1:27" ht="14" x14ac:dyDescent="0.15">
      <c r="A9" s="1" t="s">
        <v>236</v>
      </c>
      <c r="B9" s="1" t="s">
        <v>237</v>
      </c>
      <c r="C9" s="1">
        <v>8</v>
      </c>
      <c r="D9" s="1"/>
      <c r="E9" s="1"/>
      <c r="F9" s="1"/>
      <c r="U9">
        <v>8</v>
      </c>
      <c r="V9" t="s">
        <v>238</v>
      </c>
      <c r="W9">
        <v>8</v>
      </c>
      <c r="X9" s="1" t="s">
        <v>132</v>
      </c>
      <c r="Y9" t="s">
        <v>133</v>
      </c>
    </row>
    <row r="10" spans="1:27" ht="14" x14ac:dyDescent="0.15">
      <c r="A10" s="1"/>
      <c r="B10" s="1"/>
      <c r="C10" s="1"/>
      <c r="D10" s="1"/>
      <c r="E10" s="1"/>
      <c r="F10" s="1"/>
      <c r="U10">
        <v>9</v>
      </c>
      <c r="V10" t="s">
        <v>239</v>
      </c>
      <c r="W10">
        <v>9</v>
      </c>
      <c r="X10" s="1" t="s">
        <v>134</v>
      </c>
      <c r="Y10" s="3" t="s">
        <v>14</v>
      </c>
    </row>
    <row r="11" spans="1:27" ht="14" x14ac:dyDescent="0.15">
      <c r="A11" s="1"/>
      <c r="B11" s="1"/>
      <c r="C11" s="1"/>
      <c r="D11" s="1"/>
      <c r="E11" s="1"/>
      <c r="F11" s="1"/>
      <c r="U11">
        <v>10</v>
      </c>
      <c r="V11" t="s">
        <v>240</v>
      </c>
      <c r="W11">
        <v>10</v>
      </c>
      <c r="X11" s="1" t="s">
        <v>135</v>
      </c>
      <c r="Y11" t="s">
        <v>136</v>
      </c>
    </row>
    <row r="12" spans="1:27" ht="28" x14ac:dyDescent="0.15">
      <c r="U12">
        <v>11</v>
      </c>
      <c r="V12" t="s">
        <v>241</v>
      </c>
      <c r="W12">
        <v>11</v>
      </c>
      <c r="X12" s="1" t="s">
        <v>137</v>
      </c>
      <c r="Y12" t="s">
        <v>138</v>
      </c>
    </row>
    <row r="13" spans="1:27" ht="28" x14ac:dyDescent="0.15">
      <c r="U13">
        <v>12</v>
      </c>
      <c r="V13" t="s">
        <v>242</v>
      </c>
      <c r="W13">
        <v>12</v>
      </c>
      <c r="X13" s="1" t="s">
        <v>139</v>
      </c>
      <c r="Y13" t="s">
        <v>140</v>
      </c>
    </row>
    <row r="14" spans="1:27" ht="28" x14ac:dyDescent="0.15">
      <c r="U14">
        <v>13</v>
      </c>
      <c r="V14" t="s">
        <v>243</v>
      </c>
      <c r="W14">
        <v>13</v>
      </c>
      <c r="X14" s="1" t="s">
        <v>141</v>
      </c>
      <c r="Y14" s="3" t="s">
        <v>14</v>
      </c>
    </row>
    <row r="15" spans="1:27" ht="42" x14ac:dyDescent="0.15">
      <c r="U15">
        <v>14</v>
      </c>
      <c r="V15" t="s">
        <v>244</v>
      </c>
      <c r="W15">
        <v>14</v>
      </c>
      <c r="X15" s="1" t="s">
        <v>142</v>
      </c>
      <c r="Y15" t="s">
        <v>143</v>
      </c>
    </row>
    <row r="16" spans="1:27" x14ac:dyDescent="0.15">
      <c r="U16">
        <v>15</v>
      </c>
      <c r="V16" t="s">
        <v>245</v>
      </c>
      <c r="W16">
        <v>15</v>
      </c>
      <c r="Y16" s="3" t="s">
        <v>14</v>
      </c>
    </row>
    <row r="17" spans="21:25" x14ac:dyDescent="0.15">
      <c r="U17">
        <v>16</v>
      </c>
      <c r="V17" t="s">
        <v>246</v>
      </c>
      <c r="W17">
        <v>16</v>
      </c>
      <c r="Y17" t="s">
        <v>144</v>
      </c>
    </row>
    <row r="18" spans="21:25" x14ac:dyDescent="0.15">
      <c r="Y18" t="s">
        <v>145</v>
      </c>
    </row>
    <row r="19" spans="21:25" x14ac:dyDescent="0.15">
      <c r="Y19" s="3" t="s">
        <v>14</v>
      </c>
    </row>
    <row r="20" spans="21:25" x14ac:dyDescent="0.15">
      <c r="Y20" t="s">
        <v>146</v>
      </c>
    </row>
    <row r="21" spans="21:25" x14ac:dyDescent="0.15">
      <c r="Y21" s="3" t="s">
        <v>14</v>
      </c>
    </row>
    <row r="22" spans="21:25" x14ac:dyDescent="0.15">
      <c r="Y22" t="s">
        <v>147</v>
      </c>
    </row>
    <row r="23" spans="21:25" x14ac:dyDescent="0.15">
      <c r="Y23" t="s">
        <v>148</v>
      </c>
    </row>
    <row r="24" spans="21:25" x14ac:dyDescent="0.15">
      <c r="Y24" s="3" t="s">
        <v>14</v>
      </c>
    </row>
    <row r="25" spans="21:25" x14ac:dyDescent="0.15">
      <c r="Y25" t="s">
        <v>149</v>
      </c>
    </row>
  </sheetData>
  <sheetProtection password="D9F3" sheet="1" objects="1" scenarios="1"/>
  <phoneticPr fontId="4" type="noConversion"/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33"/>
  <dimension ref="A1:V45"/>
  <sheetViews>
    <sheetView workbookViewId="0">
      <selection activeCell="W2" sqref="V2:W31"/>
    </sheetView>
  </sheetViews>
  <sheetFormatPr baseColWidth="10" defaultColWidth="11" defaultRowHeight="13" x14ac:dyDescent="0.15"/>
  <sheetData>
    <row r="1" spans="1:22" s="2" customFormat="1" x14ac:dyDescent="0.15">
      <c r="B1" s="2" t="s">
        <v>247</v>
      </c>
      <c r="C1" s="2" t="s">
        <v>248</v>
      </c>
      <c r="D1" s="2" t="s">
        <v>249</v>
      </c>
      <c r="E1" s="2" t="s">
        <v>250</v>
      </c>
      <c r="F1" s="2" t="s">
        <v>251</v>
      </c>
      <c r="G1" s="2" t="s">
        <v>252</v>
      </c>
      <c r="H1" s="2" t="s">
        <v>253</v>
      </c>
      <c r="I1" s="2" t="s">
        <v>254</v>
      </c>
      <c r="J1" s="2" t="s">
        <v>255</v>
      </c>
      <c r="K1" s="2" t="s">
        <v>256</v>
      </c>
      <c r="L1" s="2" t="s">
        <v>257</v>
      </c>
      <c r="M1" s="2" t="s">
        <v>258</v>
      </c>
      <c r="N1" s="2" t="s">
        <v>259</v>
      </c>
      <c r="O1" s="2" t="s">
        <v>260</v>
      </c>
      <c r="P1" s="2" t="s">
        <v>261</v>
      </c>
      <c r="Q1" s="2" t="s">
        <v>262</v>
      </c>
      <c r="R1" s="2" t="s">
        <v>263</v>
      </c>
      <c r="S1" s="2" t="s">
        <v>264</v>
      </c>
      <c r="T1" s="2" t="s">
        <v>265</v>
      </c>
      <c r="U1" s="2" t="s">
        <v>266</v>
      </c>
      <c r="V1" s="2" t="s">
        <v>267</v>
      </c>
    </row>
    <row r="2" spans="1:22" x14ac:dyDescent="0.15">
      <c r="A2" t="s">
        <v>248</v>
      </c>
      <c r="B2" t="s">
        <v>268</v>
      </c>
      <c r="C2" t="s">
        <v>79</v>
      </c>
      <c r="D2" t="s">
        <v>249</v>
      </c>
      <c r="E2" t="s">
        <v>83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  <c r="S2" t="s">
        <v>282</v>
      </c>
      <c r="T2" t="s">
        <v>283</v>
      </c>
    </row>
    <row r="3" spans="1:22" x14ac:dyDescent="0.15">
      <c r="A3" t="s">
        <v>252</v>
      </c>
      <c r="B3" t="s">
        <v>284</v>
      </c>
      <c r="C3" t="s">
        <v>285</v>
      </c>
      <c r="E3" t="s">
        <v>286</v>
      </c>
      <c r="F3" t="s">
        <v>287</v>
      </c>
      <c r="G3" t="s">
        <v>288</v>
      </c>
      <c r="H3" t="s">
        <v>289</v>
      </c>
      <c r="I3" t="s">
        <v>290</v>
      </c>
      <c r="J3" t="s">
        <v>291</v>
      </c>
      <c r="K3" t="s">
        <v>292</v>
      </c>
      <c r="L3" t="s">
        <v>293</v>
      </c>
      <c r="M3" t="s">
        <v>294</v>
      </c>
      <c r="N3" t="s">
        <v>295</v>
      </c>
      <c r="O3" t="s">
        <v>296</v>
      </c>
      <c r="P3" t="s">
        <v>297</v>
      </c>
      <c r="Q3" t="s">
        <v>298</v>
      </c>
      <c r="R3" t="s">
        <v>299</v>
      </c>
      <c r="S3" t="s">
        <v>300</v>
      </c>
      <c r="T3" t="s">
        <v>301</v>
      </c>
    </row>
    <row r="4" spans="1:22" x14ac:dyDescent="0.15">
      <c r="A4" t="s">
        <v>250</v>
      </c>
      <c r="B4" t="s">
        <v>302</v>
      </c>
      <c r="C4" t="s">
        <v>75</v>
      </c>
      <c r="E4" t="s">
        <v>303</v>
      </c>
      <c r="F4" t="s">
        <v>304</v>
      </c>
      <c r="G4" t="s">
        <v>305</v>
      </c>
      <c r="H4" t="s">
        <v>306</v>
      </c>
      <c r="I4" t="s">
        <v>307</v>
      </c>
      <c r="J4" t="s">
        <v>308</v>
      </c>
      <c r="K4" t="s">
        <v>309</v>
      </c>
      <c r="L4" t="s">
        <v>310</v>
      </c>
      <c r="M4" t="s">
        <v>311</v>
      </c>
      <c r="N4" t="s">
        <v>312</v>
      </c>
      <c r="O4" t="s">
        <v>313</v>
      </c>
      <c r="P4" t="s">
        <v>314</v>
      </c>
      <c r="Q4" t="s">
        <v>315</v>
      </c>
      <c r="R4" t="s">
        <v>316</v>
      </c>
      <c r="S4" t="s">
        <v>317</v>
      </c>
      <c r="T4" t="s">
        <v>318</v>
      </c>
    </row>
    <row r="5" spans="1:22" x14ac:dyDescent="0.15">
      <c r="A5" t="s">
        <v>264</v>
      </c>
      <c r="B5" t="s">
        <v>319</v>
      </c>
      <c r="C5" t="s">
        <v>320</v>
      </c>
      <c r="E5" t="s">
        <v>321</v>
      </c>
      <c r="F5" t="s">
        <v>322</v>
      </c>
      <c r="G5" t="s">
        <v>323</v>
      </c>
      <c r="H5" t="s">
        <v>324</v>
      </c>
      <c r="I5" t="s">
        <v>325</v>
      </c>
      <c r="J5" t="s">
        <v>326</v>
      </c>
      <c r="K5" t="s">
        <v>327</v>
      </c>
      <c r="L5" t="s">
        <v>328</v>
      </c>
      <c r="M5" t="s">
        <v>329</v>
      </c>
      <c r="N5" t="s">
        <v>330</v>
      </c>
      <c r="O5" t="s">
        <v>331</v>
      </c>
      <c r="P5" t="s">
        <v>332</v>
      </c>
      <c r="Q5" t="s">
        <v>333</v>
      </c>
      <c r="R5" t="s">
        <v>334</v>
      </c>
      <c r="S5" t="s">
        <v>335</v>
      </c>
      <c r="T5" t="s">
        <v>336</v>
      </c>
    </row>
    <row r="6" spans="1:22" x14ac:dyDescent="0.15">
      <c r="A6" t="s">
        <v>262</v>
      </c>
      <c r="B6" t="s">
        <v>337</v>
      </c>
      <c r="C6" t="s">
        <v>338</v>
      </c>
      <c r="E6" t="s">
        <v>339</v>
      </c>
      <c r="F6" t="s">
        <v>340</v>
      </c>
      <c r="G6" t="s">
        <v>341</v>
      </c>
      <c r="H6" t="s">
        <v>324</v>
      </c>
      <c r="I6" t="s">
        <v>342</v>
      </c>
      <c r="J6" t="s">
        <v>343</v>
      </c>
      <c r="K6" t="s">
        <v>344</v>
      </c>
      <c r="L6" t="s">
        <v>345</v>
      </c>
      <c r="M6" t="s">
        <v>346</v>
      </c>
      <c r="N6" t="s">
        <v>347</v>
      </c>
      <c r="O6" t="s">
        <v>348</v>
      </c>
      <c r="P6" t="s">
        <v>349</v>
      </c>
      <c r="Q6" t="s">
        <v>350</v>
      </c>
      <c r="R6" t="s">
        <v>351</v>
      </c>
      <c r="S6" t="s">
        <v>352</v>
      </c>
      <c r="T6" t="s">
        <v>353</v>
      </c>
    </row>
    <row r="7" spans="1:22" x14ac:dyDescent="0.15">
      <c r="A7" t="s">
        <v>265</v>
      </c>
      <c r="B7" t="s">
        <v>354</v>
      </c>
      <c r="C7" t="s">
        <v>355</v>
      </c>
      <c r="E7" t="s">
        <v>356</v>
      </c>
      <c r="F7" t="s">
        <v>357</v>
      </c>
      <c r="G7" t="s">
        <v>358</v>
      </c>
      <c r="H7" t="s">
        <v>359</v>
      </c>
      <c r="I7" t="s">
        <v>360</v>
      </c>
      <c r="J7" t="s">
        <v>361</v>
      </c>
      <c r="K7" t="s">
        <v>362</v>
      </c>
      <c r="L7" t="s">
        <v>363</v>
      </c>
      <c r="M7" t="s">
        <v>364</v>
      </c>
      <c r="N7" t="s">
        <v>365</v>
      </c>
      <c r="O7" t="s">
        <v>366</v>
      </c>
      <c r="P7" t="s">
        <v>367</v>
      </c>
      <c r="Q7" t="s">
        <v>368</v>
      </c>
      <c r="R7" t="s">
        <v>369</v>
      </c>
      <c r="S7" t="s">
        <v>370</v>
      </c>
      <c r="T7" t="s">
        <v>371</v>
      </c>
    </row>
    <row r="8" spans="1:22" x14ac:dyDescent="0.15">
      <c r="A8" t="s">
        <v>256</v>
      </c>
      <c r="B8" t="s">
        <v>372</v>
      </c>
      <c r="C8" t="s">
        <v>373</v>
      </c>
      <c r="E8" t="s">
        <v>374</v>
      </c>
      <c r="F8" t="s">
        <v>375</v>
      </c>
      <c r="G8" t="s">
        <v>376</v>
      </c>
      <c r="H8" t="s">
        <v>377</v>
      </c>
      <c r="I8" t="s">
        <v>378</v>
      </c>
      <c r="J8" t="s">
        <v>379</v>
      </c>
      <c r="K8" t="s">
        <v>380</v>
      </c>
      <c r="L8" t="s">
        <v>381</v>
      </c>
      <c r="M8" t="s">
        <v>382</v>
      </c>
      <c r="N8" t="s">
        <v>383</v>
      </c>
      <c r="O8" t="s">
        <v>384</v>
      </c>
      <c r="P8" t="s">
        <v>385</v>
      </c>
      <c r="Q8" t="s">
        <v>386</v>
      </c>
      <c r="R8" t="s">
        <v>387</v>
      </c>
      <c r="S8" t="s">
        <v>388</v>
      </c>
      <c r="T8" t="s">
        <v>389</v>
      </c>
    </row>
    <row r="9" spans="1:22" x14ac:dyDescent="0.15">
      <c r="A9" t="s">
        <v>260</v>
      </c>
      <c r="B9" t="s">
        <v>390</v>
      </c>
      <c r="C9" t="s">
        <v>391</v>
      </c>
      <c r="E9" t="s">
        <v>392</v>
      </c>
      <c r="F9" t="s">
        <v>393</v>
      </c>
      <c r="G9" t="s">
        <v>394</v>
      </c>
      <c r="H9" t="s">
        <v>395</v>
      </c>
      <c r="I9" t="s">
        <v>396</v>
      </c>
      <c r="J9" t="s">
        <v>397</v>
      </c>
      <c r="K9" t="s">
        <v>398</v>
      </c>
      <c r="L9" t="s">
        <v>399</v>
      </c>
      <c r="M9" t="s">
        <v>400</v>
      </c>
      <c r="N9" t="s">
        <v>401</v>
      </c>
      <c r="O9" t="s">
        <v>402</v>
      </c>
      <c r="P9" t="s">
        <v>403</v>
      </c>
      <c r="Q9" t="s">
        <v>404</v>
      </c>
      <c r="R9" t="s">
        <v>405</v>
      </c>
      <c r="S9" t="s">
        <v>406</v>
      </c>
      <c r="T9" t="s">
        <v>407</v>
      </c>
    </row>
    <row r="10" spans="1:22" x14ac:dyDescent="0.15">
      <c r="A10" t="s">
        <v>259</v>
      </c>
      <c r="B10" t="s">
        <v>408</v>
      </c>
      <c r="C10" t="s">
        <v>409</v>
      </c>
      <c r="E10" t="s">
        <v>410</v>
      </c>
      <c r="F10" t="s">
        <v>411</v>
      </c>
      <c r="G10" t="s">
        <v>412</v>
      </c>
      <c r="H10" t="s">
        <v>413</v>
      </c>
      <c r="I10" t="s">
        <v>414</v>
      </c>
      <c r="J10" t="s">
        <v>415</v>
      </c>
      <c r="K10" t="s">
        <v>416</v>
      </c>
      <c r="L10" t="s">
        <v>417</v>
      </c>
      <c r="M10" t="s">
        <v>418</v>
      </c>
      <c r="N10" t="s">
        <v>419</v>
      </c>
      <c r="O10" t="s">
        <v>420</v>
      </c>
      <c r="P10" t="s">
        <v>421</v>
      </c>
      <c r="Q10" t="s">
        <v>422</v>
      </c>
      <c r="R10" t="s">
        <v>423</v>
      </c>
      <c r="S10" t="s">
        <v>424</v>
      </c>
      <c r="T10" t="s">
        <v>425</v>
      </c>
    </row>
    <row r="11" spans="1:22" x14ac:dyDescent="0.15">
      <c r="A11" t="s">
        <v>261</v>
      </c>
      <c r="B11" t="s">
        <v>426</v>
      </c>
      <c r="C11" t="s">
        <v>427</v>
      </c>
      <c r="E11" t="s">
        <v>428</v>
      </c>
      <c r="F11" t="s">
        <v>429</v>
      </c>
      <c r="G11" t="s">
        <v>430</v>
      </c>
      <c r="H11" t="s">
        <v>431</v>
      </c>
      <c r="I11" t="s">
        <v>432</v>
      </c>
      <c r="J11" t="s">
        <v>433</v>
      </c>
      <c r="K11" t="s">
        <v>434</v>
      </c>
      <c r="L11" t="s">
        <v>435</v>
      </c>
      <c r="M11" t="s">
        <v>436</v>
      </c>
      <c r="N11" t="s">
        <v>437</v>
      </c>
      <c r="O11" t="s">
        <v>438</v>
      </c>
      <c r="P11" t="s">
        <v>439</v>
      </c>
      <c r="Q11" t="s">
        <v>440</v>
      </c>
      <c r="R11" t="s">
        <v>441</v>
      </c>
      <c r="S11" t="s">
        <v>442</v>
      </c>
      <c r="T11" t="s">
        <v>443</v>
      </c>
    </row>
    <row r="12" spans="1:22" x14ac:dyDescent="0.15">
      <c r="A12" t="s">
        <v>249</v>
      </c>
      <c r="B12" t="s">
        <v>444</v>
      </c>
      <c r="C12" t="s">
        <v>445</v>
      </c>
      <c r="E12" t="s">
        <v>446</v>
      </c>
      <c r="F12" t="s">
        <v>447</v>
      </c>
      <c r="G12" t="s">
        <v>448</v>
      </c>
      <c r="H12" t="s">
        <v>449</v>
      </c>
      <c r="I12" t="s">
        <v>450</v>
      </c>
      <c r="J12" t="s">
        <v>451</v>
      </c>
      <c r="K12" t="s">
        <v>452</v>
      </c>
      <c r="L12" t="s">
        <v>453</v>
      </c>
      <c r="M12" t="s">
        <v>454</v>
      </c>
      <c r="N12" t="s">
        <v>455</v>
      </c>
      <c r="O12" t="s">
        <v>456</v>
      </c>
      <c r="P12" t="s">
        <v>457</v>
      </c>
      <c r="Q12" t="s">
        <v>458</v>
      </c>
      <c r="R12" t="s">
        <v>459</v>
      </c>
      <c r="S12" t="s">
        <v>460</v>
      </c>
      <c r="T12" t="s">
        <v>461</v>
      </c>
    </row>
    <row r="13" spans="1:22" x14ac:dyDescent="0.15">
      <c r="A13" t="s">
        <v>247</v>
      </c>
      <c r="B13" t="s">
        <v>462</v>
      </c>
      <c r="C13" t="s">
        <v>463</v>
      </c>
      <c r="E13" t="s">
        <v>464</v>
      </c>
      <c r="F13" t="s">
        <v>465</v>
      </c>
      <c r="G13" t="s">
        <v>466</v>
      </c>
      <c r="H13" t="s">
        <v>467</v>
      </c>
      <c r="I13" t="s">
        <v>468</v>
      </c>
      <c r="J13" t="s">
        <v>469</v>
      </c>
      <c r="K13" t="s">
        <v>470</v>
      </c>
      <c r="L13" t="s">
        <v>471</v>
      </c>
      <c r="M13" t="s">
        <v>472</v>
      </c>
      <c r="N13" t="s">
        <v>473</v>
      </c>
      <c r="O13" t="s">
        <v>474</v>
      </c>
      <c r="P13" t="s">
        <v>475</v>
      </c>
      <c r="Q13" t="s">
        <v>476</v>
      </c>
      <c r="R13" t="s">
        <v>477</v>
      </c>
      <c r="S13" t="s">
        <v>478</v>
      </c>
      <c r="T13" t="s">
        <v>479</v>
      </c>
    </row>
    <row r="14" spans="1:22" x14ac:dyDescent="0.15">
      <c r="A14" t="s">
        <v>257</v>
      </c>
      <c r="B14" t="s">
        <v>480</v>
      </c>
      <c r="C14" t="s">
        <v>481</v>
      </c>
      <c r="E14" t="s">
        <v>482</v>
      </c>
      <c r="F14" t="s">
        <v>483</v>
      </c>
      <c r="G14" t="s">
        <v>484</v>
      </c>
      <c r="H14" t="s">
        <v>485</v>
      </c>
      <c r="I14" t="s">
        <v>486</v>
      </c>
      <c r="J14" t="s">
        <v>487</v>
      </c>
      <c r="K14" t="s">
        <v>488</v>
      </c>
      <c r="L14" t="s">
        <v>489</v>
      </c>
      <c r="M14" t="s">
        <v>490</v>
      </c>
      <c r="N14" t="s">
        <v>491</v>
      </c>
      <c r="O14" t="s">
        <v>492</v>
      </c>
      <c r="P14" t="s">
        <v>493</v>
      </c>
      <c r="Q14" t="s">
        <v>494</v>
      </c>
      <c r="R14" t="s">
        <v>495</v>
      </c>
      <c r="S14" t="s">
        <v>496</v>
      </c>
      <c r="T14" t="s">
        <v>497</v>
      </c>
    </row>
    <row r="15" spans="1:22" x14ac:dyDescent="0.15">
      <c r="A15" t="s">
        <v>266</v>
      </c>
      <c r="B15" t="s">
        <v>498</v>
      </c>
      <c r="C15" t="s">
        <v>499</v>
      </c>
      <c r="E15" t="s">
        <v>500</v>
      </c>
      <c r="F15" t="s">
        <v>501</v>
      </c>
      <c r="G15" t="s">
        <v>502</v>
      </c>
      <c r="H15" t="s">
        <v>503</v>
      </c>
      <c r="J15" t="s">
        <v>504</v>
      </c>
      <c r="K15" t="s">
        <v>505</v>
      </c>
      <c r="L15" t="s">
        <v>506</v>
      </c>
      <c r="M15" t="s">
        <v>507</v>
      </c>
      <c r="N15" t="s">
        <v>508</v>
      </c>
      <c r="O15" t="s">
        <v>509</v>
      </c>
      <c r="P15" t="s">
        <v>510</v>
      </c>
      <c r="Q15" t="s">
        <v>511</v>
      </c>
      <c r="R15" t="s">
        <v>512</v>
      </c>
      <c r="S15" t="s">
        <v>513</v>
      </c>
      <c r="T15" t="s">
        <v>514</v>
      </c>
    </row>
    <row r="16" spans="1:22" x14ac:dyDescent="0.15">
      <c r="A16" t="s">
        <v>267</v>
      </c>
      <c r="B16" t="s">
        <v>515</v>
      </c>
      <c r="C16" t="s">
        <v>516</v>
      </c>
      <c r="E16" t="s">
        <v>517</v>
      </c>
      <c r="F16" t="s">
        <v>518</v>
      </c>
      <c r="G16" t="s">
        <v>519</v>
      </c>
      <c r="H16" t="s">
        <v>520</v>
      </c>
      <c r="J16" t="s">
        <v>521</v>
      </c>
      <c r="K16" t="s">
        <v>522</v>
      </c>
      <c r="L16" t="s">
        <v>523</v>
      </c>
      <c r="M16" t="s">
        <v>524</v>
      </c>
      <c r="N16" t="s">
        <v>525</v>
      </c>
      <c r="O16" t="s">
        <v>526</v>
      </c>
      <c r="P16" t="s">
        <v>527</v>
      </c>
      <c r="Q16" t="s">
        <v>528</v>
      </c>
      <c r="R16" t="s">
        <v>529</v>
      </c>
      <c r="S16" t="s">
        <v>530</v>
      </c>
      <c r="T16" t="s">
        <v>531</v>
      </c>
    </row>
    <row r="17" spans="1:20" x14ac:dyDescent="0.15">
      <c r="A17" t="s">
        <v>258</v>
      </c>
      <c r="B17" t="s">
        <v>532</v>
      </c>
      <c r="C17" t="s">
        <v>533</v>
      </c>
      <c r="E17" t="s">
        <v>534</v>
      </c>
      <c r="F17" t="s">
        <v>535</v>
      </c>
      <c r="H17" t="s">
        <v>536</v>
      </c>
      <c r="K17" t="s">
        <v>537</v>
      </c>
      <c r="L17" t="s">
        <v>538</v>
      </c>
      <c r="M17" t="s">
        <v>539</v>
      </c>
      <c r="N17" t="s">
        <v>540</v>
      </c>
      <c r="O17" t="s">
        <v>541</v>
      </c>
      <c r="P17" t="s">
        <v>542</v>
      </c>
      <c r="Q17" t="s">
        <v>543</v>
      </c>
      <c r="R17" t="s">
        <v>544</v>
      </c>
      <c r="S17" t="s">
        <v>545</v>
      </c>
      <c r="T17" t="s">
        <v>546</v>
      </c>
    </row>
    <row r="18" spans="1:20" x14ac:dyDescent="0.15">
      <c r="A18" t="s">
        <v>251</v>
      </c>
      <c r="B18" t="s">
        <v>547</v>
      </c>
      <c r="C18" t="s">
        <v>548</v>
      </c>
      <c r="E18" t="s">
        <v>549</v>
      </c>
      <c r="F18" t="s">
        <v>550</v>
      </c>
      <c r="H18" t="s">
        <v>551</v>
      </c>
      <c r="K18" t="s">
        <v>552</v>
      </c>
      <c r="L18" t="s">
        <v>553</v>
      </c>
      <c r="M18" t="s">
        <v>554</v>
      </c>
      <c r="N18" t="s">
        <v>555</v>
      </c>
      <c r="O18" t="s">
        <v>556</v>
      </c>
      <c r="P18" t="s">
        <v>557</v>
      </c>
      <c r="Q18" t="s">
        <v>558</v>
      </c>
      <c r="R18" t="s">
        <v>559</v>
      </c>
      <c r="S18" t="s">
        <v>560</v>
      </c>
      <c r="T18" t="s">
        <v>561</v>
      </c>
    </row>
    <row r="19" spans="1:20" x14ac:dyDescent="0.15">
      <c r="A19" t="s">
        <v>263</v>
      </c>
      <c r="B19" t="s">
        <v>562</v>
      </c>
      <c r="C19" t="s">
        <v>563</v>
      </c>
      <c r="E19" t="s">
        <v>564</v>
      </c>
      <c r="H19" t="s">
        <v>565</v>
      </c>
      <c r="K19" t="s">
        <v>566</v>
      </c>
      <c r="L19" t="s">
        <v>567</v>
      </c>
      <c r="M19" t="s">
        <v>568</v>
      </c>
      <c r="N19" t="s">
        <v>569</v>
      </c>
      <c r="O19" t="s">
        <v>570</v>
      </c>
      <c r="P19" t="s">
        <v>571</v>
      </c>
      <c r="Q19" t="s">
        <v>572</v>
      </c>
      <c r="R19" t="s">
        <v>573</v>
      </c>
      <c r="S19" t="s">
        <v>574</v>
      </c>
      <c r="T19" t="s">
        <v>575</v>
      </c>
    </row>
    <row r="20" spans="1:20" x14ac:dyDescent="0.15">
      <c r="A20" t="s">
        <v>255</v>
      </c>
      <c r="B20" t="s">
        <v>576</v>
      </c>
      <c r="C20" t="s">
        <v>577</v>
      </c>
      <c r="E20" t="s">
        <v>578</v>
      </c>
      <c r="H20" t="s">
        <v>579</v>
      </c>
      <c r="K20" t="s">
        <v>580</v>
      </c>
      <c r="L20" t="s">
        <v>581</v>
      </c>
      <c r="M20" t="s">
        <v>582</v>
      </c>
      <c r="N20" t="s">
        <v>583</v>
      </c>
      <c r="O20" t="s">
        <v>584</v>
      </c>
      <c r="P20" t="s">
        <v>585</v>
      </c>
      <c r="Q20" t="s">
        <v>586</v>
      </c>
      <c r="R20" t="s">
        <v>587</v>
      </c>
      <c r="S20" t="s">
        <v>588</v>
      </c>
      <c r="T20" t="s">
        <v>589</v>
      </c>
    </row>
    <row r="21" spans="1:20" x14ac:dyDescent="0.15">
      <c r="A21" t="s">
        <v>254</v>
      </c>
      <c r="B21" t="s">
        <v>590</v>
      </c>
      <c r="C21" t="s">
        <v>591</v>
      </c>
      <c r="E21" t="s">
        <v>592</v>
      </c>
      <c r="K21" t="s">
        <v>593</v>
      </c>
      <c r="L21" t="s">
        <v>594</v>
      </c>
      <c r="M21" t="s">
        <v>595</v>
      </c>
      <c r="N21" t="s">
        <v>596</v>
      </c>
      <c r="O21" t="s">
        <v>597</v>
      </c>
      <c r="P21" t="s">
        <v>598</v>
      </c>
      <c r="Q21" t="s">
        <v>599</v>
      </c>
      <c r="R21" t="s">
        <v>600</v>
      </c>
      <c r="T21" t="s">
        <v>601</v>
      </c>
    </row>
    <row r="22" spans="1:20" x14ac:dyDescent="0.15">
      <c r="A22" t="s">
        <v>253</v>
      </c>
      <c r="B22" t="s">
        <v>602</v>
      </c>
      <c r="C22" t="s">
        <v>603</v>
      </c>
      <c r="E22" t="s">
        <v>604</v>
      </c>
      <c r="K22" t="s">
        <v>605</v>
      </c>
      <c r="L22" t="s">
        <v>606</v>
      </c>
      <c r="M22" t="s">
        <v>607</v>
      </c>
      <c r="N22" t="s">
        <v>608</v>
      </c>
      <c r="O22" t="s">
        <v>609</v>
      </c>
      <c r="P22" t="s">
        <v>610</v>
      </c>
      <c r="Q22" t="s">
        <v>611</v>
      </c>
      <c r="R22" t="s">
        <v>612</v>
      </c>
      <c r="T22" t="s">
        <v>613</v>
      </c>
    </row>
    <row r="23" spans="1:20" x14ac:dyDescent="0.15">
      <c r="B23" t="s">
        <v>614</v>
      </c>
      <c r="C23" t="s">
        <v>615</v>
      </c>
      <c r="K23" t="s">
        <v>616</v>
      </c>
      <c r="L23" t="s">
        <v>617</v>
      </c>
      <c r="M23" t="s">
        <v>618</v>
      </c>
      <c r="N23" t="s">
        <v>619</v>
      </c>
      <c r="O23" t="s">
        <v>620</v>
      </c>
      <c r="P23" t="s">
        <v>621</v>
      </c>
      <c r="Q23" t="s">
        <v>622</v>
      </c>
      <c r="R23" t="s">
        <v>623</v>
      </c>
      <c r="T23" t="s">
        <v>624</v>
      </c>
    </row>
    <row r="24" spans="1:20" x14ac:dyDescent="0.15">
      <c r="B24" t="s">
        <v>625</v>
      </c>
      <c r="K24" t="s">
        <v>626</v>
      </c>
      <c r="L24" t="s">
        <v>627</v>
      </c>
      <c r="M24" t="s">
        <v>628</v>
      </c>
      <c r="N24" t="s">
        <v>629</v>
      </c>
      <c r="O24" t="s">
        <v>630</v>
      </c>
      <c r="P24" t="s">
        <v>631</v>
      </c>
      <c r="R24" t="s">
        <v>632</v>
      </c>
      <c r="T24" t="s">
        <v>633</v>
      </c>
    </row>
    <row r="25" spans="1:20" x14ac:dyDescent="0.15">
      <c r="B25" t="s">
        <v>634</v>
      </c>
      <c r="K25" t="s">
        <v>635</v>
      </c>
      <c r="L25" t="s">
        <v>636</v>
      </c>
      <c r="M25" t="s">
        <v>637</v>
      </c>
      <c r="O25" t="s">
        <v>638</v>
      </c>
      <c r="P25" t="s">
        <v>639</v>
      </c>
      <c r="R25" t="s">
        <v>640</v>
      </c>
      <c r="T25" t="s">
        <v>641</v>
      </c>
    </row>
    <row r="26" spans="1:20" x14ac:dyDescent="0.15">
      <c r="B26" t="s">
        <v>642</v>
      </c>
      <c r="K26" t="s">
        <v>643</v>
      </c>
      <c r="L26" t="s">
        <v>644</v>
      </c>
      <c r="M26" t="s">
        <v>645</v>
      </c>
      <c r="O26" t="s">
        <v>646</v>
      </c>
      <c r="P26" t="s">
        <v>647</v>
      </c>
      <c r="R26" t="s">
        <v>648</v>
      </c>
      <c r="T26" t="s">
        <v>649</v>
      </c>
    </row>
    <row r="27" spans="1:20" x14ac:dyDescent="0.15">
      <c r="B27" t="s">
        <v>650</v>
      </c>
      <c r="K27" t="s">
        <v>651</v>
      </c>
      <c r="L27" t="s">
        <v>652</v>
      </c>
      <c r="O27" t="s">
        <v>653</v>
      </c>
      <c r="P27" t="s">
        <v>654</v>
      </c>
      <c r="T27" t="s">
        <v>655</v>
      </c>
    </row>
    <row r="28" spans="1:20" x14ac:dyDescent="0.15">
      <c r="K28" t="s">
        <v>656</v>
      </c>
      <c r="O28" t="s">
        <v>657</v>
      </c>
      <c r="T28" t="s">
        <v>658</v>
      </c>
    </row>
    <row r="29" spans="1:20" x14ac:dyDescent="0.15">
      <c r="K29" t="s">
        <v>659</v>
      </c>
      <c r="O29" t="s">
        <v>660</v>
      </c>
      <c r="T29" t="s">
        <v>661</v>
      </c>
    </row>
    <row r="30" spans="1:20" x14ac:dyDescent="0.15">
      <c r="K30" t="s">
        <v>662</v>
      </c>
      <c r="O30" t="s">
        <v>663</v>
      </c>
      <c r="T30" t="s">
        <v>664</v>
      </c>
    </row>
    <row r="31" spans="1:20" x14ac:dyDescent="0.15">
      <c r="K31" t="s">
        <v>665</v>
      </c>
      <c r="O31" t="s">
        <v>666</v>
      </c>
      <c r="T31" t="s">
        <v>667</v>
      </c>
    </row>
    <row r="32" spans="1:20" x14ac:dyDescent="0.15">
      <c r="K32" t="s">
        <v>668</v>
      </c>
      <c r="O32" t="s">
        <v>669</v>
      </c>
      <c r="T32" t="s">
        <v>670</v>
      </c>
    </row>
    <row r="33" spans="11:20" x14ac:dyDescent="0.15">
      <c r="K33" t="s">
        <v>671</v>
      </c>
      <c r="O33" t="s">
        <v>672</v>
      </c>
      <c r="T33" t="s">
        <v>673</v>
      </c>
    </row>
    <row r="34" spans="11:20" x14ac:dyDescent="0.15">
      <c r="K34" t="s">
        <v>674</v>
      </c>
      <c r="O34" t="s">
        <v>675</v>
      </c>
      <c r="T34" t="s">
        <v>676</v>
      </c>
    </row>
    <row r="35" spans="11:20" x14ac:dyDescent="0.15">
      <c r="K35" t="s">
        <v>677</v>
      </c>
      <c r="O35" t="s">
        <v>678</v>
      </c>
    </row>
    <row r="36" spans="11:20" x14ac:dyDescent="0.15">
      <c r="K36" t="s">
        <v>679</v>
      </c>
      <c r="O36" t="s">
        <v>680</v>
      </c>
    </row>
    <row r="37" spans="11:20" x14ac:dyDescent="0.15">
      <c r="K37" t="s">
        <v>681</v>
      </c>
      <c r="O37" t="s">
        <v>682</v>
      </c>
    </row>
    <row r="38" spans="11:20" x14ac:dyDescent="0.15">
      <c r="O38" t="s">
        <v>683</v>
      </c>
    </row>
    <row r="39" spans="11:20" x14ac:dyDescent="0.15">
      <c r="O39" t="s">
        <v>684</v>
      </c>
    </row>
    <row r="40" spans="11:20" x14ac:dyDescent="0.15">
      <c r="O40" t="s">
        <v>685</v>
      </c>
    </row>
    <row r="41" spans="11:20" x14ac:dyDescent="0.15">
      <c r="O41" t="s">
        <v>686</v>
      </c>
    </row>
    <row r="42" spans="11:20" x14ac:dyDescent="0.15">
      <c r="O42" t="s">
        <v>687</v>
      </c>
    </row>
    <row r="43" spans="11:20" x14ac:dyDescent="0.15">
      <c r="O43" t="s">
        <v>688</v>
      </c>
    </row>
    <row r="44" spans="11:20" x14ac:dyDescent="0.15">
      <c r="O44" t="s">
        <v>689</v>
      </c>
    </row>
    <row r="45" spans="11:20" x14ac:dyDescent="0.15">
      <c r="O45" t="s">
        <v>690</v>
      </c>
    </row>
  </sheetData>
  <sheetProtection password="D9F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7">
    <pageSetUpPr fitToPage="1"/>
  </sheetPr>
  <dimension ref="A1:S31"/>
  <sheetViews>
    <sheetView topLeftCell="D1" workbookViewId="0">
      <selection activeCell="O2" sqref="O2:O31"/>
    </sheetView>
  </sheetViews>
  <sheetFormatPr baseColWidth="10" defaultColWidth="11" defaultRowHeight="13" x14ac:dyDescent="0.15"/>
  <cols>
    <col min="1" max="1" width="25.33203125" style="102" customWidth="1"/>
    <col min="2" max="17" width="17.6640625" customWidth="1"/>
    <col min="18" max="18" width="15" customWidth="1"/>
    <col min="20" max="20" width="30.83203125" customWidth="1"/>
    <col min="22" max="22" width="17.5" customWidth="1"/>
  </cols>
  <sheetData>
    <row r="1" spans="1:19" ht="56" x14ac:dyDescent="0.15">
      <c r="A1" s="9" t="s">
        <v>691</v>
      </c>
      <c r="B1" s="5" t="s">
        <v>692</v>
      </c>
      <c r="C1" s="5" t="s">
        <v>693</v>
      </c>
      <c r="D1" s="5" t="s">
        <v>694</v>
      </c>
      <c r="E1" s="5" t="s">
        <v>695</v>
      </c>
      <c r="F1" s="5" t="s">
        <v>696</v>
      </c>
      <c r="G1" s="5" t="s">
        <v>697</v>
      </c>
      <c r="H1" s="5" t="s">
        <v>698</v>
      </c>
      <c r="I1" s="5" t="s">
        <v>699</v>
      </c>
      <c r="J1" s="5" t="s">
        <v>700</v>
      </c>
      <c r="K1" s="5" t="s">
        <v>36</v>
      </c>
      <c r="L1" s="5" t="s">
        <v>701</v>
      </c>
      <c r="M1" s="5" t="s">
        <v>702</v>
      </c>
      <c r="N1" s="5" t="s">
        <v>703</v>
      </c>
      <c r="O1" s="5" t="s">
        <v>704</v>
      </c>
      <c r="P1" s="5"/>
      <c r="Q1" s="5"/>
      <c r="S1" s="11"/>
    </row>
    <row r="2" spans="1:19" ht="28" x14ac:dyDescent="0.15">
      <c r="A2" s="104" t="s">
        <v>696</v>
      </c>
      <c r="B2" s="105" t="s">
        <v>705</v>
      </c>
      <c r="C2" t="s">
        <v>706</v>
      </c>
      <c r="D2" s="1" t="s">
        <v>707</v>
      </c>
      <c r="E2" s="1" t="s">
        <v>708</v>
      </c>
      <c r="F2" s="1" t="s">
        <v>709</v>
      </c>
      <c r="G2" s="70" t="s">
        <v>710</v>
      </c>
      <c r="H2" t="s">
        <v>711</v>
      </c>
      <c r="I2" s="1" t="s">
        <v>712</v>
      </c>
      <c r="J2" s="1" t="s">
        <v>713</v>
      </c>
      <c r="K2" s="1" t="s">
        <v>714</v>
      </c>
      <c r="L2" s="1" t="s">
        <v>715</v>
      </c>
      <c r="M2" s="3" t="s">
        <v>716</v>
      </c>
      <c r="N2" s="3" t="s">
        <v>717</v>
      </c>
      <c r="O2" s="1" t="s">
        <v>718</v>
      </c>
      <c r="P2" s="4"/>
      <c r="Q2" s="4"/>
      <c r="S2" s="10"/>
    </row>
    <row r="3" spans="1:19" ht="28" x14ac:dyDescent="0.15">
      <c r="A3" s="104" t="s">
        <v>695</v>
      </c>
      <c r="B3" s="1" t="s">
        <v>719</v>
      </c>
      <c r="C3" t="s">
        <v>720</v>
      </c>
      <c r="D3" s="1" t="s">
        <v>721</v>
      </c>
      <c r="E3" s="1" t="s">
        <v>722</v>
      </c>
      <c r="F3" s="1" t="s">
        <v>723</v>
      </c>
      <c r="G3" s="70" t="s">
        <v>724</v>
      </c>
      <c r="H3" s="70" t="s">
        <v>725</v>
      </c>
      <c r="I3" s="3" t="s">
        <v>726</v>
      </c>
      <c r="J3" s="1" t="s">
        <v>727</v>
      </c>
      <c r="K3" s="1" t="s">
        <v>728</v>
      </c>
      <c r="L3" s="3" t="s">
        <v>729</v>
      </c>
      <c r="M3" s="1" t="s">
        <v>730</v>
      </c>
      <c r="N3" s="1" t="s">
        <v>731</v>
      </c>
      <c r="O3" s="1" t="s">
        <v>732</v>
      </c>
      <c r="P3" s="4"/>
      <c r="Q3" s="4"/>
      <c r="S3" s="12"/>
    </row>
    <row r="4" spans="1:19" ht="28" x14ac:dyDescent="0.15">
      <c r="A4" s="104" t="s">
        <v>699</v>
      </c>
      <c r="B4" s="1" t="s">
        <v>733</v>
      </c>
      <c r="C4" s="1" t="s">
        <v>734</v>
      </c>
      <c r="D4" s="1" t="s">
        <v>735</v>
      </c>
      <c r="E4" s="1" t="s">
        <v>736</v>
      </c>
      <c r="F4" s="1" t="s">
        <v>737</v>
      </c>
      <c r="G4" s="70" t="s">
        <v>738</v>
      </c>
      <c r="H4" t="s">
        <v>739</v>
      </c>
      <c r="I4" s="3" t="s">
        <v>740</v>
      </c>
      <c r="J4" s="1" t="s">
        <v>741</v>
      </c>
      <c r="K4" t="s">
        <v>742</v>
      </c>
      <c r="L4" t="s">
        <v>743</v>
      </c>
      <c r="M4" s="1" t="s">
        <v>744</v>
      </c>
      <c r="N4" s="3" t="s">
        <v>745</v>
      </c>
      <c r="O4" s="1" t="s">
        <v>746</v>
      </c>
      <c r="P4" s="4"/>
      <c r="Q4" s="4"/>
      <c r="S4" s="12"/>
    </row>
    <row r="5" spans="1:19" ht="28" x14ac:dyDescent="0.15">
      <c r="A5" s="104" t="s">
        <v>694</v>
      </c>
      <c r="B5" s="1" t="s">
        <v>747</v>
      </c>
      <c r="C5" t="s">
        <v>748</v>
      </c>
      <c r="D5" t="s">
        <v>749</v>
      </c>
      <c r="E5" s="1" t="s">
        <v>750</v>
      </c>
      <c r="F5" s="3" t="s">
        <v>751</v>
      </c>
      <c r="G5" s="3" t="s">
        <v>752</v>
      </c>
      <c r="H5" s="70" t="s">
        <v>753</v>
      </c>
      <c r="I5" s="3" t="s">
        <v>754</v>
      </c>
      <c r="J5" s="1" t="s">
        <v>755</v>
      </c>
      <c r="K5" t="s">
        <v>756</v>
      </c>
      <c r="L5" s="1" t="s">
        <v>757</v>
      </c>
      <c r="M5" s="1" t="s">
        <v>758</v>
      </c>
      <c r="N5" s="3" t="s">
        <v>61</v>
      </c>
      <c r="O5" s="1"/>
      <c r="P5" s="4"/>
      <c r="Q5" s="4"/>
      <c r="S5" s="12"/>
    </row>
    <row r="6" spans="1:19" ht="28" x14ac:dyDescent="0.15">
      <c r="A6" s="104" t="s">
        <v>693</v>
      </c>
      <c r="B6" s="1" t="s">
        <v>759</v>
      </c>
      <c r="C6" s="1" t="s">
        <v>760</v>
      </c>
      <c r="D6" s="1" t="s">
        <v>761</v>
      </c>
      <c r="E6" s="4" t="s">
        <v>762</v>
      </c>
      <c r="F6" s="3" t="s">
        <v>763</v>
      </c>
      <c r="G6" s="3" t="s">
        <v>764</v>
      </c>
      <c r="H6" s="3" t="s">
        <v>765</v>
      </c>
      <c r="I6" s="1" t="s">
        <v>735</v>
      </c>
      <c r="J6" s="1"/>
      <c r="K6" t="s">
        <v>766</v>
      </c>
      <c r="L6" t="s">
        <v>767</v>
      </c>
      <c r="M6" s="1" t="s">
        <v>768</v>
      </c>
      <c r="N6" s="1" t="s">
        <v>769</v>
      </c>
      <c r="O6" s="1"/>
      <c r="P6" s="4"/>
      <c r="Q6" s="4"/>
    </row>
    <row r="7" spans="1:19" ht="28" x14ac:dyDescent="0.15">
      <c r="A7" s="104" t="s">
        <v>704</v>
      </c>
      <c r="B7" s="1" t="s">
        <v>770</v>
      </c>
      <c r="C7" s="1"/>
      <c r="D7" s="1" t="s">
        <v>771</v>
      </c>
      <c r="E7" s="1" t="s">
        <v>772</v>
      </c>
      <c r="F7" s="1" t="s">
        <v>773</v>
      </c>
      <c r="G7" s="3"/>
      <c r="H7" s="70" t="s">
        <v>774</v>
      </c>
      <c r="I7" s="3" t="s">
        <v>775</v>
      </c>
      <c r="J7" s="3"/>
      <c r="K7" s="1" t="s">
        <v>776</v>
      </c>
      <c r="L7" t="s">
        <v>777</v>
      </c>
      <c r="M7" s="3"/>
      <c r="N7" s="1" t="s">
        <v>778</v>
      </c>
      <c r="O7" s="1"/>
      <c r="P7" s="4"/>
      <c r="Q7" s="4"/>
    </row>
    <row r="8" spans="1:19" ht="28" x14ac:dyDescent="0.15">
      <c r="A8" s="104" t="s">
        <v>703</v>
      </c>
      <c r="C8" s="1"/>
      <c r="D8" t="s">
        <v>779</v>
      </c>
      <c r="E8" s="1" t="s">
        <v>780</v>
      </c>
      <c r="F8" s="3" t="s">
        <v>781</v>
      </c>
      <c r="G8" s="3"/>
      <c r="H8" s="3" t="s">
        <v>782</v>
      </c>
      <c r="I8" s="3" t="s">
        <v>783</v>
      </c>
      <c r="J8" s="3"/>
      <c r="L8" t="s">
        <v>784</v>
      </c>
      <c r="M8" s="3"/>
      <c r="N8" s="1" t="s">
        <v>785</v>
      </c>
      <c r="O8" s="1"/>
      <c r="P8" s="4"/>
      <c r="Q8" s="4"/>
    </row>
    <row r="9" spans="1:19" ht="28" x14ac:dyDescent="0.15">
      <c r="A9" s="104" t="s">
        <v>697</v>
      </c>
      <c r="B9" s="1"/>
      <c r="C9" s="1"/>
      <c r="D9" s="1" t="s">
        <v>786</v>
      </c>
      <c r="E9" s="1" t="s">
        <v>787</v>
      </c>
      <c r="F9" s="3" t="s">
        <v>788</v>
      </c>
      <c r="G9" s="3"/>
      <c r="H9" s="3" t="s">
        <v>789</v>
      </c>
      <c r="I9" s="3" t="s">
        <v>790</v>
      </c>
      <c r="J9" s="3"/>
      <c r="L9" s="3"/>
      <c r="M9" s="3"/>
      <c r="N9" s="1" t="s">
        <v>791</v>
      </c>
      <c r="O9" s="3"/>
      <c r="P9" s="4"/>
      <c r="Q9" s="4"/>
    </row>
    <row r="10" spans="1:19" ht="28" x14ac:dyDescent="0.15">
      <c r="A10" s="104" t="s">
        <v>702</v>
      </c>
      <c r="C10" s="3"/>
      <c r="D10" s="3" t="s">
        <v>792</v>
      </c>
      <c r="E10" s="1" t="s">
        <v>793</v>
      </c>
      <c r="F10" s="3" t="s">
        <v>794</v>
      </c>
      <c r="G10" s="3"/>
      <c r="H10" s="70" t="s">
        <v>795</v>
      </c>
      <c r="I10" s="3" t="s">
        <v>796</v>
      </c>
      <c r="J10" s="3"/>
      <c r="L10" s="3"/>
      <c r="M10" s="3"/>
      <c r="N10" s="3" t="s">
        <v>797</v>
      </c>
      <c r="O10" s="3"/>
      <c r="P10" s="4"/>
      <c r="Q10" s="4"/>
    </row>
    <row r="11" spans="1:19" ht="14" x14ac:dyDescent="0.15">
      <c r="A11" s="104" t="s">
        <v>698</v>
      </c>
      <c r="B11" s="1"/>
      <c r="C11" s="1"/>
      <c r="D11" t="s">
        <v>798</v>
      </c>
      <c r="E11" s="1" t="s">
        <v>799</v>
      </c>
      <c r="F11" s="3" t="s">
        <v>800</v>
      </c>
      <c r="G11" s="3"/>
      <c r="H11" s="70" t="s">
        <v>801</v>
      </c>
      <c r="I11" s="3" t="s">
        <v>802</v>
      </c>
      <c r="J11" s="3"/>
      <c r="K11" s="1"/>
      <c r="L11" s="3"/>
      <c r="M11" s="3"/>
      <c r="N11" s="3" t="s">
        <v>803</v>
      </c>
      <c r="O11" s="3"/>
      <c r="P11" s="4"/>
      <c r="Q11" s="4"/>
    </row>
    <row r="12" spans="1:19" ht="42" x14ac:dyDescent="0.15">
      <c r="A12" s="104" t="s">
        <v>692</v>
      </c>
      <c r="B12" s="1"/>
      <c r="C12" s="70"/>
      <c r="D12" s="1"/>
      <c r="E12" s="1" t="s">
        <v>804</v>
      </c>
      <c r="F12" s="1" t="s">
        <v>805</v>
      </c>
      <c r="G12" s="3"/>
      <c r="H12" s="70" t="s">
        <v>806</v>
      </c>
      <c r="I12" s="1" t="s">
        <v>807</v>
      </c>
      <c r="J12" s="3"/>
      <c r="K12" s="1"/>
      <c r="L12" s="3"/>
      <c r="M12" s="3"/>
      <c r="N12" s="1" t="s">
        <v>808</v>
      </c>
      <c r="O12" s="3"/>
      <c r="P12" s="4"/>
      <c r="Q12" s="4"/>
    </row>
    <row r="13" spans="1:19" ht="14" x14ac:dyDescent="0.15">
      <c r="A13" s="104" t="s">
        <v>700</v>
      </c>
      <c r="B13" s="1"/>
      <c r="D13" s="1"/>
      <c r="E13" s="3"/>
      <c r="F13" s="3" t="s">
        <v>809</v>
      </c>
      <c r="G13" s="3"/>
      <c r="H13" t="s">
        <v>810</v>
      </c>
      <c r="I13" s="3" t="s">
        <v>811</v>
      </c>
      <c r="J13" s="3"/>
      <c r="L13" s="3"/>
      <c r="M13" s="3"/>
      <c r="N13" s="3" t="s">
        <v>812</v>
      </c>
      <c r="O13" s="3"/>
      <c r="P13" s="4"/>
      <c r="Q13" s="4"/>
    </row>
    <row r="14" spans="1:19" ht="14" x14ac:dyDescent="0.15">
      <c r="A14" s="104" t="s">
        <v>36</v>
      </c>
      <c r="B14" s="1"/>
      <c r="C14" s="3"/>
      <c r="D14" s="1"/>
      <c r="E14" s="3"/>
      <c r="F14" s="3"/>
      <c r="G14" s="3"/>
      <c r="H14" t="s">
        <v>813</v>
      </c>
      <c r="I14" s="3" t="s">
        <v>814</v>
      </c>
      <c r="J14" s="3"/>
      <c r="L14" s="3"/>
      <c r="M14" s="3"/>
      <c r="N14" s="3" t="s">
        <v>815</v>
      </c>
      <c r="O14" s="3"/>
      <c r="P14" s="4"/>
      <c r="Q14" s="4"/>
    </row>
    <row r="15" spans="1:19" ht="14" x14ac:dyDescent="0.15">
      <c r="A15" s="104" t="s">
        <v>701</v>
      </c>
      <c r="B15" s="3"/>
      <c r="C15" s="3"/>
      <c r="D15" s="1"/>
      <c r="E15" s="3"/>
      <c r="F15" s="3"/>
      <c r="G15" s="3"/>
      <c r="H15" s="70" t="s">
        <v>816</v>
      </c>
      <c r="I15" s="3" t="s">
        <v>817</v>
      </c>
      <c r="J15" s="3"/>
      <c r="K15" s="1"/>
      <c r="L15" s="3"/>
      <c r="M15" s="3"/>
      <c r="N15" s="3" t="s">
        <v>818</v>
      </c>
      <c r="O15" s="3"/>
      <c r="P15" s="4"/>
      <c r="Q15" s="4"/>
    </row>
    <row r="16" spans="1:19" x14ac:dyDescent="0.15">
      <c r="A16" s="104"/>
      <c r="B16" s="3"/>
      <c r="C16" s="3"/>
      <c r="D16" s="1"/>
      <c r="E16" s="3"/>
      <c r="F16" s="3"/>
      <c r="G16" s="3"/>
      <c r="H16" s="70" t="s">
        <v>819</v>
      </c>
      <c r="I16" s="3" t="s">
        <v>820</v>
      </c>
      <c r="J16" s="3"/>
      <c r="L16" s="3"/>
      <c r="M16" s="3"/>
      <c r="N16" s="3" t="s">
        <v>821</v>
      </c>
      <c r="O16" s="3"/>
      <c r="P16" s="4"/>
      <c r="Q16" s="4"/>
    </row>
    <row r="17" spans="1:17" ht="14" x14ac:dyDescent="0.15">
      <c r="A17" s="104"/>
      <c r="B17" s="3"/>
      <c r="C17" s="3"/>
      <c r="D17" s="1"/>
      <c r="E17" s="3"/>
      <c r="F17" s="3"/>
      <c r="G17" s="3"/>
      <c r="H17" t="s">
        <v>822</v>
      </c>
      <c r="I17" s="1" t="s">
        <v>823</v>
      </c>
      <c r="J17" s="3"/>
      <c r="K17" s="1"/>
      <c r="L17" s="3"/>
      <c r="M17" s="3"/>
      <c r="N17" s="3"/>
      <c r="O17" s="3"/>
      <c r="P17" s="4"/>
      <c r="Q17" s="4"/>
    </row>
    <row r="18" spans="1:17" x14ac:dyDescent="0.15">
      <c r="A18" s="104"/>
      <c r="B18" s="3"/>
      <c r="C18" s="3"/>
      <c r="D18" s="1"/>
      <c r="E18" s="3"/>
      <c r="F18" s="3"/>
      <c r="G18" s="3"/>
      <c r="H18" s="3" t="s">
        <v>824</v>
      </c>
      <c r="I18" s="3" t="s">
        <v>825</v>
      </c>
      <c r="J18" s="3"/>
      <c r="L18" s="3"/>
      <c r="M18" s="3"/>
      <c r="N18" s="3"/>
      <c r="O18" s="3"/>
      <c r="P18" s="4"/>
      <c r="Q18" s="4"/>
    </row>
    <row r="19" spans="1:17" x14ac:dyDescent="0.15">
      <c r="A19" s="104"/>
      <c r="B19" s="3"/>
      <c r="C19" s="3"/>
      <c r="D19" s="1"/>
      <c r="E19" s="3"/>
      <c r="F19" s="3"/>
      <c r="G19" s="3"/>
      <c r="H19" s="70" t="s">
        <v>826</v>
      </c>
      <c r="I19" s="3" t="s">
        <v>827</v>
      </c>
      <c r="J19" s="3"/>
      <c r="K19" s="1"/>
      <c r="L19" s="3"/>
      <c r="M19" s="3"/>
      <c r="N19" s="3"/>
      <c r="O19" s="3"/>
      <c r="P19" s="4"/>
      <c r="Q19" s="4"/>
    </row>
    <row r="20" spans="1:17" x14ac:dyDescent="0.15">
      <c r="A20" s="104"/>
      <c r="B20" s="3"/>
      <c r="C20" s="3"/>
      <c r="D20" s="1"/>
      <c r="E20" s="3"/>
      <c r="F20" s="3"/>
      <c r="G20" s="3"/>
      <c r="H20" t="s">
        <v>828</v>
      </c>
      <c r="I20" s="3" t="s">
        <v>829</v>
      </c>
      <c r="J20" s="3"/>
      <c r="K20" s="1"/>
      <c r="L20" s="3"/>
      <c r="M20" s="3"/>
      <c r="N20" s="3"/>
      <c r="O20" s="3"/>
      <c r="P20" s="4"/>
      <c r="Q20" s="4"/>
    </row>
    <row r="21" spans="1:17" x14ac:dyDescent="0.15">
      <c r="A21" s="104"/>
      <c r="B21" s="3"/>
      <c r="C21" s="3"/>
      <c r="D21" s="1"/>
      <c r="E21" s="3"/>
      <c r="F21" s="3"/>
      <c r="G21" s="3"/>
      <c r="H21" s="3"/>
      <c r="I21" s="3" t="s">
        <v>830</v>
      </c>
      <c r="J21" s="3"/>
      <c r="K21" s="3"/>
      <c r="L21" s="3"/>
      <c r="M21" s="3"/>
      <c r="N21" s="3"/>
      <c r="O21" s="3"/>
      <c r="P21" s="4"/>
      <c r="Q21" s="4"/>
    </row>
    <row r="22" spans="1:17" ht="28" x14ac:dyDescent="0.15">
      <c r="A22" s="104"/>
      <c r="B22" s="3"/>
      <c r="C22" s="3"/>
      <c r="D22" s="1"/>
      <c r="E22" s="3"/>
      <c r="F22" s="3"/>
      <c r="G22" s="3"/>
      <c r="H22" s="3"/>
      <c r="I22" s="1" t="s">
        <v>831</v>
      </c>
      <c r="J22" s="3"/>
      <c r="K22" s="3"/>
      <c r="L22" s="3"/>
      <c r="M22" s="3"/>
      <c r="N22" s="3"/>
      <c r="O22" s="3"/>
      <c r="P22" s="4"/>
      <c r="Q22" s="4"/>
    </row>
    <row r="23" spans="1:17" x14ac:dyDescent="0.15">
      <c r="A23" s="104"/>
      <c r="B23" s="3"/>
      <c r="C23" s="3"/>
      <c r="E23" s="3"/>
      <c r="F23" s="3"/>
      <c r="G23" s="3"/>
      <c r="H23" s="3"/>
      <c r="I23" s="3" t="s">
        <v>832</v>
      </c>
      <c r="J23" s="3"/>
      <c r="K23" s="3"/>
      <c r="L23" s="3"/>
      <c r="M23" s="3"/>
      <c r="N23" s="3"/>
      <c r="O23" s="3"/>
      <c r="P23" s="4"/>
      <c r="Q23" s="4"/>
    </row>
    <row r="24" spans="1:17" x14ac:dyDescent="0.15">
      <c r="A24" s="104"/>
      <c r="B24" s="3"/>
      <c r="C24" s="3"/>
      <c r="D24" s="1"/>
      <c r="E24" s="3"/>
      <c r="F24" s="3"/>
      <c r="G24" s="3"/>
      <c r="H24" s="3"/>
      <c r="I24" s="3" t="s">
        <v>833</v>
      </c>
      <c r="J24" s="3"/>
      <c r="K24" s="3"/>
      <c r="L24" s="3"/>
      <c r="M24" s="3"/>
      <c r="N24" s="3"/>
      <c r="O24" s="3"/>
      <c r="P24" s="4"/>
      <c r="Q24" s="4"/>
    </row>
    <row r="25" spans="1:17" x14ac:dyDescent="0.15">
      <c r="A25" s="104"/>
      <c r="B25" s="3"/>
      <c r="C25" s="3"/>
      <c r="D25" s="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/>
      <c r="Q25" s="4"/>
    </row>
    <row r="26" spans="1:17" x14ac:dyDescent="0.15">
      <c r="A26" s="103"/>
      <c r="B26" s="3"/>
      <c r="C26" s="3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</row>
    <row r="27" spans="1:17" x14ac:dyDescent="0.15">
      <c r="A27" s="10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/>
      <c r="Q27" s="4"/>
    </row>
    <row r="28" spans="1:17" x14ac:dyDescent="0.15">
      <c r="A28" s="10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/>
      <c r="Q28" s="4"/>
    </row>
    <row r="29" spans="1:17" x14ac:dyDescent="0.15">
      <c r="A29" s="10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</row>
    <row r="30" spans="1:17" x14ac:dyDescent="0.15">
      <c r="A30" s="10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/>
      <c r="Q30" s="4"/>
    </row>
    <row r="31" spans="1:17" x14ac:dyDescent="0.15">
      <c r="A31" s="10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4"/>
    </row>
  </sheetData>
  <sheetProtection password="D9F3" sheet="1" objects="1" scenarios="1"/>
  <sortState xmlns:xlrd2="http://schemas.microsoft.com/office/spreadsheetml/2017/richdata2" ref="O2:O31">
    <sortCondition ref="O1"/>
  </sortState>
  <phoneticPr fontId="4" type="noConversion"/>
  <pageMargins left="0.78740157499999996" right="0.78740157499999996" top="1" bottom="1" header="0.5" footer="0.5"/>
  <pageSetup orientation="portrait" verticalDpi="60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8"/>
  <dimension ref="A1:L369"/>
  <sheetViews>
    <sheetView topLeftCell="A29" zoomScale="70" zoomScaleNormal="70" zoomScalePageLayoutView="70" workbookViewId="0">
      <selection activeCell="E49" sqref="E49"/>
    </sheetView>
  </sheetViews>
  <sheetFormatPr baseColWidth="10" defaultColWidth="10.6640625" defaultRowHeight="13" x14ac:dyDescent="0.15"/>
  <cols>
    <col min="1" max="1" width="31.6640625" customWidth="1"/>
    <col min="2" max="2" width="23.5" style="7" customWidth="1"/>
    <col min="3" max="3" width="20.6640625" style="7" customWidth="1"/>
    <col min="4" max="4" width="38.33203125" style="7" customWidth="1"/>
    <col min="5" max="5" width="41.33203125" style="7" customWidth="1"/>
    <col min="6" max="6" width="17.83203125" style="7" customWidth="1"/>
    <col min="7" max="7" width="49.6640625" customWidth="1"/>
    <col min="10" max="10" width="15.83203125" customWidth="1"/>
  </cols>
  <sheetData>
    <row r="1" spans="1:7" x14ac:dyDescent="0.15">
      <c r="A1" s="15" t="s">
        <v>158</v>
      </c>
      <c r="B1" s="16" t="s">
        <v>834</v>
      </c>
      <c r="C1" s="16"/>
      <c r="D1" s="16"/>
      <c r="E1" s="16"/>
      <c r="F1" s="16" t="s">
        <v>835</v>
      </c>
      <c r="G1" s="15" t="s">
        <v>836</v>
      </c>
    </row>
    <row r="2" spans="1:7" ht="16" x14ac:dyDescent="0.15">
      <c r="A2" s="71" t="s">
        <v>168</v>
      </c>
      <c r="B2" t="e">
        <f>A_ID_I</f>
        <v>#REF!</v>
      </c>
      <c r="F2" s="7" t="s">
        <v>837</v>
      </c>
      <c r="G2" s="17" t="e">
        <f>IF((B2=0),"",B2)</f>
        <v>#REF!</v>
      </c>
    </row>
    <row r="3" spans="1:7" ht="16" x14ac:dyDescent="0.15">
      <c r="A3" s="29" t="s">
        <v>838</v>
      </c>
      <c r="B3" s="363" t="e">
        <f>O_Name_I</f>
        <v>#REF!</v>
      </c>
      <c r="C3" s="361"/>
      <c r="D3" s="361"/>
      <c r="E3" s="362"/>
      <c r="F3" s="18" t="s">
        <v>839</v>
      </c>
      <c r="G3" s="23" t="e">
        <f>IF((B3=0),"",B3)</f>
        <v>#REF!</v>
      </c>
    </row>
    <row r="4" spans="1:7" ht="16" x14ac:dyDescent="0.15">
      <c r="A4" s="79" t="s">
        <v>840</v>
      </c>
      <c r="B4" s="363" t="e">
        <f>T_SubTitle_I</f>
        <v>#REF!</v>
      </c>
      <c r="C4" s="361"/>
      <c r="D4" s="361"/>
      <c r="E4" s="362"/>
      <c r="F4" s="18" t="s">
        <v>839</v>
      </c>
      <c r="G4" s="17" t="e">
        <f>IF((B4=0),"",B4)</f>
        <v>#REF!</v>
      </c>
    </row>
    <row r="5" spans="1:7" ht="16" x14ac:dyDescent="0.15">
      <c r="A5" s="71" t="s">
        <v>841</v>
      </c>
      <c r="B5" s="363" t="e">
        <f>A_AuthorSignature_I</f>
        <v>#REF!</v>
      </c>
      <c r="C5" s="361"/>
      <c r="D5" s="361"/>
      <c r="E5" s="362"/>
      <c r="F5" s="18" t="s">
        <v>839</v>
      </c>
      <c r="G5" s="17" t="e">
        <f>IF((B5=0),"",B5)</f>
        <v>#REF!</v>
      </c>
    </row>
    <row r="6" spans="1:7" ht="16" x14ac:dyDescent="0.15">
      <c r="A6" s="71" t="s">
        <v>842</v>
      </c>
      <c r="B6" s="106" t="e">
        <f>A_ProjectOwner_I</f>
        <v>#REF!</v>
      </c>
      <c r="C6" s="6" t="e">
        <f>LOOKUP(B6,Name_tbl_ExternalProjectDBUsers,Name_tbl_ExternalProjectDBUsers_Id)</f>
        <v>#REF!</v>
      </c>
      <c r="D6" s="25" t="str">
        <f>IF(ISERROR(C6)=TRUE,"",C6)</f>
        <v/>
      </c>
      <c r="E6" s="20"/>
      <c r="F6" s="7" t="s">
        <v>843</v>
      </c>
      <c r="G6" s="21" t="str">
        <f>CONCATENATE(D6)</f>
        <v/>
      </c>
    </row>
    <row r="7" spans="1:7" ht="16" x14ac:dyDescent="0.15">
      <c r="A7" s="71" t="s">
        <v>844</v>
      </c>
      <c r="B7" s="363" t="e">
        <f>A_EditorialResponsibility_I</f>
        <v>#REF!</v>
      </c>
      <c r="C7" s="361"/>
      <c r="D7" s="361"/>
      <c r="E7" s="362"/>
      <c r="F7" s="22" t="s">
        <v>845</v>
      </c>
      <c r="G7" s="23" t="e">
        <f>IF((B7=0),"",B7)</f>
        <v>#REF!</v>
      </c>
    </row>
    <row r="8" spans="1:7" ht="16" x14ac:dyDescent="0.15">
      <c r="A8" s="79" t="s">
        <v>846</v>
      </c>
      <c r="B8" s="363" t="e">
        <f>T_ShortDescription_I</f>
        <v>#REF!</v>
      </c>
      <c r="C8" s="361"/>
      <c r="D8" s="361"/>
      <c r="E8" s="362"/>
      <c r="F8" s="22" t="s">
        <v>845</v>
      </c>
      <c r="G8" s="23" t="e">
        <f>IF((B8=0),"",B8)</f>
        <v>#REF!</v>
      </c>
    </row>
    <row r="9" spans="1:7" ht="16" x14ac:dyDescent="0.15">
      <c r="A9" s="76" t="s">
        <v>163</v>
      </c>
      <c r="B9" s="19" t="e">
        <f>F_GeneralProjectType_I</f>
        <v>#REF!</v>
      </c>
      <c r="C9" s="24" t="e">
        <f>VLOOKUP(B9,Enumeration_GeneralProjectType,3,FALSE)</f>
        <v>#REF!</v>
      </c>
      <c r="D9" s="25" t="str">
        <f>IF(ISERROR(C9)=TRUE,"",C9)</f>
        <v/>
      </c>
      <c r="E9" s="24"/>
      <c r="F9" s="7" t="s">
        <v>847</v>
      </c>
      <c r="G9" s="21" t="str">
        <f>CONCATENATE(D9)</f>
        <v/>
      </c>
    </row>
    <row r="10" spans="1:7" s="86" customFormat="1" ht="16" x14ac:dyDescent="0.15">
      <c r="A10" s="83" t="s">
        <v>848</v>
      </c>
      <c r="B10" s="84"/>
      <c r="C10" s="85"/>
      <c r="E10" s="85"/>
      <c r="F10" s="87" t="s">
        <v>849</v>
      </c>
      <c r="G10" s="88"/>
    </row>
    <row r="11" spans="1:7" s="28" customFormat="1" ht="16" x14ac:dyDescent="0.15">
      <c r="A11" s="75" t="s">
        <v>850</v>
      </c>
      <c r="B11" s="26" t="e">
        <f>F_FinishedProject_I</f>
        <v>#REF!</v>
      </c>
      <c r="C11" s="27" t="e">
        <f>VLOOKUP(B11,Enumeration_Checkbox,2,FALSE)</f>
        <v>#REF!</v>
      </c>
      <c r="D11" t="e">
        <f>IF(C11=0,"",C11)</f>
        <v>#REF!</v>
      </c>
      <c r="E11" s="27"/>
      <c r="F11" s="7" t="s">
        <v>851</v>
      </c>
      <c r="G11" s="21" t="e">
        <f>CONCATENATE(D11)</f>
        <v>#REF!</v>
      </c>
    </row>
    <row r="12" spans="1:7" s="86" customFormat="1" ht="16" x14ac:dyDescent="0.15">
      <c r="A12" s="83" t="s">
        <v>852</v>
      </c>
      <c r="B12" s="84"/>
      <c r="C12" s="87"/>
      <c r="D12" s="89"/>
      <c r="E12" s="87"/>
      <c r="F12" s="87" t="s">
        <v>851</v>
      </c>
      <c r="G12" s="88"/>
    </row>
    <row r="13" spans="1:7" s="28" customFormat="1" ht="16" x14ac:dyDescent="0.15">
      <c r="A13" s="107" t="s">
        <v>853</v>
      </c>
      <c r="B13" s="26" t="e">
        <f>F_PublishToByrapport_I</f>
        <v>#REF!</v>
      </c>
      <c r="C13" s="27" t="e">
        <f t="shared" ref="C13:C20" si="0">VLOOKUP(B13,Enumeration_Checkbox,2,FALSE)</f>
        <v>#REF!</v>
      </c>
      <c r="D13" t="e">
        <f t="shared" ref="D13:D20" si="1">IF(C13=0,"",C13)</f>
        <v>#REF!</v>
      </c>
      <c r="E13" s="27"/>
      <c r="F13" s="7" t="s">
        <v>851</v>
      </c>
      <c r="G13" s="21" t="e">
        <f>CONCATENATE(D13)</f>
        <v>#REF!</v>
      </c>
    </row>
    <row r="14" spans="1:7" s="28" customFormat="1" ht="16" x14ac:dyDescent="0.15">
      <c r="A14" s="75" t="s">
        <v>854</v>
      </c>
      <c r="B14" s="26" t="str">
        <f>IF(FByerExternalTags="","NEI","JA")</f>
        <v>NEI</v>
      </c>
      <c r="C14" s="27" t="str">
        <f t="shared" si="0"/>
        <v>FALSE</v>
      </c>
      <c r="D14" s="25" t="str">
        <f>IF(ISERROR(C14)=TRUE,"",C14)</f>
        <v>FALSE</v>
      </c>
      <c r="E14" s="27"/>
      <c r="F14" s="7" t="s">
        <v>851</v>
      </c>
      <c r="G14" s="21" t="str">
        <f>CONCATENATE(D14)</f>
        <v>FALSE</v>
      </c>
    </row>
    <row r="15" spans="1:7" s="28" customFormat="1" ht="16" x14ac:dyDescent="0.15">
      <c r="A15" s="72" t="s">
        <v>855</v>
      </c>
      <c r="B15" s="26" t="e">
        <f>A_PublishToHusbanken_I</f>
        <v>#REF!</v>
      </c>
      <c r="C15" s="27" t="e">
        <f t="shared" si="0"/>
        <v>#REF!</v>
      </c>
      <c r="D15" t="e">
        <f t="shared" si="1"/>
        <v>#REF!</v>
      </c>
      <c r="E15" s="27"/>
      <c r="F15" s="7" t="s">
        <v>851</v>
      </c>
      <c r="G15" s="21" t="e">
        <f t="shared" ref="G15:G21" si="2">CONCATENATE(D15)</f>
        <v>#REF!</v>
      </c>
    </row>
    <row r="16" spans="1:7" s="28" customFormat="1" ht="16" x14ac:dyDescent="0.15">
      <c r="A16" s="72" t="s">
        <v>856</v>
      </c>
      <c r="B16" s="26" t="e">
        <f>A_PublishToEnova_I</f>
        <v>#REF!</v>
      </c>
      <c r="C16" s="27" t="e">
        <f t="shared" si="0"/>
        <v>#REF!</v>
      </c>
      <c r="D16" t="e">
        <f t="shared" si="1"/>
        <v>#REF!</v>
      </c>
      <c r="E16" s="27"/>
      <c r="F16" s="7" t="s">
        <v>851</v>
      </c>
      <c r="G16" s="21" t="e">
        <f t="shared" si="2"/>
        <v>#REF!</v>
      </c>
    </row>
    <row r="17" spans="1:7" s="28" customFormat="1" ht="16" x14ac:dyDescent="0.15">
      <c r="A17" s="72" t="s">
        <v>857</v>
      </c>
      <c r="B17" s="26" t="e">
        <f>A_PublishToFramtidensByer_I</f>
        <v>#REF!</v>
      </c>
      <c r="C17" s="27" t="e">
        <f t="shared" si="0"/>
        <v>#REF!</v>
      </c>
      <c r="D17" t="e">
        <f t="shared" si="1"/>
        <v>#REF!</v>
      </c>
      <c r="E17" s="27"/>
      <c r="F17" s="7" t="s">
        <v>851</v>
      </c>
      <c r="G17" s="21" t="e">
        <f t="shared" si="2"/>
        <v>#REF!</v>
      </c>
    </row>
    <row r="18" spans="1:7" s="28" customFormat="1" ht="16" x14ac:dyDescent="0.15">
      <c r="A18" s="107" t="s">
        <v>858</v>
      </c>
      <c r="B18" s="26" t="e">
        <f>A_PublishToTretekniskInstitutt_I</f>
        <v>#REF!</v>
      </c>
      <c r="C18" s="27" t="e">
        <f t="shared" si="0"/>
        <v>#REF!</v>
      </c>
      <c r="D18" t="e">
        <f t="shared" si="1"/>
        <v>#REF!</v>
      </c>
      <c r="E18" s="27"/>
      <c r="F18" s="7" t="s">
        <v>851</v>
      </c>
      <c r="G18" s="21" t="e">
        <f t="shared" si="2"/>
        <v>#REF!</v>
      </c>
    </row>
    <row r="19" spans="1:7" ht="16" x14ac:dyDescent="0.15">
      <c r="A19" s="71" t="s">
        <v>859</v>
      </c>
      <c r="B19" s="26" t="e">
        <f>A_HideOnEcobox_I</f>
        <v>#REF!</v>
      </c>
      <c r="C19" s="27" t="e">
        <f t="shared" si="0"/>
        <v>#REF!</v>
      </c>
      <c r="D19" t="e">
        <f t="shared" si="1"/>
        <v>#REF!</v>
      </c>
      <c r="E19" s="27"/>
      <c r="F19" s="7" t="s">
        <v>851</v>
      </c>
      <c r="G19" s="21" t="e">
        <f t="shared" si="2"/>
        <v>#REF!</v>
      </c>
    </row>
    <row r="20" spans="1:7" ht="16" x14ac:dyDescent="0.15">
      <c r="A20" s="71" t="s">
        <v>860</v>
      </c>
      <c r="B20" s="26" t="e">
        <f>A_HideOnProjectFrontPage_I</f>
        <v>#REF!</v>
      </c>
      <c r="C20" s="27" t="e">
        <f t="shared" si="0"/>
        <v>#REF!</v>
      </c>
      <c r="D20" t="e">
        <f t="shared" si="1"/>
        <v>#REF!</v>
      </c>
      <c r="E20" s="27"/>
      <c r="F20" s="7" t="s">
        <v>851</v>
      </c>
      <c r="G20" s="21" t="e">
        <f t="shared" si="2"/>
        <v>#REF!</v>
      </c>
    </row>
    <row r="21" spans="1:7" ht="16" x14ac:dyDescent="0.15">
      <c r="A21" s="71" t="s">
        <v>167</v>
      </c>
      <c r="B21" s="47" t="e">
        <f>A_EcoProjectTemplate_I</f>
        <v>#REF!</v>
      </c>
      <c r="C21" s="27" t="e">
        <f>VLOOKUP(B21,Enumerations!Z2:AA4,2,FALSE)</f>
        <v>#REF!</v>
      </c>
      <c r="D21" t="str">
        <f>IF(ISERROR(C21)=TRUE,"",C21)</f>
        <v/>
      </c>
      <c r="E21" s="27"/>
      <c r="F21" s="110" t="s">
        <v>861</v>
      </c>
      <c r="G21" s="124" t="str">
        <f t="shared" si="2"/>
        <v/>
      </c>
    </row>
    <row r="22" spans="1:7" ht="16" x14ac:dyDescent="0.15">
      <c r="A22" s="29" t="s">
        <v>862</v>
      </c>
      <c r="B22" s="6" t="e">
        <f>O_Contact_I</f>
        <v>#REF!</v>
      </c>
      <c r="C22" s="6"/>
      <c r="D22" s="6"/>
      <c r="E22" s="6"/>
      <c r="F22" s="6" t="s">
        <v>839</v>
      </c>
      <c r="G22" s="23" t="e">
        <f>IF((B22=0),"",B22)</f>
        <v>#REF!</v>
      </c>
    </row>
    <row r="23" spans="1:7" ht="16" x14ac:dyDescent="0.15">
      <c r="A23" s="29" t="s">
        <v>863</v>
      </c>
      <c r="B23" s="6" t="e">
        <f>O_ContactPhone_I</f>
        <v>#REF!</v>
      </c>
      <c r="C23" s="6"/>
      <c r="D23" s="6"/>
      <c r="E23" s="6"/>
      <c r="F23" s="6" t="s">
        <v>839</v>
      </c>
      <c r="G23" s="23" t="e">
        <f>IF((B23=0),"",B23)</f>
        <v>#REF!</v>
      </c>
    </row>
    <row r="24" spans="1:7" ht="17" thickBot="1" x14ac:dyDescent="0.2">
      <c r="A24" s="29" t="s">
        <v>864</v>
      </c>
      <c r="B24" s="6" t="e">
        <f>O_ContactEmail_I</f>
        <v>#REF!</v>
      </c>
      <c r="C24" s="6"/>
      <c r="D24" s="6"/>
      <c r="E24" s="6"/>
      <c r="F24" s="6" t="s">
        <v>839</v>
      </c>
      <c r="G24" s="23" t="e">
        <f>IF((B24=0),"",B24)</f>
        <v>#REF!</v>
      </c>
    </row>
    <row r="25" spans="1:7" ht="16" x14ac:dyDescent="0.15">
      <c r="A25" s="74" t="s">
        <v>865</v>
      </c>
      <c r="B25" s="34" t="e">
        <f>F_FByerExternalTags_I1</f>
        <v>#REF!</v>
      </c>
      <c r="C25" s="31" t="e">
        <f>VLOOKUP(B25,tbl_FByerExternalTags!A$1:T$10000,3,FALSE)</f>
        <v>#REF!</v>
      </c>
      <c r="D25" s="25" t="str">
        <f>IF(ISERROR(C25)=TRUE,"",C25)</f>
        <v/>
      </c>
      <c r="E25" s="32"/>
      <c r="F25" s="32"/>
      <c r="G25" s="33"/>
    </row>
    <row r="26" spans="1:7" ht="15" x14ac:dyDescent="0.15">
      <c r="A26" s="132"/>
      <c r="B26" s="34" t="e">
        <f>F_FByerExternalTags_I2</f>
        <v>#REF!</v>
      </c>
      <c r="C26" s="6" t="e">
        <f>VLOOKUP(B26,tbl_FByerExternalTags!A$1:T$10000,3,FALSE)</f>
        <v>#REF!</v>
      </c>
      <c r="D26" s="25" t="str">
        <f>IF(ISERROR(C26)=TRUE,"",CONCATENATE(Deletegn,C26))</f>
        <v/>
      </c>
      <c r="E26" s="6"/>
      <c r="F26" s="6"/>
      <c r="G26" s="35"/>
    </row>
    <row r="27" spans="1:7" ht="15" x14ac:dyDescent="0.15">
      <c r="A27" s="132"/>
      <c r="B27" s="34" t="e">
        <f>F_FByerExternalTags_I3</f>
        <v>#REF!</v>
      </c>
      <c r="C27" s="6" t="e">
        <f>VLOOKUP(B27,tbl_FByerExternalTags!A$1:T$10000,3,FALSE)</f>
        <v>#REF!</v>
      </c>
      <c r="D27" s="25" t="str">
        <f>IF(ISERROR(C27)=TRUE,"",CONCATENATE(Deletegn,C27))</f>
        <v/>
      </c>
      <c r="E27" s="6"/>
      <c r="F27" s="6"/>
      <c r="G27" s="35"/>
    </row>
    <row r="28" spans="1:7" ht="15" x14ac:dyDescent="0.15">
      <c r="A28" s="132"/>
      <c r="B28" s="34" t="e">
        <f>F_FByerExternalTags_I4</f>
        <v>#REF!</v>
      </c>
      <c r="C28" s="6" t="e">
        <f>VLOOKUP(B28,tbl_FByerExternalTags!A$1:T$10000,3,FALSE)</f>
        <v>#REF!</v>
      </c>
      <c r="D28" s="25" t="str">
        <f>IF(ISERROR(C28)=TRUE,"",CONCATENATE(Deletegn,C28))</f>
        <v/>
      </c>
      <c r="E28" s="6"/>
      <c r="F28" s="6"/>
      <c r="G28" s="35"/>
    </row>
    <row r="29" spans="1:7" ht="16" thickBot="1" x14ac:dyDescent="0.2">
      <c r="A29" s="133"/>
      <c r="B29" s="36" t="e">
        <f>F_FByerExternalTags_I5</f>
        <v>#REF!</v>
      </c>
      <c r="C29" s="37" t="e">
        <f>VLOOKUP(B29,tbl_FByerExternalTags!A$1:T$10000,3,FALSE)</f>
        <v>#REF!</v>
      </c>
      <c r="D29" s="25" t="str">
        <f>IF(ISERROR(C29)=TRUE,"",CONCATENATE(Deletegn,C29))</f>
        <v/>
      </c>
      <c r="E29" s="37"/>
      <c r="F29" s="37" t="s">
        <v>866</v>
      </c>
      <c r="G29" s="14" t="str">
        <f>CONCATENATE(D25,D26,D27,D28,D29)</f>
        <v/>
      </c>
    </row>
    <row r="30" spans="1:7" ht="16" x14ac:dyDescent="0.15">
      <c r="A30" s="30" t="s">
        <v>867</v>
      </c>
      <c r="B30" s="34" t="e">
        <f>O_ExternalTags_I1</f>
        <v>#NAME?</v>
      </c>
      <c r="C30" s="6" t="e">
        <f>LOOKUP(B30,Name_tbl_ExternalTags,Name_tbl_ExternalTags_Id)</f>
        <v>#NAME?</v>
      </c>
      <c r="D30" s="25" t="str">
        <f>IF(ISERROR(C30)=TRUE,"",C30)</f>
        <v/>
      </c>
      <c r="E30" s="32"/>
      <c r="F30" s="32"/>
      <c r="G30" s="33"/>
    </row>
    <row r="31" spans="1:7" ht="15" x14ac:dyDescent="0.15">
      <c r="A31" s="134"/>
      <c r="B31" s="34" t="e">
        <f>O_ExternalTags_I2</f>
        <v>#NAME?</v>
      </c>
      <c r="C31" s="6" t="e">
        <f>LOOKUP(B31,Name_tbl_ExternalTags,Name_tbl_ExternalTags_Id)</f>
        <v>#NAME?</v>
      </c>
      <c r="D31" s="25" t="str">
        <f>IF(ISERROR(C31)=TRUE,"",CONCATENATE(Deletegn,C31))</f>
        <v/>
      </c>
      <c r="E31" s="6"/>
      <c r="F31" s="6"/>
      <c r="G31" s="35"/>
    </row>
    <row r="32" spans="1:7" ht="15" x14ac:dyDescent="0.15">
      <c r="A32" s="134"/>
      <c r="B32" s="34" t="e">
        <f>O_ExternalTags_I3</f>
        <v>#NAME?</v>
      </c>
      <c r="C32" s="6" t="e">
        <f>LOOKUP(B32,Name_tbl_ExternalTags,Name_tbl_ExternalTags_Id)</f>
        <v>#NAME?</v>
      </c>
      <c r="D32" s="25" t="str">
        <f>IF(ISERROR(C32)=TRUE,"",CONCATENATE(Deletegn,C32))</f>
        <v/>
      </c>
      <c r="E32" s="6"/>
      <c r="F32" s="6"/>
      <c r="G32" s="35"/>
    </row>
    <row r="33" spans="1:11" ht="15" x14ac:dyDescent="0.15">
      <c r="A33" s="134"/>
      <c r="B33" s="34" t="e">
        <f>O_ExternalTags_I4</f>
        <v>#NAME?</v>
      </c>
      <c r="C33" s="6" t="e">
        <f>LOOKUP(B33,Name_tbl_ExternalTags,Name_tbl_ExternalTags_Id)</f>
        <v>#NAME?</v>
      </c>
      <c r="D33" s="25" t="str">
        <f>IF(ISERROR(C33)=TRUE,"",CONCATENATE(Deletegn,C33))</f>
        <v/>
      </c>
      <c r="E33" s="6"/>
      <c r="F33" s="6"/>
      <c r="G33" s="35"/>
    </row>
    <row r="34" spans="1:11" ht="17" thickBot="1" x14ac:dyDescent="0.2">
      <c r="A34" s="121" t="s">
        <v>868</v>
      </c>
      <c r="B34" s="36" t="e">
        <f>O_ExternalTags_I5</f>
        <v>#NAME?</v>
      </c>
      <c r="C34" s="6" t="e">
        <f>LOOKUP(B34,Name_tbl_ExternalTags,Name_tbl_ExternalTags_Id)</f>
        <v>#NAME?</v>
      </c>
      <c r="D34" s="25" t="str">
        <f>IF(ISERROR(C34)=TRUE,"",CONCATENATE(Deletegn,C34))</f>
        <v/>
      </c>
      <c r="E34" s="37"/>
      <c r="F34" s="37" t="s">
        <v>866</v>
      </c>
      <c r="G34" s="14" t="str">
        <f>CONCATENATE(D30,D31,D32,D33,D34)</f>
        <v/>
      </c>
    </row>
    <row r="35" spans="1:11" ht="16" x14ac:dyDescent="0.15">
      <c r="A35" s="73" t="s">
        <v>869</v>
      </c>
      <c r="B35" s="34" t="e">
        <f>A_ExternalProjectDBUsers_I1</f>
        <v>#REF!</v>
      </c>
      <c r="C35" s="6" t="e">
        <f>LOOKUP(B35,Name_tbl_ExternalProjectDBUsers,Name_tbl_ExternalProjectDBUsers_Id)</f>
        <v>#REF!</v>
      </c>
      <c r="D35" s="25" t="str">
        <f>IF(ISERROR(C35)=TRUE,"",C35)</f>
        <v/>
      </c>
      <c r="E35" s="39"/>
      <c r="F35" s="39"/>
      <c r="G35" s="40"/>
    </row>
    <row r="36" spans="1:11" ht="15" x14ac:dyDescent="0.15">
      <c r="A36" s="135"/>
      <c r="B36" s="34" t="e">
        <f>A_ExternalProjectDBUsers_I2</f>
        <v>#REF!</v>
      </c>
      <c r="C36" s="6" t="e">
        <f>LOOKUP(B36,Name_tbl_ExternalProjectDBUsers,Name_tbl_ExternalProjectDBUsers_Id)</f>
        <v>#REF!</v>
      </c>
      <c r="D36" s="25" t="str">
        <f>IF(ISERROR(C36)=TRUE,"",CONCATENATE(Deletegn,C36))</f>
        <v/>
      </c>
      <c r="G36" s="41"/>
    </row>
    <row r="37" spans="1:11" ht="15" x14ac:dyDescent="0.2">
      <c r="A37" s="135"/>
      <c r="B37" s="34" t="e">
        <f>A_ExternalProjectDBUsers_I3</f>
        <v>#REF!</v>
      </c>
      <c r="C37" s="6" t="e">
        <f>LOOKUP(B37,Name_tbl_ExternalProjectDBUsers,Name_tbl_ExternalProjectDBUsers_Id)</f>
        <v>#REF!</v>
      </c>
      <c r="D37" s="25" t="str">
        <f>IF(ISERROR(C37)=TRUE,"",CONCATENATE(Deletegn,C37))</f>
        <v/>
      </c>
      <c r="G37" s="41"/>
      <c r="J37" s="45"/>
    </row>
    <row r="38" spans="1:11" ht="15" x14ac:dyDescent="0.2">
      <c r="A38" s="135"/>
      <c r="B38" s="34" t="e">
        <f>A_ExternalProjectDBUsers_I4</f>
        <v>#REF!</v>
      </c>
      <c r="C38" s="6" t="e">
        <f>LOOKUP(B38,Name_tbl_ExternalProjectDBUsers,Name_tbl_ExternalProjectDBUsers_Id)</f>
        <v>#REF!</v>
      </c>
      <c r="D38" s="25" t="str">
        <f>IF(ISERROR(C38)=TRUE,"",CONCATENATE(Deletegn,C38))</f>
        <v/>
      </c>
      <c r="G38" s="41"/>
      <c r="J38" s="45"/>
    </row>
    <row r="39" spans="1:11" ht="16" thickBot="1" x14ac:dyDescent="0.2">
      <c r="A39" s="136"/>
      <c r="B39" s="36" t="e">
        <f>A_ExternalProjectDBUsers_I5</f>
        <v>#REF!</v>
      </c>
      <c r="C39" s="6" t="e">
        <f>LOOKUP(B39,Name_tbl_ExternalProjectDBUsers,Name_tbl_ExternalProjectDBUsers_Id)</f>
        <v>#REF!</v>
      </c>
      <c r="D39" s="25" t="str">
        <f>IF(ISERROR(C39)=TRUE,"",CONCATENATE(Deletegn,C39))</f>
        <v/>
      </c>
      <c r="E39" s="43"/>
      <c r="F39" s="7" t="s">
        <v>866</v>
      </c>
      <c r="G39" s="44" t="str">
        <f>CONCATENATE(D35,D36,D37,D38,D39)</f>
        <v/>
      </c>
      <c r="J39" s="46"/>
    </row>
    <row r="40" spans="1:11" ht="16" x14ac:dyDescent="0.15">
      <c r="A40" s="79" t="s">
        <v>870</v>
      </c>
      <c r="B40" t="e">
        <f>IF(T_Avsnitt_Title_I1=0,"",T_Avsnitt_Title_I1)</f>
        <v>#REF!</v>
      </c>
      <c r="C40" t="e">
        <f>IF(B41="","",CONCATENATE(Dele_ParagraphTitle,B40))</f>
        <v>#REF!</v>
      </c>
      <c r="D40" s="25" t="e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C25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,"♦","&amp;diams;")</f>
        <v>#REF!</v>
      </c>
      <c r="F40" t="s">
        <v>839</v>
      </c>
      <c r="G40" s="41"/>
      <c r="J40" s="46"/>
    </row>
    <row r="41" spans="1:11" ht="15" x14ac:dyDescent="0.15">
      <c r="A41" s="79"/>
      <c r="B41" t="e">
        <f>IF(T_Avsnitt_Text_I1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Avsnitt_Text_I1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41" s="25" t="e">
        <f>IF(B41="","",SUBSTITUTE(SUBSTITUTE(SUBSTITUTE(SUBSTITUTE(SUBSTITUTE(SUBSTITUTE(SUBSTITUTE(SUBSTITUTE(SUBSTITUTE(SUBSTITUTE(SUBSTITUTE(SUBSTITUTE(SUBSTITUTE(SUBSTITUTE(SUBSTITUTE(SUBSTITUTE(SUBSTITUTE(SUBSTITUTE(SUBSTITUTE(SUBSTITUTE(SUBSTITUTE(SUBSTITUTE(SUBSTITUTE(SUBSTITUTE(B41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41" s="25" t="e">
        <f>IF(C41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41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41" s="7" t="e">
        <f>IF((D41=""),"",CONCATENATE(Dele_ParagraphText,html.pstart,SUBSTITUTE(SUBSTITUTE(D41,"
","&lt;/p&gt;&lt;p&gt;"),"
","&lt;br&gt;"),html.pend))</f>
        <v>#REF!</v>
      </c>
      <c r="F41" t="s">
        <v>871</v>
      </c>
      <c r="G41" s="41"/>
      <c r="J41" s="46"/>
    </row>
    <row r="42" spans="1:11" ht="15" x14ac:dyDescent="0.15">
      <c r="A42" s="79"/>
      <c r="B42" s="1" t="e">
        <f>IF(T_Avsnitt_Title_I2=0,"",T_Avsnitt_Title_I2)</f>
        <v>#REF!</v>
      </c>
      <c r="C42" t="e">
        <f>IF(B43="","",CONCATENATE(Dele_ParagraphTitle,B42))</f>
        <v>#REF!</v>
      </c>
      <c r="D42"/>
      <c r="F42" t="s">
        <v>839</v>
      </c>
      <c r="G42" s="41"/>
      <c r="J42" s="46"/>
    </row>
    <row r="43" spans="1:11" ht="15" x14ac:dyDescent="0.15">
      <c r="A43" s="79"/>
      <c r="B43" t="e">
        <f>IF(T_Avsnitt_Text_I2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Avsnitt_Text_I2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43" s="25" t="e">
        <f>IF(B43="","",SUBSTITUTE(SUBSTITUTE(SUBSTITUTE(SUBSTITUTE(SUBSTITUTE(SUBSTITUTE(SUBSTITUTE(SUBSTITUTE(SUBSTITUTE(SUBSTITUTE(SUBSTITUTE(SUBSTITUTE(SUBSTITUTE(SUBSTITUTE(SUBSTITUTE(SUBSTITUTE(SUBSTITUTE(SUBSTITUTE(SUBSTITUTE(SUBSTITUTE(SUBSTITUTE(SUBSTITUTE(SUBSTITUTE(SUBSTITUTE(B43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43" s="25" t="e">
        <f>IF(C43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43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43" s="7" t="e">
        <f>IF((D43=""),"",CONCATENATE(Dele_ParagraphText,html.pstart,SUBSTITUTE(SUBSTITUTE(D43,"
","&lt;/p&gt;&lt;p&gt;"),"
","&lt;br&gt;"),html.pend))</f>
        <v>#REF!</v>
      </c>
      <c r="F43" t="s">
        <v>871</v>
      </c>
      <c r="G43" s="41"/>
      <c r="J43" s="46"/>
    </row>
    <row r="44" spans="1:11" ht="15" x14ac:dyDescent="0.15">
      <c r="A44" s="79"/>
      <c r="B44" s="1" t="e">
        <f>IF(T_Avsnitt_Title_I3=0,"",T_Avsnitt_Title_I3)</f>
        <v>#REF!</v>
      </c>
      <c r="C44" t="e">
        <f>IF(B45="","",CONCATENATE(Dele_ParagraphTitle,B44))</f>
        <v>#REF!</v>
      </c>
      <c r="D44"/>
      <c r="F44" t="s">
        <v>839</v>
      </c>
      <c r="G44" s="41"/>
      <c r="J44" s="46"/>
    </row>
    <row r="45" spans="1:11" ht="15" x14ac:dyDescent="0.15">
      <c r="A45" s="79"/>
      <c r="B45" t="e">
        <f>IF(T_Avsnitt_Text_I3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Avsnitt_Text_I3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45" s="25" t="e">
        <f>IF(B45="","",SUBSTITUTE(SUBSTITUTE(SUBSTITUTE(SUBSTITUTE(SUBSTITUTE(SUBSTITUTE(SUBSTITUTE(SUBSTITUTE(SUBSTITUTE(SUBSTITUTE(SUBSTITUTE(SUBSTITUTE(SUBSTITUTE(SUBSTITUTE(SUBSTITUTE(SUBSTITUTE(SUBSTITUTE(SUBSTITUTE(SUBSTITUTE(SUBSTITUTE(SUBSTITUTE(SUBSTITUTE(SUBSTITUTE(SUBSTITUTE(B45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45" s="25" t="e">
        <f>IF(C45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45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45" s="7" t="e">
        <f>IF((D45=""),"",CONCATENATE(Dele_ParagraphText,html.pstart,SUBSTITUTE(SUBSTITUTE(D45,"
","&lt;/p&gt;&lt;p&gt;"),"
","&lt;br&gt;"),html.pend))</f>
        <v>#REF!</v>
      </c>
      <c r="F45" t="s">
        <v>871</v>
      </c>
      <c r="G45" s="41"/>
      <c r="J45" s="46"/>
    </row>
    <row r="46" spans="1:11" ht="15" x14ac:dyDescent="0.15">
      <c r="A46" s="79"/>
      <c r="B46" t="e">
        <f>IF(T_Avsnitt_Title_I4=0,"",T_Avsnitt_Title_I4)</f>
        <v>#REF!</v>
      </c>
      <c r="C46" t="e">
        <f>IF(B47="","",CONCATENATE(Dele_ParagraphTitle,B46))</f>
        <v>#REF!</v>
      </c>
      <c r="D46"/>
      <c r="F46" t="s">
        <v>839</v>
      </c>
      <c r="G46" s="41"/>
      <c r="J46" s="46"/>
    </row>
    <row r="47" spans="1:11" x14ac:dyDescent="0.15">
      <c r="A47" s="80"/>
      <c r="B47" t="e">
        <f>IF(T_Avsnitt_Text_I4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Avsnitt_Text_I4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47" s="25" t="e">
        <f>IF(B47="","",SUBSTITUTE(SUBSTITUTE(SUBSTITUTE(SUBSTITUTE(SUBSTITUTE(SUBSTITUTE(SUBSTITUTE(SUBSTITUTE(SUBSTITUTE(SUBSTITUTE(SUBSTITUTE(SUBSTITUTE(SUBSTITUTE(SUBSTITUTE(SUBSTITUTE(SUBSTITUTE(SUBSTITUTE(SUBSTITUTE(SUBSTITUTE(SUBSTITUTE(SUBSTITUTE(SUBSTITUTE(SUBSTITUTE(SUBSTITUTE(B47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47" s="25" t="e">
        <f>IF(C47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47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47" s="7" t="e">
        <f>IF((D47=""),"",CONCATENATE(Dele_ParagraphText,html.pstart,SUBSTITUTE(SUBSTITUTE(D47,"
","&lt;/p&gt;&lt;p&gt;"),"
","&lt;br&gt;"),html.pend))</f>
        <v>#REF!</v>
      </c>
      <c r="F47" s="7" t="s">
        <v>871</v>
      </c>
      <c r="G47" s="41"/>
      <c r="I47" s="47"/>
      <c r="J47" s="47"/>
      <c r="K47" s="47"/>
    </row>
    <row r="48" spans="1:11" ht="15" x14ac:dyDescent="0.15">
      <c r="A48" s="137"/>
      <c r="B48" t="e">
        <f>IF(T_Avsnitt_Title_I5=0,"",T_Avsnitt_Title_I5)</f>
        <v>#REF!</v>
      </c>
      <c r="C48" t="e">
        <f>IF(C49="","",CONCATENATE(Dele_ParagraphTitle,B48))</f>
        <v>#REF!</v>
      </c>
      <c r="D48"/>
      <c r="F48" t="s">
        <v>839</v>
      </c>
      <c r="G48" s="41"/>
      <c r="J48" s="46"/>
    </row>
    <row r="49" spans="1:10" ht="15" x14ac:dyDescent="0.15">
      <c r="A49" s="81"/>
      <c r="B49" t="e">
        <f>IF(T_Avsnitt_Text_I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Avsnitt_Text_I5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49" s="25" t="e">
        <f>IF(B49="","",SUBSTITUTE(SUBSTITUTE(SUBSTITUTE(SUBSTITUTE(SUBSTITUTE(SUBSTITUTE(SUBSTITUTE(SUBSTITUTE(SUBSTITUTE(SUBSTITUTE(SUBSTITUTE(SUBSTITUTE(SUBSTITUTE(SUBSTITUTE(SUBSTITUTE(SUBSTITUTE(SUBSTITUTE(SUBSTITUTE(SUBSTITUTE(SUBSTITUTE(SUBSTITUTE(SUBSTITUTE(SUBSTITUTE(SUBSTITUTE(B49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49" s="25" t="e">
        <f>IF(C49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49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49" s="7" t="e">
        <f>IF((D49=""),"",CONCATENATE(Dele_ParagraphText,html.pstart,SUBSTITUTE(SUBSTITUTE(D49,"
","&lt;/p&gt;&lt;p&gt;"),"
","&lt;br&gt;"),html.pend))</f>
        <v>#REF!</v>
      </c>
      <c r="F49" s="7" t="s">
        <v>871</v>
      </c>
      <c r="G49" s="93" t="e">
        <f>CONCATENATE(C40,E41,C42,E43,C44,E45,C46,E47,C48,E49)</f>
        <v>#REF!</v>
      </c>
      <c r="J49" s="46"/>
    </row>
    <row r="50" spans="1:10" ht="16" x14ac:dyDescent="0.15">
      <c r="A50" s="82" t="s">
        <v>872</v>
      </c>
      <c r="B50" s="120" t="e">
        <f>T_EcoMeasure_Id_I1</f>
        <v>#REF!</v>
      </c>
      <c r="C50" s="25" t="e">
        <f>IF(B50=0,"",B50)</f>
        <v>#REF!</v>
      </c>
      <c r="F50" s="7" t="s">
        <v>866</v>
      </c>
      <c r="J50" s="46"/>
    </row>
    <row r="51" spans="1:10" ht="15" x14ac:dyDescent="0.15">
      <c r="A51" s="82"/>
      <c r="B51" s="100" t="e">
        <f>T_EcoMeasure_Id_I2</f>
        <v>#REF!</v>
      </c>
      <c r="C51" s="25" t="e">
        <f t="shared" ref="C51:C57" si="3">IF(B51=0,"",CONCATENATE(Deletegn,B51))</f>
        <v>#REF!</v>
      </c>
      <c r="G51" s="49"/>
      <c r="J51" s="46"/>
    </row>
    <row r="52" spans="1:10" ht="15" x14ac:dyDescent="0.15">
      <c r="A52" s="82"/>
      <c r="B52" s="100" t="e">
        <f>T_EcoMeasure_Id_I3</f>
        <v>#REF!</v>
      </c>
      <c r="C52" s="25" t="e">
        <f t="shared" si="3"/>
        <v>#REF!</v>
      </c>
      <c r="G52" s="49"/>
      <c r="J52" s="46"/>
    </row>
    <row r="53" spans="1:10" ht="15" x14ac:dyDescent="0.15">
      <c r="A53" s="82"/>
      <c r="B53" s="100" t="e">
        <f>T_EcoMeasure_Id_I4</f>
        <v>#REF!</v>
      </c>
      <c r="C53" s="25" t="e">
        <f t="shared" si="3"/>
        <v>#REF!</v>
      </c>
      <c r="G53" s="49"/>
      <c r="J53" s="46"/>
    </row>
    <row r="54" spans="1:10" ht="15" x14ac:dyDescent="0.15">
      <c r="A54" s="82"/>
      <c r="B54" s="100" t="e">
        <f>T_EcoMeasure_Id_I5</f>
        <v>#REF!</v>
      </c>
      <c r="C54" s="25" t="e">
        <f t="shared" si="3"/>
        <v>#REF!</v>
      </c>
      <c r="G54" s="49"/>
      <c r="J54" s="46"/>
    </row>
    <row r="55" spans="1:10" ht="15" x14ac:dyDescent="0.15">
      <c r="A55" s="82"/>
      <c r="B55" s="100" t="e">
        <f>T_EcoMeasure_Id_I6</f>
        <v>#REF!</v>
      </c>
      <c r="C55" s="25" t="e">
        <f t="shared" si="3"/>
        <v>#REF!</v>
      </c>
      <c r="G55" s="49"/>
      <c r="J55" s="46"/>
    </row>
    <row r="56" spans="1:10" ht="15" x14ac:dyDescent="0.15">
      <c r="A56" s="82"/>
      <c r="B56" s="100" t="e">
        <f>T_EcoMeasure_Id_I7</f>
        <v>#REF!</v>
      </c>
      <c r="C56" s="25" t="e">
        <f t="shared" si="3"/>
        <v>#REF!</v>
      </c>
      <c r="G56" s="49"/>
      <c r="J56" s="46"/>
    </row>
    <row r="57" spans="1:10" ht="16" thickBot="1" x14ac:dyDescent="0.2">
      <c r="A57" s="82"/>
      <c r="B57" s="100" t="e">
        <f>T_EcoMeasure_Id_I8</f>
        <v>#REF!</v>
      </c>
      <c r="C57" s="25" t="e">
        <f t="shared" si="3"/>
        <v>#REF!</v>
      </c>
      <c r="G57" s="14" t="e">
        <f>CONCATENATE(C50,C51,C52,C53,C54,C55,C56,C57)</f>
        <v>#REF!</v>
      </c>
      <c r="J57" s="46"/>
    </row>
    <row r="58" spans="1:10" ht="16" x14ac:dyDescent="0.15">
      <c r="A58" s="82" t="s">
        <v>873</v>
      </c>
      <c r="B58" s="363" t="e">
        <f>T_EconomyHeader_I</f>
        <v>#REF!</v>
      </c>
      <c r="C58" s="361"/>
      <c r="D58" s="361"/>
      <c r="E58" s="362"/>
      <c r="F58" s="18" t="s">
        <v>839</v>
      </c>
      <c r="G58" s="23" t="e">
        <f>IF(B58=0,"",B58)</f>
        <v>#REF!</v>
      </c>
      <c r="J58" s="46"/>
    </row>
    <row r="59" spans="1:10" ht="117" customHeight="1" x14ac:dyDescent="0.15">
      <c r="A59" s="82" t="s">
        <v>874</v>
      </c>
      <c r="B59" t="e">
        <f>IF(T_Economy_I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nomy_I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59" s="25" t="e">
        <f>IF(B59="","",SUBSTITUTE(SUBSTITUTE(SUBSTITUTE(SUBSTITUTE(SUBSTITUTE(SUBSTITUTE(SUBSTITUTE(SUBSTITUTE(SUBSTITUTE(SUBSTITUTE(SUBSTITUTE(SUBSTITUTE(SUBSTITUTE(SUBSTITUTE(SUBSTITUTE(SUBSTITUTE(SUBSTITUTE(SUBSTITUTE(SUBSTITUTE(SUBSTITUTE(SUBSTITUTE(SUBSTITUTE(SUBSTITUTE(SUBSTITUTE(B59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59" s="25" t="e">
        <f>IF(C59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59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59" s="7" t="e">
        <f>IF((D59=""),"",SUBSTITUTE(SUBSTITUTE(D59,"
","&lt;/p&gt;&lt;p&gt;"),"
","&lt;br&gt;"))</f>
        <v>#REF!</v>
      </c>
      <c r="F59" s="18" t="s">
        <v>871</v>
      </c>
      <c r="G59" s="48" t="e">
        <f>IF(E59="","",E59)</f>
        <v>#REF!</v>
      </c>
      <c r="J59" s="46"/>
    </row>
    <row r="60" spans="1:10" s="86" customFormat="1" ht="16" x14ac:dyDescent="0.15">
      <c r="A60" s="83" t="s">
        <v>875</v>
      </c>
      <c r="B60" s="84"/>
      <c r="C60" s="85"/>
      <c r="E60" s="85"/>
      <c r="F60" s="87" t="s">
        <v>866</v>
      </c>
      <c r="G60" s="88" t="str">
        <f>IF((B60=0),"",B60)</f>
        <v/>
      </c>
    </row>
    <row r="61" spans="1:10" ht="16" x14ac:dyDescent="0.2">
      <c r="A61" s="79" t="s">
        <v>876</v>
      </c>
      <c r="B61" s="349" t="e">
        <f>T_ClosingParagraphHeader_I</f>
        <v>#REF!</v>
      </c>
      <c r="C61" s="361"/>
      <c r="D61" s="361"/>
      <c r="E61" s="362"/>
      <c r="F61" s="7" t="s">
        <v>839</v>
      </c>
      <c r="G61" s="23" t="e">
        <f>IF((B61=0),"",B61)</f>
        <v>#REF!</v>
      </c>
      <c r="J61" s="45"/>
    </row>
    <row r="62" spans="1:10" ht="227" customHeight="1" x14ac:dyDescent="0.15">
      <c r="A62" s="79" t="s">
        <v>877</v>
      </c>
      <c r="B62" t="e">
        <f>IF(T_ClosingParagraph_I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ClosingParagraph_I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62" s="25" t="e">
        <f>IF(B62="","",SUBSTITUTE(SUBSTITUTE(SUBSTITUTE(SUBSTITUTE(SUBSTITUTE(SUBSTITUTE(SUBSTITUTE(SUBSTITUTE(SUBSTITUTE(SUBSTITUTE(SUBSTITUTE(SUBSTITUTE(SUBSTITUTE(SUBSTITUTE(SUBSTITUTE(SUBSTITUTE(SUBSTITUTE(SUBSTITUTE(SUBSTITUTE(SUBSTITUTE(SUBSTITUTE(SUBSTITUTE(SUBSTITUTE(SUBSTITUTE(B62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62" s="25" t="e">
        <f>IF(C62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62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62" s="7" t="e">
        <f>IF((D62=""),"",SUBSTITUTE(SUBSTITUTE(D62,"
","&lt;/p&gt;&lt;p&gt;"),"
","&lt;br&gt;"))</f>
        <v>#REF!</v>
      </c>
      <c r="F62" s="7" t="s">
        <v>871</v>
      </c>
      <c r="G62" s="48" t="e">
        <f>IF(E62="","",E62)</f>
        <v>#REF!</v>
      </c>
    </row>
    <row r="63" spans="1:10" ht="16" x14ac:dyDescent="0.15">
      <c r="A63" s="76" t="s">
        <v>878</v>
      </c>
      <c r="B63" s="19" t="e">
        <f>F_ProjectresponsibleFB_I</f>
        <v>#REF!</v>
      </c>
      <c r="C63" s="20" t="e">
        <f>VLOOKUP(B63,tbl_ExternalProjectDBUsers!A$1:T$10000,3,FALSE)</f>
        <v>#REF!</v>
      </c>
      <c r="D63" s="25" t="str">
        <f>IF(ISERROR(C63)=TRUE,"",C63)</f>
        <v/>
      </c>
      <c r="E63" s="20"/>
      <c r="F63" s="7" t="s">
        <v>843</v>
      </c>
      <c r="G63" s="21" t="str">
        <f>CONCATENATE(D63)</f>
        <v/>
      </c>
    </row>
    <row r="64" spans="1:10" ht="17" thickBot="1" x14ac:dyDescent="0.2">
      <c r="A64" s="76" t="s">
        <v>879</v>
      </c>
      <c r="B64" s="355" t="e">
        <f>F_ResponsibleDepartment_I</f>
        <v>#REF!</v>
      </c>
      <c r="C64" s="356"/>
      <c r="D64" s="356"/>
      <c r="E64" s="357"/>
      <c r="F64" s="7" t="s">
        <v>839</v>
      </c>
      <c r="G64" s="23" t="e">
        <f>IF((B64=0),"",B64)</f>
        <v>#REF!</v>
      </c>
    </row>
    <row r="65" spans="1:7" ht="16" x14ac:dyDescent="0.15">
      <c r="A65" s="29" t="s">
        <v>880</v>
      </c>
      <c r="B65" s="7" t="e">
        <f>O_ProjectAddress_I</f>
        <v>#REF!</v>
      </c>
      <c r="F65" s="7" t="s">
        <v>839</v>
      </c>
      <c r="G65" s="23" t="e">
        <f>IF((B65=0),"",B65)</f>
        <v>#REF!</v>
      </c>
    </row>
    <row r="66" spans="1:7" ht="16" x14ac:dyDescent="0.15">
      <c r="A66" s="29" t="s">
        <v>881</v>
      </c>
      <c r="B66" s="7" t="e">
        <f>O_Location_I</f>
        <v>#REF!</v>
      </c>
      <c r="F66" s="7" t="s">
        <v>839</v>
      </c>
      <c r="G66" s="23" t="e">
        <f>IF((B66=0),"",B66)</f>
        <v>#REF!</v>
      </c>
    </row>
    <row r="67" spans="1:7" ht="16" x14ac:dyDescent="0.15">
      <c r="A67" s="29" t="s">
        <v>882</v>
      </c>
      <c r="B67" s="7" t="e">
        <f>O_Municipalities_I1</f>
        <v>#REF!</v>
      </c>
      <c r="C67" s="7" t="e">
        <f>VLOOKUP(B67,tbl_Municipalitys!A$1:T$10000,3,FALSE)</f>
        <v>#REF!</v>
      </c>
      <c r="D67" s="25" t="str">
        <f>IF(ISERROR(C67)=TRUE,"",C67)</f>
        <v/>
      </c>
      <c r="F67" s="7" t="s">
        <v>866</v>
      </c>
      <c r="G67" s="23" t="str">
        <f>IF((D67=0),"",D67)</f>
        <v/>
      </c>
    </row>
    <row r="68" spans="1:7" ht="16" x14ac:dyDescent="0.15">
      <c r="A68" s="29" t="s">
        <v>883</v>
      </c>
      <c r="B68" s="7" t="e">
        <f>O_MapLatitude_I</f>
        <v>#REF!</v>
      </c>
      <c r="C68" s="7" t="e">
        <f>IF(B68=0,"",IF(ISNUMBER(B68)=TRUE,REPLACE(B68,(FIND(",",B68)),1,"."),B68))</f>
        <v>#REF!</v>
      </c>
      <c r="F68" s="7" t="s">
        <v>839</v>
      </c>
      <c r="G68" s="23" t="e">
        <f>C68</f>
        <v>#REF!</v>
      </c>
    </row>
    <row r="69" spans="1:7" ht="16" x14ac:dyDescent="0.15">
      <c r="A69" s="29" t="s">
        <v>884</v>
      </c>
      <c r="B69" s="7" t="e">
        <f>O_MapLongitude_I</f>
        <v>#REF!</v>
      </c>
      <c r="C69" s="7" t="e">
        <f>IF(B69=0,"",IF(ISNUMBER(B69)=TRUE,REPLACE(B69,(FIND(",",B69)),1,"."),B69))</f>
        <v>#REF!</v>
      </c>
      <c r="F69" s="7" t="s">
        <v>839</v>
      </c>
      <c r="G69" s="23" t="e">
        <f>C69</f>
        <v>#REF!</v>
      </c>
    </row>
    <row r="70" spans="1:7" ht="16" x14ac:dyDescent="0.15">
      <c r="A70" s="72" t="s">
        <v>166</v>
      </c>
      <c r="B70" s="26" t="e">
        <f>A_MapZoomLevel_I</f>
        <v>#REF!</v>
      </c>
      <c r="C70" s="47" t="e">
        <f>VLOOKUP(B70,Enumeration_MapZoomLevel,3,FALSE)</f>
        <v>#REF!</v>
      </c>
      <c r="F70" s="7" t="s">
        <v>847</v>
      </c>
      <c r="G70" s="50" t="e">
        <f>IF((C70=0),"",C70)</f>
        <v>#REF!</v>
      </c>
    </row>
    <row r="71" spans="1:7" ht="16" x14ac:dyDescent="0.15">
      <c r="A71" s="29" t="s">
        <v>885</v>
      </c>
      <c r="B71" s="7" t="e">
        <f>CONCATENATE(B72,"-",B73)</f>
        <v>#REF!</v>
      </c>
      <c r="C71" s="7" t="e">
        <f>IF(B72=0,"",IF(B73=0,"",B71))</f>
        <v>#REF!</v>
      </c>
      <c r="F71" s="7" t="s">
        <v>839</v>
      </c>
      <c r="G71" s="23" t="e">
        <f>IF((C71=0),"",C71)</f>
        <v>#REF!</v>
      </c>
    </row>
    <row r="72" spans="1:7" ht="16" x14ac:dyDescent="0.15">
      <c r="A72" s="29" t="s">
        <v>886</v>
      </c>
      <c r="B72" s="7" t="e">
        <f>O_ConstructionStartedYear_I</f>
        <v>#REF!</v>
      </c>
      <c r="C72" s="25"/>
      <c r="F72" s="7" t="s">
        <v>837</v>
      </c>
      <c r="G72" s="23" t="e">
        <f>IF((B72=0),"",B72)</f>
        <v>#REF!</v>
      </c>
    </row>
    <row r="73" spans="1:7" ht="17" thickBot="1" x14ac:dyDescent="0.2">
      <c r="A73" s="29" t="s">
        <v>887</v>
      </c>
      <c r="B73" s="7" t="e">
        <f>O_ConstructionCompletedYear_I</f>
        <v>#REF!</v>
      </c>
      <c r="C73" s="25"/>
      <c r="F73" s="7" t="s">
        <v>837</v>
      </c>
      <c r="G73" s="23" t="e">
        <f>IF((B73=0),"",B73)</f>
        <v>#REF!</v>
      </c>
    </row>
    <row r="74" spans="1:7" ht="16" x14ac:dyDescent="0.15">
      <c r="A74" s="74" t="s">
        <v>888</v>
      </c>
      <c r="B74" s="38" t="e">
        <f>F_Partners_I1</f>
        <v>#REF!</v>
      </c>
      <c r="C74" s="25" t="e">
        <f>VLOOKUP(B74,tbl_ExternalProjectDBUsers!A$1:T$10000,3,FALSE)</f>
        <v>#REF!</v>
      </c>
      <c r="D74" s="25" t="str">
        <f>IF(ISERROR(C74)=TRUE,"",C74)</f>
        <v/>
      </c>
      <c r="E74" s="39"/>
      <c r="F74" s="39"/>
      <c r="G74" s="40"/>
    </row>
    <row r="75" spans="1:7" ht="15" x14ac:dyDescent="0.15">
      <c r="A75" s="77"/>
      <c r="B75" s="19" t="e">
        <f>F_Partners_I2</f>
        <v>#REF!</v>
      </c>
      <c r="C75" s="25" t="e">
        <f>VLOOKUP(B75,tbl_ExternalProjectDBUsers!A$1:T$10000,3,FALSE)</f>
        <v>#REF!</v>
      </c>
      <c r="D75" s="25" t="str">
        <f>IF(ISERROR(C75)=TRUE,"",CONCATENATE(Deletegn,C75))</f>
        <v/>
      </c>
      <c r="G75" s="41"/>
    </row>
    <row r="76" spans="1:7" ht="15" x14ac:dyDescent="0.15">
      <c r="A76" s="77"/>
      <c r="B76" s="19" t="e">
        <f>F_Partners_I3</f>
        <v>#REF!</v>
      </c>
      <c r="C76" s="25" t="e">
        <f>VLOOKUP(B76,tbl_ExternalProjectDBUsers!A$1:T$10000,3,FALSE)</f>
        <v>#REF!</v>
      </c>
      <c r="D76" s="25" t="str">
        <f>IF(ISERROR(C76)=TRUE,"",CONCATENATE(Deletegn,C76))</f>
        <v/>
      </c>
      <c r="G76" s="41"/>
    </row>
    <row r="77" spans="1:7" ht="15" x14ac:dyDescent="0.15">
      <c r="A77" s="77"/>
      <c r="B77" s="19" t="e">
        <f>F_Partners_I4</f>
        <v>#REF!</v>
      </c>
      <c r="C77" s="25" t="e">
        <f>VLOOKUP(B77,tbl_ExternalProjectDBUsers!A$1:T$10000,3,FALSE)</f>
        <v>#REF!</v>
      </c>
      <c r="D77" s="25" t="str">
        <f>IF(ISERROR(C77)=TRUE,"",CONCATENATE(Deletegn,C77))</f>
        <v/>
      </c>
      <c r="G77" s="41"/>
    </row>
    <row r="78" spans="1:7" ht="16" thickBot="1" x14ac:dyDescent="0.2">
      <c r="A78" s="78"/>
      <c r="B78" s="42" t="e">
        <f>F_Partners_I5</f>
        <v>#REF!</v>
      </c>
      <c r="C78" s="25" t="e">
        <f>VLOOKUP(B78,tbl_ExternalProjectDBUsers!A$1:T$10000,3,FALSE)</f>
        <v>#REF!</v>
      </c>
      <c r="D78" s="25" t="str">
        <f>IF(ISERROR(C78)=TRUE,"",CONCATENATE(Deletegn,C78))</f>
        <v/>
      </c>
      <c r="E78" s="43"/>
      <c r="F78" s="7" t="s">
        <v>866</v>
      </c>
      <c r="G78" s="44" t="str">
        <f>CONCATENATE(D74,D75,D76,D77,D78)</f>
        <v/>
      </c>
    </row>
    <row r="79" spans="1:7" ht="16" x14ac:dyDescent="0.15">
      <c r="A79" s="76" t="s">
        <v>889</v>
      </c>
      <c r="B79" s="349" t="e">
        <f>F_OthersInvolved_I</f>
        <v>#REF!</v>
      </c>
      <c r="C79" s="350"/>
      <c r="D79" s="350"/>
      <c r="E79" s="351"/>
      <c r="F79" s="7" t="s">
        <v>839</v>
      </c>
      <c r="G79" s="23" t="e">
        <f>IF((B79=0),"",B79)</f>
        <v>#REF!</v>
      </c>
    </row>
    <row r="80" spans="1:7" ht="16" x14ac:dyDescent="0.15">
      <c r="A80" s="108" t="s">
        <v>890</v>
      </c>
      <c r="B80" s="66" t="str">
        <f>IFERROR(MeasureExport!C7,"")</f>
        <v/>
      </c>
      <c r="C80" s="25" t="str">
        <f>IF(B80="","",B80)</f>
        <v/>
      </c>
      <c r="D80" s="66" t="e">
        <f>MeasureExport!B7</f>
        <v>#REF!</v>
      </c>
      <c r="E80" s="66" t="e">
        <f>IF(D80="-----","",D80)</f>
        <v>#REF!</v>
      </c>
      <c r="G80" s="41"/>
    </row>
    <row r="81" spans="1:5" ht="15" x14ac:dyDescent="0.15">
      <c r="A81" s="108"/>
      <c r="B81" s="66" t="str">
        <f>IFERROR(MeasureExport!C8,"")</f>
        <v/>
      </c>
      <c r="C81" s="25" t="str">
        <f>IF(B81="","",CONCATENATE(";",B81))</f>
        <v/>
      </c>
      <c r="D81" s="66" t="e">
        <f>MeasureExport!B8</f>
        <v>#REF!</v>
      </c>
      <c r="E81" s="66" t="e">
        <f>IF(D81="-----","",CONCATENATE(", ",D81))</f>
        <v>#REF!</v>
      </c>
    </row>
    <row r="82" spans="1:5" ht="15" x14ac:dyDescent="0.15">
      <c r="A82" s="108"/>
      <c r="B82" s="66" t="str">
        <f>IFERROR(MeasureExport!C9,"")</f>
        <v/>
      </c>
      <c r="C82" s="25" t="str">
        <f t="shared" ref="C82:C143" si="4">IF(B82="","",CONCATENATE(";",B82))</f>
        <v/>
      </c>
      <c r="D82" s="66" t="e">
        <f>MeasureExport!B9</f>
        <v>#REF!</v>
      </c>
      <c r="E82" s="66" t="e">
        <f t="shared" ref="E82:E143" si="5">IF(D82="-----","",CONCATENATE(", ",D82))</f>
        <v>#REF!</v>
      </c>
    </row>
    <row r="83" spans="1:5" ht="15" x14ac:dyDescent="0.15">
      <c r="A83" s="108"/>
      <c r="B83" s="66" t="str">
        <f>IFERROR(MeasureExport!C10,"")</f>
        <v/>
      </c>
      <c r="C83" s="25" t="str">
        <f t="shared" si="4"/>
        <v/>
      </c>
      <c r="D83" s="66" t="e">
        <f>MeasureExport!B10</f>
        <v>#REF!</v>
      </c>
      <c r="E83" s="66" t="e">
        <f t="shared" si="5"/>
        <v>#REF!</v>
      </c>
    </row>
    <row r="84" spans="1:5" ht="15" x14ac:dyDescent="0.15">
      <c r="A84" s="108"/>
      <c r="B84" s="66" t="str">
        <f>IFERROR(MeasureExport!C11,"")</f>
        <v/>
      </c>
      <c r="C84" s="25" t="str">
        <f t="shared" si="4"/>
        <v/>
      </c>
      <c r="D84" s="66" t="e">
        <f>MeasureExport!B11</f>
        <v>#REF!</v>
      </c>
      <c r="E84" s="66" t="e">
        <f t="shared" si="5"/>
        <v>#REF!</v>
      </c>
    </row>
    <row r="85" spans="1:5" ht="15" x14ac:dyDescent="0.15">
      <c r="A85" s="108"/>
      <c r="B85" s="66" t="str">
        <f>IFERROR(MeasureExport!C12,"")</f>
        <v/>
      </c>
      <c r="C85" s="25" t="str">
        <f t="shared" si="4"/>
        <v/>
      </c>
      <c r="D85" s="66" t="e">
        <f>MeasureExport!B12</f>
        <v>#REF!</v>
      </c>
      <c r="E85" s="66" t="e">
        <f t="shared" si="5"/>
        <v>#REF!</v>
      </c>
    </row>
    <row r="86" spans="1:5" ht="15" x14ac:dyDescent="0.15">
      <c r="A86" s="108"/>
      <c r="B86" s="66" t="str">
        <f>IFERROR(MeasureExport!C13,"")</f>
        <v/>
      </c>
      <c r="C86" s="25" t="str">
        <f t="shared" si="4"/>
        <v/>
      </c>
      <c r="D86" s="66" t="e">
        <f>MeasureExport!B13</f>
        <v>#REF!</v>
      </c>
      <c r="E86" s="66" t="e">
        <f t="shared" si="5"/>
        <v>#REF!</v>
      </c>
    </row>
    <row r="87" spans="1:5" ht="15" x14ac:dyDescent="0.15">
      <c r="A87" s="108"/>
      <c r="B87" s="66" t="str">
        <f>IFERROR(MeasureExport!C14,"")</f>
        <v/>
      </c>
      <c r="C87" s="25" t="str">
        <f t="shared" si="4"/>
        <v/>
      </c>
      <c r="D87" s="66" t="e">
        <f>MeasureExport!B14</f>
        <v>#REF!</v>
      </c>
      <c r="E87" s="66" t="e">
        <f t="shared" si="5"/>
        <v>#REF!</v>
      </c>
    </row>
    <row r="88" spans="1:5" ht="15" x14ac:dyDescent="0.15">
      <c r="A88" s="108"/>
      <c r="B88" s="66" t="str">
        <f>IFERROR(MeasureExport!C22,"")</f>
        <v/>
      </c>
      <c r="C88" s="25" t="str">
        <f t="shared" si="4"/>
        <v/>
      </c>
      <c r="D88" s="66" t="e">
        <f>MeasureExport!B22</f>
        <v>#REF!</v>
      </c>
      <c r="E88" s="66" t="e">
        <f t="shared" si="5"/>
        <v>#REF!</v>
      </c>
    </row>
    <row r="89" spans="1:5" ht="15" x14ac:dyDescent="0.15">
      <c r="A89" s="108"/>
      <c r="B89" s="66" t="str">
        <f>IFERROR(MeasureExport!C23,"")</f>
        <v/>
      </c>
      <c r="C89" s="25" t="str">
        <f t="shared" si="4"/>
        <v/>
      </c>
      <c r="D89" s="66" t="e">
        <f>MeasureExport!B23</f>
        <v>#REF!</v>
      </c>
      <c r="E89" s="66" t="e">
        <f t="shared" si="5"/>
        <v>#REF!</v>
      </c>
    </row>
    <row r="90" spans="1:5" ht="15" x14ac:dyDescent="0.15">
      <c r="A90" s="108"/>
      <c r="B90" s="66" t="str">
        <f>IFERROR(MeasureExport!C24,"")</f>
        <v/>
      </c>
      <c r="C90" s="25" t="str">
        <f t="shared" si="4"/>
        <v/>
      </c>
      <c r="D90" s="66" t="e">
        <f>MeasureExport!B24</f>
        <v>#REF!</v>
      </c>
      <c r="E90" s="66" t="e">
        <f t="shared" si="5"/>
        <v>#REF!</v>
      </c>
    </row>
    <row r="91" spans="1:5" ht="15" x14ac:dyDescent="0.15">
      <c r="A91" s="108"/>
      <c r="B91" s="66" t="str">
        <f>IFERROR(MeasureExport!C25,"")</f>
        <v/>
      </c>
      <c r="C91" s="25" t="str">
        <f t="shared" si="4"/>
        <v/>
      </c>
      <c r="D91" s="66" t="e">
        <f>MeasureExport!B25</f>
        <v>#REF!</v>
      </c>
      <c r="E91" s="66" t="e">
        <f t="shared" si="5"/>
        <v>#REF!</v>
      </c>
    </row>
    <row r="92" spans="1:5" ht="15" x14ac:dyDescent="0.15">
      <c r="A92" s="108"/>
      <c r="B92" s="66" t="str">
        <f>IFERROR(MeasureExport!C26,"")</f>
        <v/>
      </c>
      <c r="C92" s="25" t="str">
        <f t="shared" si="4"/>
        <v/>
      </c>
      <c r="D92" s="66" t="e">
        <f>MeasureExport!B26</f>
        <v>#REF!</v>
      </c>
      <c r="E92" s="66" t="e">
        <f t="shared" si="5"/>
        <v>#REF!</v>
      </c>
    </row>
    <row r="93" spans="1:5" ht="15" x14ac:dyDescent="0.15">
      <c r="A93" s="108"/>
      <c r="B93" s="66" t="str">
        <f>IFERROR(MeasureExport!C27,"")</f>
        <v/>
      </c>
      <c r="C93" s="25" t="str">
        <f t="shared" si="4"/>
        <v/>
      </c>
      <c r="D93" s="66" t="e">
        <f>MeasureExport!B27</f>
        <v>#REF!</v>
      </c>
      <c r="E93" s="66" t="e">
        <f t="shared" si="5"/>
        <v>#REF!</v>
      </c>
    </row>
    <row r="94" spans="1:5" ht="15" x14ac:dyDescent="0.15">
      <c r="A94" s="108"/>
      <c r="B94" s="66" t="str">
        <f>IFERROR(MeasureExport!C28,"")</f>
        <v/>
      </c>
      <c r="C94" s="25" t="str">
        <f t="shared" si="4"/>
        <v/>
      </c>
      <c r="D94" s="66" t="e">
        <f>MeasureExport!B28</f>
        <v>#REF!</v>
      </c>
      <c r="E94" s="66" t="e">
        <f t="shared" si="5"/>
        <v>#REF!</v>
      </c>
    </row>
    <row r="95" spans="1:5" ht="15" x14ac:dyDescent="0.15">
      <c r="A95" s="108"/>
      <c r="B95" s="66" t="str">
        <f>IFERROR(MeasureExport!C29,"")</f>
        <v/>
      </c>
      <c r="C95" s="25" t="str">
        <f t="shared" si="4"/>
        <v/>
      </c>
      <c r="D95" s="66" t="e">
        <f>MeasureExport!B29</f>
        <v>#REF!</v>
      </c>
      <c r="E95" s="66" t="e">
        <f t="shared" si="5"/>
        <v>#REF!</v>
      </c>
    </row>
    <row r="96" spans="1:5" ht="15" x14ac:dyDescent="0.15">
      <c r="A96" s="108"/>
      <c r="B96" s="66" t="str">
        <f>IFERROR(MeasureExport!C37,"")</f>
        <v/>
      </c>
      <c r="C96" s="25" t="str">
        <f t="shared" si="4"/>
        <v/>
      </c>
      <c r="D96" s="66" t="e">
        <f>MeasureExport!B37</f>
        <v>#REF!</v>
      </c>
      <c r="E96" s="66" t="e">
        <f t="shared" si="5"/>
        <v>#REF!</v>
      </c>
    </row>
    <row r="97" spans="1:5" ht="15" x14ac:dyDescent="0.15">
      <c r="A97" s="108"/>
      <c r="B97" s="66" t="str">
        <f>IFERROR(MeasureExport!C38,"")</f>
        <v/>
      </c>
      <c r="C97" s="25" t="str">
        <f t="shared" si="4"/>
        <v/>
      </c>
      <c r="D97" s="66" t="e">
        <f>MeasureExport!B38</f>
        <v>#REF!</v>
      </c>
      <c r="E97" s="66" t="e">
        <f t="shared" si="5"/>
        <v>#REF!</v>
      </c>
    </row>
    <row r="98" spans="1:5" ht="15" x14ac:dyDescent="0.15">
      <c r="A98" s="108"/>
      <c r="B98" s="66" t="str">
        <f>IFERROR(MeasureExport!C39,"")</f>
        <v/>
      </c>
      <c r="C98" s="25" t="str">
        <f t="shared" si="4"/>
        <v/>
      </c>
      <c r="D98" s="66" t="e">
        <f>MeasureExport!B39</f>
        <v>#REF!</v>
      </c>
      <c r="E98" s="66" t="e">
        <f t="shared" si="5"/>
        <v>#REF!</v>
      </c>
    </row>
    <row r="99" spans="1:5" ht="15" x14ac:dyDescent="0.15">
      <c r="A99" s="108"/>
      <c r="B99" s="66" t="str">
        <f>IFERROR(MeasureExport!C40,"")</f>
        <v/>
      </c>
      <c r="C99" s="25" t="str">
        <f t="shared" si="4"/>
        <v/>
      </c>
      <c r="D99" s="66" t="e">
        <f>MeasureExport!B40</f>
        <v>#REF!</v>
      </c>
      <c r="E99" s="66" t="e">
        <f t="shared" si="5"/>
        <v>#REF!</v>
      </c>
    </row>
    <row r="100" spans="1:5" ht="15" x14ac:dyDescent="0.15">
      <c r="A100" s="108"/>
      <c r="B100" s="66" t="str">
        <f>IFERROR(MeasureExport!C41,"")</f>
        <v/>
      </c>
      <c r="C100" s="25" t="str">
        <f t="shared" si="4"/>
        <v/>
      </c>
      <c r="D100" s="66" t="e">
        <f>MeasureExport!B41</f>
        <v>#REF!</v>
      </c>
      <c r="E100" s="66" t="e">
        <f t="shared" si="5"/>
        <v>#REF!</v>
      </c>
    </row>
    <row r="101" spans="1:5" ht="15" x14ac:dyDescent="0.15">
      <c r="A101" s="108"/>
      <c r="B101" s="66" t="str">
        <f>IFERROR(MeasureExport!C42,"")</f>
        <v/>
      </c>
      <c r="C101" s="25" t="str">
        <f t="shared" si="4"/>
        <v/>
      </c>
      <c r="D101" s="66" t="e">
        <f>MeasureExport!B42</f>
        <v>#REF!</v>
      </c>
      <c r="E101" s="66" t="e">
        <f t="shared" si="5"/>
        <v>#REF!</v>
      </c>
    </row>
    <row r="102" spans="1:5" ht="15" x14ac:dyDescent="0.15">
      <c r="A102" s="108"/>
      <c r="B102" s="66" t="str">
        <f>IFERROR(MeasureExport!C43,"")</f>
        <v/>
      </c>
      <c r="C102" s="25" t="str">
        <f t="shared" si="4"/>
        <v/>
      </c>
      <c r="D102" s="66" t="e">
        <f>MeasureExport!B43</f>
        <v>#REF!</v>
      </c>
      <c r="E102" s="66" t="e">
        <f t="shared" si="5"/>
        <v>#REF!</v>
      </c>
    </row>
    <row r="103" spans="1:5" ht="15" x14ac:dyDescent="0.15">
      <c r="A103" s="108"/>
      <c r="B103" s="66" t="str">
        <f>IFERROR(MeasureExport!C44,"")</f>
        <v/>
      </c>
      <c r="C103" s="25" t="str">
        <f t="shared" si="4"/>
        <v/>
      </c>
      <c r="D103" s="66" t="e">
        <f>MeasureExport!B44</f>
        <v>#REF!</v>
      </c>
      <c r="E103" s="66" t="e">
        <f t="shared" si="5"/>
        <v>#REF!</v>
      </c>
    </row>
    <row r="104" spans="1:5" ht="15" x14ac:dyDescent="0.15">
      <c r="A104" s="108"/>
      <c r="B104" s="66" t="str">
        <f>IFERROR(MeasureExport!C52,"")</f>
        <v/>
      </c>
      <c r="C104" s="25" t="str">
        <f t="shared" si="4"/>
        <v/>
      </c>
      <c r="D104" s="66" t="e">
        <f>MeasureExport!B52</f>
        <v>#REF!</v>
      </c>
      <c r="E104" s="66" t="e">
        <f t="shared" si="5"/>
        <v>#REF!</v>
      </c>
    </row>
    <row r="105" spans="1:5" ht="15" x14ac:dyDescent="0.15">
      <c r="A105" s="108"/>
      <c r="B105" s="66" t="str">
        <f>IFERROR(MeasureExport!C53,"")</f>
        <v/>
      </c>
      <c r="C105" s="25" t="str">
        <f t="shared" si="4"/>
        <v/>
      </c>
      <c r="D105" s="66" t="e">
        <f>MeasureExport!B53</f>
        <v>#REF!</v>
      </c>
      <c r="E105" s="66" t="e">
        <f t="shared" si="5"/>
        <v>#REF!</v>
      </c>
    </row>
    <row r="106" spans="1:5" ht="15" x14ac:dyDescent="0.15">
      <c r="A106" s="108"/>
      <c r="B106" s="66" t="str">
        <f>IFERROR(MeasureExport!C54,"")</f>
        <v/>
      </c>
      <c r="C106" s="25" t="str">
        <f t="shared" si="4"/>
        <v/>
      </c>
      <c r="D106" s="66" t="e">
        <f>MeasureExport!B54</f>
        <v>#REF!</v>
      </c>
      <c r="E106" s="66" t="e">
        <f t="shared" si="5"/>
        <v>#REF!</v>
      </c>
    </row>
    <row r="107" spans="1:5" ht="15" x14ac:dyDescent="0.15">
      <c r="A107" s="108"/>
      <c r="B107" s="66" t="str">
        <f>IFERROR(MeasureExport!C55,"")</f>
        <v/>
      </c>
      <c r="C107" s="25" t="str">
        <f t="shared" si="4"/>
        <v/>
      </c>
      <c r="D107" s="66" t="e">
        <f>MeasureExport!B55</f>
        <v>#REF!</v>
      </c>
      <c r="E107" s="66" t="e">
        <f t="shared" si="5"/>
        <v>#REF!</v>
      </c>
    </row>
    <row r="108" spans="1:5" ht="15" x14ac:dyDescent="0.15">
      <c r="A108" s="108"/>
      <c r="B108" s="66" t="str">
        <f>IFERROR(MeasureExport!C56,"")</f>
        <v/>
      </c>
      <c r="C108" s="25" t="str">
        <f t="shared" si="4"/>
        <v/>
      </c>
      <c r="D108" s="66" t="e">
        <f>MeasureExport!B56</f>
        <v>#REF!</v>
      </c>
      <c r="E108" s="66" t="e">
        <f t="shared" si="5"/>
        <v>#REF!</v>
      </c>
    </row>
    <row r="109" spans="1:5" ht="15" x14ac:dyDescent="0.15">
      <c r="A109" s="108"/>
      <c r="B109" s="66" t="str">
        <f>IFERROR(MeasureExport!C57,"")</f>
        <v/>
      </c>
      <c r="C109" s="25" t="str">
        <f t="shared" si="4"/>
        <v/>
      </c>
      <c r="D109" s="66" t="e">
        <f>MeasureExport!B57</f>
        <v>#REF!</v>
      </c>
      <c r="E109" s="66" t="e">
        <f t="shared" si="5"/>
        <v>#REF!</v>
      </c>
    </row>
    <row r="110" spans="1:5" ht="15" x14ac:dyDescent="0.15">
      <c r="A110" s="108"/>
      <c r="B110" s="66" t="str">
        <f>IFERROR(MeasureExport!C58,"")</f>
        <v/>
      </c>
      <c r="C110" s="25" t="str">
        <f t="shared" si="4"/>
        <v/>
      </c>
      <c r="D110" s="66" t="e">
        <f>MeasureExport!B58</f>
        <v>#REF!</v>
      </c>
      <c r="E110" s="66" t="e">
        <f t="shared" si="5"/>
        <v>#REF!</v>
      </c>
    </row>
    <row r="111" spans="1:5" ht="15" x14ac:dyDescent="0.15">
      <c r="A111" s="108"/>
      <c r="B111" s="66" t="str">
        <f>IFERROR(MeasureExport!C59,"")</f>
        <v/>
      </c>
      <c r="C111" s="25" t="str">
        <f t="shared" si="4"/>
        <v/>
      </c>
      <c r="D111" s="66" t="e">
        <f>MeasureExport!B59</f>
        <v>#REF!</v>
      </c>
      <c r="E111" s="66" t="e">
        <f t="shared" si="5"/>
        <v>#REF!</v>
      </c>
    </row>
    <row r="112" spans="1:5" ht="15" x14ac:dyDescent="0.15">
      <c r="A112" s="108"/>
      <c r="B112" s="66" t="str">
        <f>IFERROR(MeasureExport!C67,"")</f>
        <v/>
      </c>
      <c r="C112" s="25" t="str">
        <f t="shared" si="4"/>
        <v/>
      </c>
      <c r="D112" s="66" t="e">
        <f>MeasureExport!B67</f>
        <v>#REF!</v>
      </c>
      <c r="E112" s="66" t="e">
        <f t="shared" si="5"/>
        <v>#REF!</v>
      </c>
    </row>
    <row r="113" spans="1:5" ht="15" x14ac:dyDescent="0.15">
      <c r="A113" s="108"/>
      <c r="B113" s="66" t="str">
        <f>IFERROR(MeasureExport!C68,"")</f>
        <v/>
      </c>
      <c r="C113" s="25" t="str">
        <f t="shared" si="4"/>
        <v/>
      </c>
      <c r="D113" s="66" t="e">
        <f>MeasureExport!B68</f>
        <v>#REF!</v>
      </c>
      <c r="E113" s="66" t="e">
        <f t="shared" si="5"/>
        <v>#REF!</v>
      </c>
    </row>
    <row r="114" spans="1:5" ht="15" x14ac:dyDescent="0.15">
      <c r="A114" s="108"/>
      <c r="B114" s="66" t="str">
        <f>IFERROR(MeasureExport!C69,"")</f>
        <v/>
      </c>
      <c r="C114" s="25" t="str">
        <f t="shared" si="4"/>
        <v/>
      </c>
      <c r="D114" s="66" t="e">
        <f>MeasureExport!B69</f>
        <v>#REF!</v>
      </c>
      <c r="E114" s="66" t="e">
        <f t="shared" si="5"/>
        <v>#REF!</v>
      </c>
    </row>
    <row r="115" spans="1:5" ht="15" x14ac:dyDescent="0.15">
      <c r="A115" s="108"/>
      <c r="B115" s="66" t="str">
        <f>IFERROR(MeasureExport!C70,"")</f>
        <v/>
      </c>
      <c r="C115" s="25" t="str">
        <f t="shared" si="4"/>
        <v/>
      </c>
      <c r="D115" s="66" t="e">
        <f>MeasureExport!B70</f>
        <v>#REF!</v>
      </c>
      <c r="E115" s="66" t="e">
        <f t="shared" si="5"/>
        <v>#REF!</v>
      </c>
    </row>
    <row r="116" spans="1:5" ht="15" x14ac:dyDescent="0.15">
      <c r="A116" s="108"/>
      <c r="B116" s="66" t="str">
        <f>IFERROR(MeasureExport!C71,"")</f>
        <v/>
      </c>
      <c r="C116" s="25" t="str">
        <f t="shared" si="4"/>
        <v/>
      </c>
      <c r="D116" s="66" t="e">
        <f>MeasureExport!B71</f>
        <v>#REF!</v>
      </c>
      <c r="E116" s="66" t="e">
        <f t="shared" si="5"/>
        <v>#REF!</v>
      </c>
    </row>
    <row r="117" spans="1:5" ht="15" x14ac:dyDescent="0.15">
      <c r="A117" s="108"/>
      <c r="B117" s="66" t="str">
        <f>IFERROR(MeasureExport!C72,"")</f>
        <v/>
      </c>
      <c r="C117" s="25" t="str">
        <f t="shared" si="4"/>
        <v/>
      </c>
      <c r="D117" s="66" t="e">
        <f>MeasureExport!B72</f>
        <v>#REF!</v>
      </c>
      <c r="E117" s="66" t="e">
        <f t="shared" si="5"/>
        <v>#REF!</v>
      </c>
    </row>
    <row r="118" spans="1:5" ht="15" x14ac:dyDescent="0.15">
      <c r="A118" s="108"/>
      <c r="B118" s="66" t="str">
        <f>IFERROR(MeasureExport!C73,"")</f>
        <v/>
      </c>
      <c r="C118" s="25" t="str">
        <f t="shared" si="4"/>
        <v/>
      </c>
      <c r="D118" s="66" t="e">
        <f>MeasureExport!B73</f>
        <v>#REF!</v>
      </c>
      <c r="E118" s="66" t="e">
        <f t="shared" si="5"/>
        <v>#REF!</v>
      </c>
    </row>
    <row r="119" spans="1:5" ht="15" x14ac:dyDescent="0.15">
      <c r="A119" s="108"/>
      <c r="B119" s="66" t="str">
        <f>IFERROR(MeasureExport!C74,"")</f>
        <v/>
      </c>
      <c r="C119" s="25" t="str">
        <f t="shared" si="4"/>
        <v/>
      </c>
      <c r="D119" s="66" t="e">
        <f>MeasureExport!B74</f>
        <v>#REF!</v>
      </c>
      <c r="E119" s="66" t="e">
        <f t="shared" si="5"/>
        <v>#REF!</v>
      </c>
    </row>
    <row r="120" spans="1:5" ht="15" x14ac:dyDescent="0.15">
      <c r="A120" s="108"/>
      <c r="B120" s="66" t="str">
        <f>IFERROR(MeasureExport!C82,"")</f>
        <v/>
      </c>
      <c r="C120" s="25" t="str">
        <f>IF(B120="","",CONCATENATE(";",B120))</f>
        <v/>
      </c>
      <c r="D120" s="66" t="e">
        <f>MeasureExport!B82</f>
        <v>#REF!</v>
      </c>
      <c r="E120" s="66" t="e">
        <f t="shared" si="5"/>
        <v>#REF!</v>
      </c>
    </row>
    <row r="121" spans="1:5" ht="15" x14ac:dyDescent="0.15">
      <c r="A121" s="108"/>
      <c r="B121" s="66" t="str">
        <f>IFERROR(MeasureExport!C83,"")</f>
        <v/>
      </c>
      <c r="C121" s="25" t="str">
        <f t="shared" si="4"/>
        <v/>
      </c>
      <c r="D121" s="66" t="e">
        <f>MeasureExport!B83</f>
        <v>#REF!</v>
      </c>
      <c r="E121" s="66" t="e">
        <f t="shared" si="5"/>
        <v>#REF!</v>
      </c>
    </row>
    <row r="122" spans="1:5" ht="15" x14ac:dyDescent="0.15">
      <c r="A122" s="108"/>
      <c r="B122" s="66" t="str">
        <f>IFERROR(MeasureExport!C84,"")</f>
        <v/>
      </c>
      <c r="C122" s="25" t="str">
        <f t="shared" si="4"/>
        <v/>
      </c>
      <c r="D122" s="66" t="e">
        <f>MeasureExport!B84</f>
        <v>#REF!</v>
      </c>
      <c r="E122" s="66" t="e">
        <f t="shared" si="5"/>
        <v>#REF!</v>
      </c>
    </row>
    <row r="123" spans="1:5" ht="15" x14ac:dyDescent="0.15">
      <c r="A123" s="108"/>
      <c r="B123" s="66" t="str">
        <f>IFERROR(MeasureExport!C85,"")</f>
        <v/>
      </c>
      <c r="C123" s="25" t="str">
        <f t="shared" si="4"/>
        <v/>
      </c>
      <c r="D123" s="66" t="e">
        <f>MeasureExport!B85</f>
        <v>#REF!</v>
      </c>
      <c r="E123" s="66" t="e">
        <f t="shared" si="5"/>
        <v>#REF!</v>
      </c>
    </row>
    <row r="124" spans="1:5" ht="15" x14ac:dyDescent="0.15">
      <c r="A124" s="108"/>
      <c r="B124" s="66" t="str">
        <f>IFERROR(MeasureExport!C86,"")</f>
        <v/>
      </c>
      <c r="C124" s="25" t="str">
        <f t="shared" si="4"/>
        <v/>
      </c>
      <c r="D124" s="66" t="e">
        <f>MeasureExport!B86</f>
        <v>#REF!</v>
      </c>
      <c r="E124" s="66" t="e">
        <f t="shared" si="5"/>
        <v>#REF!</v>
      </c>
    </row>
    <row r="125" spans="1:5" ht="15" x14ac:dyDescent="0.15">
      <c r="A125" s="108"/>
      <c r="B125" s="66" t="str">
        <f>IFERROR(MeasureExport!C87,"")</f>
        <v/>
      </c>
      <c r="C125" s="25" t="str">
        <f t="shared" si="4"/>
        <v/>
      </c>
      <c r="D125" s="66" t="e">
        <f>MeasureExport!B87</f>
        <v>#REF!</v>
      </c>
      <c r="E125" s="66" t="e">
        <f t="shared" si="5"/>
        <v>#REF!</v>
      </c>
    </row>
    <row r="126" spans="1:5" ht="15" x14ac:dyDescent="0.15">
      <c r="A126" s="108"/>
      <c r="B126" s="66" t="str">
        <f>IFERROR(MeasureExport!C88,"")</f>
        <v/>
      </c>
      <c r="C126" s="25" t="str">
        <f t="shared" si="4"/>
        <v/>
      </c>
      <c r="D126" s="66" t="e">
        <f>MeasureExport!B88</f>
        <v>#REF!</v>
      </c>
      <c r="E126" s="66" t="e">
        <f t="shared" si="5"/>
        <v>#REF!</v>
      </c>
    </row>
    <row r="127" spans="1:5" ht="15" x14ac:dyDescent="0.15">
      <c r="A127" s="108"/>
      <c r="B127" s="66" t="str">
        <f>IFERROR(MeasureExport!C89,"")</f>
        <v/>
      </c>
      <c r="C127" s="25" t="str">
        <f t="shared" si="4"/>
        <v/>
      </c>
      <c r="D127" s="66" t="e">
        <f>MeasureExport!B89</f>
        <v>#REF!</v>
      </c>
      <c r="E127" s="66" t="e">
        <f t="shared" si="5"/>
        <v>#REF!</v>
      </c>
    </row>
    <row r="128" spans="1:5" ht="15" x14ac:dyDescent="0.15">
      <c r="A128" s="108"/>
      <c r="B128" s="66" t="str">
        <f>IFERROR(MeasureExport!C97,"")</f>
        <v/>
      </c>
      <c r="C128" s="25" t="str">
        <f t="shared" si="4"/>
        <v/>
      </c>
      <c r="D128" s="66" t="e">
        <f>MeasureExport!B97</f>
        <v>#REF!</v>
      </c>
      <c r="E128" s="66" t="e">
        <f t="shared" si="5"/>
        <v>#REF!</v>
      </c>
    </row>
    <row r="129" spans="1:7" ht="15" x14ac:dyDescent="0.15">
      <c r="A129" s="108"/>
      <c r="B129" s="66" t="str">
        <f>IFERROR(MeasureExport!C98,"")</f>
        <v/>
      </c>
      <c r="C129" s="25" t="str">
        <f t="shared" si="4"/>
        <v/>
      </c>
      <c r="D129" s="66" t="e">
        <f>MeasureExport!B98</f>
        <v>#REF!</v>
      </c>
      <c r="E129" s="66" t="e">
        <f t="shared" si="5"/>
        <v>#REF!</v>
      </c>
    </row>
    <row r="130" spans="1:7" ht="15" x14ac:dyDescent="0.15">
      <c r="A130" s="108"/>
      <c r="B130" s="66" t="str">
        <f>IFERROR(MeasureExport!C99,"")</f>
        <v/>
      </c>
      <c r="C130" s="25" t="str">
        <f t="shared" si="4"/>
        <v/>
      </c>
      <c r="D130" s="66" t="e">
        <f>MeasureExport!B99</f>
        <v>#REF!</v>
      </c>
      <c r="E130" s="66" t="e">
        <f t="shared" si="5"/>
        <v>#REF!</v>
      </c>
    </row>
    <row r="131" spans="1:7" ht="15" x14ac:dyDescent="0.15">
      <c r="A131" s="108"/>
      <c r="B131" s="66" t="str">
        <f>IFERROR(MeasureExport!C100,"")</f>
        <v/>
      </c>
      <c r="C131" s="25" t="str">
        <f t="shared" si="4"/>
        <v/>
      </c>
      <c r="D131" s="66" t="e">
        <f>MeasureExport!B100</f>
        <v>#REF!</v>
      </c>
      <c r="E131" s="66" t="e">
        <f t="shared" si="5"/>
        <v>#REF!</v>
      </c>
    </row>
    <row r="132" spans="1:7" ht="15" x14ac:dyDescent="0.15">
      <c r="A132" s="108"/>
      <c r="B132" s="66" t="str">
        <f>IFERROR(MeasureExport!C101,"")</f>
        <v/>
      </c>
      <c r="C132" s="25" t="str">
        <f t="shared" si="4"/>
        <v/>
      </c>
      <c r="D132" s="66" t="e">
        <f>MeasureExport!B101</f>
        <v>#REF!</v>
      </c>
      <c r="E132" s="66" t="e">
        <f t="shared" si="5"/>
        <v>#REF!</v>
      </c>
    </row>
    <row r="133" spans="1:7" ht="15" x14ac:dyDescent="0.15">
      <c r="A133" s="108"/>
      <c r="B133" s="66" t="str">
        <f>IFERROR(MeasureExport!C102,"")</f>
        <v/>
      </c>
      <c r="C133" s="25" t="str">
        <f t="shared" si="4"/>
        <v/>
      </c>
      <c r="D133" s="66" t="e">
        <f>MeasureExport!B102</f>
        <v>#REF!</v>
      </c>
      <c r="E133" s="66" t="e">
        <f t="shared" si="5"/>
        <v>#REF!</v>
      </c>
    </row>
    <row r="134" spans="1:7" ht="15" x14ac:dyDescent="0.15">
      <c r="A134" s="108"/>
      <c r="B134" s="66" t="str">
        <f>IFERROR(MeasureExport!C103,"")</f>
        <v/>
      </c>
      <c r="C134" s="25" t="str">
        <f t="shared" si="4"/>
        <v/>
      </c>
      <c r="D134" s="66" t="e">
        <f>MeasureExport!B103</f>
        <v>#REF!</v>
      </c>
      <c r="E134" s="66" t="e">
        <f t="shared" si="5"/>
        <v>#REF!</v>
      </c>
    </row>
    <row r="135" spans="1:7" ht="15" x14ac:dyDescent="0.15">
      <c r="A135" s="108"/>
      <c r="B135" s="66" t="str">
        <f>IFERROR(MeasureExport!C104,"")</f>
        <v/>
      </c>
      <c r="C135" s="25" t="str">
        <f t="shared" si="4"/>
        <v/>
      </c>
      <c r="D135" s="66" t="e">
        <f>MeasureExport!B104</f>
        <v>#REF!</v>
      </c>
      <c r="E135" s="66" t="e">
        <f t="shared" si="5"/>
        <v>#REF!</v>
      </c>
    </row>
    <row r="136" spans="1:7" ht="15" x14ac:dyDescent="0.15">
      <c r="A136" s="108"/>
      <c r="B136" s="66" t="str">
        <f>IFERROR(MeasureExport!C112,"")</f>
        <v/>
      </c>
      <c r="C136" s="25" t="str">
        <f t="shared" si="4"/>
        <v/>
      </c>
      <c r="D136" s="66" t="e">
        <f>MeasureExport!B112</f>
        <v>#REF!</v>
      </c>
      <c r="E136" s="66" t="e">
        <f t="shared" si="5"/>
        <v>#REF!</v>
      </c>
    </row>
    <row r="137" spans="1:7" ht="15" x14ac:dyDescent="0.15">
      <c r="A137" s="108"/>
      <c r="B137" s="66" t="str">
        <f>IFERROR(MeasureExport!C113,"")</f>
        <v/>
      </c>
      <c r="C137" s="25" t="str">
        <f t="shared" si="4"/>
        <v/>
      </c>
      <c r="D137" s="66" t="e">
        <f>MeasureExport!B113</f>
        <v>#REF!</v>
      </c>
      <c r="E137" s="66" t="e">
        <f t="shared" si="5"/>
        <v>#REF!</v>
      </c>
    </row>
    <row r="138" spans="1:7" ht="15" x14ac:dyDescent="0.15">
      <c r="A138" s="108"/>
      <c r="B138" s="66" t="str">
        <f>IFERROR(MeasureExport!C114,"")</f>
        <v/>
      </c>
      <c r="C138" s="25" t="str">
        <f t="shared" si="4"/>
        <v/>
      </c>
      <c r="D138" s="66" t="e">
        <f>MeasureExport!B114</f>
        <v>#REF!</v>
      </c>
      <c r="E138" s="66" t="e">
        <f t="shared" si="5"/>
        <v>#REF!</v>
      </c>
    </row>
    <row r="139" spans="1:7" ht="15" x14ac:dyDescent="0.15">
      <c r="A139" s="108"/>
      <c r="B139" s="66" t="str">
        <f>IFERROR(MeasureExport!C115,"")</f>
        <v/>
      </c>
      <c r="C139" s="25" t="str">
        <f t="shared" si="4"/>
        <v/>
      </c>
      <c r="D139" s="66" t="e">
        <f>MeasureExport!B115</f>
        <v>#REF!</v>
      </c>
      <c r="E139" s="66" t="e">
        <f t="shared" si="5"/>
        <v>#REF!</v>
      </c>
    </row>
    <row r="140" spans="1:7" ht="15" x14ac:dyDescent="0.15">
      <c r="A140" s="108"/>
      <c r="B140" s="66" t="str">
        <f>IFERROR(MeasureExport!C116,"")</f>
        <v/>
      </c>
      <c r="C140" s="25" t="str">
        <f t="shared" si="4"/>
        <v/>
      </c>
      <c r="D140" s="66" t="e">
        <f>MeasureExport!B116</f>
        <v>#REF!</v>
      </c>
      <c r="E140" s="66" t="e">
        <f t="shared" si="5"/>
        <v>#REF!</v>
      </c>
    </row>
    <row r="141" spans="1:7" ht="15" x14ac:dyDescent="0.15">
      <c r="A141" s="108"/>
      <c r="B141" s="66" t="str">
        <f>IFERROR(MeasureExport!C117,"")</f>
        <v/>
      </c>
      <c r="C141" s="25" t="str">
        <f t="shared" si="4"/>
        <v/>
      </c>
      <c r="D141" s="66" t="e">
        <f>MeasureExport!B117</f>
        <v>#REF!</v>
      </c>
      <c r="E141" s="66" t="e">
        <f t="shared" si="5"/>
        <v>#REF!</v>
      </c>
    </row>
    <row r="142" spans="1:7" ht="15" x14ac:dyDescent="0.15">
      <c r="A142" s="108"/>
      <c r="B142" s="66" t="str">
        <f>IFERROR(MeasureExport!C118,"")</f>
        <v/>
      </c>
      <c r="C142" s="25" t="str">
        <f t="shared" si="4"/>
        <v/>
      </c>
      <c r="D142" s="66" t="e">
        <f>MeasureExport!B118</f>
        <v>#REF!</v>
      </c>
      <c r="E142" s="66" t="e">
        <f t="shared" si="5"/>
        <v>#REF!</v>
      </c>
    </row>
    <row r="143" spans="1:7" ht="15" x14ac:dyDescent="0.15">
      <c r="A143" s="108"/>
      <c r="B143" s="66" t="str">
        <f>IFERROR(MeasureExport!C119,"")</f>
        <v/>
      </c>
      <c r="C143" s="25" t="str">
        <f t="shared" si="4"/>
        <v/>
      </c>
      <c r="D143" s="66" t="e">
        <f>MeasureExport!B119</f>
        <v>#REF!</v>
      </c>
      <c r="E143" s="66" t="e">
        <f t="shared" si="5"/>
        <v>#REF!</v>
      </c>
    </row>
    <row r="144" spans="1:7" ht="16" thickBot="1" x14ac:dyDescent="0.2">
      <c r="A144" s="108"/>
      <c r="B144" s="66"/>
      <c r="C144" s="66" t="str">
        <f>CONCATENATE(C80,C81,C82,C83,C84,C85,C86,C87,C88,C89,C90,C91,C92,C93,C94,C95,C96,C97,C98,C99,C100,C101,C102,C103,C104,C105,C106,C107,C108,C109,C110,C111,C112,C113,C114,C115,C116,C117,C118,C119,C120,C121,C122,C123,C124,C125,C126,C127,C128,C129,C130,C131,C132,C133,C134,C135,C136,C137,C138,C139,C140,C141,C142,C143)</f>
        <v/>
      </c>
      <c r="D144" s="66"/>
      <c r="E144" s="66" t="e">
        <f>CONCATENATE(E80,E81,E82,E83,E84,E85,E86,E87,E88,E89,E90,E91,E92,E93,E94,E95,E96,E97,E98,E99,E100,E101,E102,E103,E104,E105,E106,E107,E108,E109,E110,E111,E112,E113,E114,E115,E116,E117,E118,E119,E120,E121,E122,E123,E124,E125,E126,E127,E128,E129,E130,E131,E132,E133,E134,E135,E136,E137,E138,E139,E140,E141,E142,E143)</f>
        <v>#REF!</v>
      </c>
      <c r="F144" s="7" t="s">
        <v>866</v>
      </c>
      <c r="G144" s="44" t="str">
        <f>IF(C144=0,"",C144)</f>
        <v/>
      </c>
    </row>
    <row r="145" spans="1:7" ht="16" x14ac:dyDescent="0.15">
      <c r="A145" s="76" t="s">
        <v>891</v>
      </c>
      <c r="B145" s="358" t="e">
        <f>F_Collaboration_I</f>
        <v>#REF!</v>
      </c>
      <c r="C145" s="359"/>
      <c r="D145" s="359"/>
      <c r="E145" s="360"/>
      <c r="F145" s="7" t="s">
        <v>845</v>
      </c>
      <c r="G145" s="23" t="e">
        <f>IF((B145=0),"",B145)</f>
        <v>#REF!</v>
      </c>
    </row>
    <row r="146" spans="1:7" ht="16" x14ac:dyDescent="0.15">
      <c r="A146" s="76" t="s">
        <v>892</v>
      </c>
      <c r="B146" s="19" t="e">
        <f>F_MunicipalitiesCollaboration_I</f>
        <v>#REF!</v>
      </c>
      <c r="C146" s="27" t="e">
        <f>VLOOKUP(B146,Enumeration_Checkbox,2,FALSE)</f>
        <v>#REF!</v>
      </c>
      <c r="D146" t="e">
        <f>IF(C146=0,"",C146)</f>
        <v>#REF!</v>
      </c>
      <c r="E146" s="27"/>
      <c r="F146" s="7" t="s">
        <v>851</v>
      </c>
      <c r="G146" s="21" t="e">
        <f>CONCATENATE(D146)</f>
        <v>#REF!</v>
      </c>
    </row>
    <row r="147" spans="1:7" ht="16" x14ac:dyDescent="0.15">
      <c r="A147" s="76" t="s">
        <v>893</v>
      </c>
      <c r="B147" s="19" t="e">
        <f>F_PrivateCollaboration_I</f>
        <v>#REF!</v>
      </c>
      <c r="C147" s="27" t="e">
        <f>VLOOKUP(B147,Enumeration_Checkbox,2,FALSE)</f>
        <v>#REF!</v>
      </c>
      <c r="D147" t="e">
        <f>IF(C147=0,"",C147)</f>
        <v>#REF!</v>
      </c>
      <c r="E147" s="27"/>
      <c r="F147" s="7" t="s">
        <v>851</v>
      </c>
      <c r="G147" s="21" t="e">
        <f>CONCATENATE(D147)</f>
        <v>#REF!</v>
      </c>
    </row>
    <row r="148" spans="1:7" ht="16" x14ac:dyDescent="0.15">
      <c r="A148" s="76" t="s">
        <v>894</v>
      </c>
      <c r="B148" s="19" t="e">
        <f>F_OtherCollaboration_I</f>
        <v>#REF!</v>
      </c>
      <c r="C148" s="27" t="e">
        <f>VLOOKUP(B148,Enumeration_Checkbox,2,FALSE)</f>
        <v>#REF!</v>
      </c>
      <c r="D148" t="e">
        <f>IF(C148=0,"",C148)</f>
        <v>#REF!</v>
      </c>
      <c r="E148" s="27"/>
      <c r="F148" s="7" t="s">
        <v>851</v>
      </c>
      <c r="G148" s="21" t="e">
        <f>CONCATENATE(D148)</f>
        <v>#REF!</v>
      </c>
    </row>
    <row r="149" spans="1:7" ht="16" x14ac:dyDescent="0.15">
      <c r="A149" s="76" t="s">
        <v>895</v>
      </c>
      <c r="B149" s="349" t="e">
        <f>F_ProgressDescription_I</f>
        <v>#REF!</v>
      </c>
      <c r="C149" s="350"/>
      <c r="D149" s="350"/>
      <c r="E149" s="351"/>
      <c r="F149" s="7" t="s">
        <v>845</v>
      </c>
      <c r="G149" s="23" t="e">
        <f>IF((B149=0),"",B149)</f>
        <v>#REF!</v>
      </c>
    </row>
    <row r="150" spans="1:7" ht="16" x14ac:dyDescent="0.15">
      <c r="A150" s="76" t="s">
        <v>164</v>
      </c>
      <c r="B150" s="19" t="e">
        <f>F_ProgressStatus_I</f>
        <v>#REF!</v>
      </c>
      <c r="C150" s="24" t="e">
        <f>VLOOKUP(B150,Enumeration_ProgressStatus,3,FALSE)</f>
        <v>#REF!</v>
      </c>
      <c r="D150" s="25" t="str">
        <f>IF(ISERROR(C150)=TRUE,"",C150)</f>
        <v/>
      </c>
      <c r="E150" s="24"/>
      <c r="F150" s="7" t="s">
        <v>847</v>
      </c>
      <c r="G150" s="21" t="str">
        <f>CONCATENATE(D150)</f>
        <v/>
      </c>
    </row>
    <row r="151" spans="1:7" ht="16" x14ac:dyDescent="0.15">
      <c r="A151" s="76" t="s">
        <v>896</v>
      </c>
      <c r="B151" s="69" t="e">
        <f>IF(F_ChangeLog_Date_I1=0,"",CONCATENATE(TEXT(DAY(F_ChangeLog_Date_I1),"00"),".",TEXT(MONTH(F_ChangeLog_Date_I1),"00"),".",TEXT(YEAR(F_ChangeLog_Date_I1),"00")))</f>
        <v>#REF!</v>
      </c>
      <c r="C151" t="e">
        <f>IF(B151="","",CONCATENATE(Dele_ChangeLogDate,TEXT(DAY(B151),"00"),".",TEXT(MONTH(B151),"00"),".",TEXT(YEAR(B151),"00")))</f>
        <v>#REF!</v>
      </c>
      <c r="D151"/>
      <c r="E151" s="51"/>
      <c r="F151" s="41" t="s">
        <v>897</v>
      </c>
      <c r="G151" s="41"/>
    </row>
    <row r="152" spans="1:7" ht="16" x14ac:dyDescent="0.15">
      <c r="A152" s="76" t="s">
        <v>898</v>
      </c>
      <c r="B152" s="69" t="e">
        <f>F_ChangeLog_Text_I1</f>
        <v>#REF!</v>
      </c>
      <c r="C152" t="e">
        <f>IF(B152="","",CONCATENATE(Dele_ChangeLogText,B152))</f>
        <v>#REF!</v>
      </c>
      <c r="D152"/>
      <c r="E152" s="47"/>
      <c r="F152" s="41" t="s">
        <v>845</v>
      </c>
      <c r="G152" s="41"/>
    </row>
    <row r="153" spans="1:7" ht="16" x14ac:dyDescent="0.15">
      <c r="A153" s="76" t="s">
        <v>896</v>
      </c>
      <c r="B153" s="69" t="e">
        <f>IF(F_ChangeLog_Date_I2=0,"",CONCATENATE(TEXT(DAY(F_ChangeLog_Date_I2),"00"),".",TEXT(MONTH(F_ChangeLog_Date_I2),"00"),".",TEXT(YEAR(F_ChangeLog_Date_I2),"00")))</f>
        <v>#REF!</v>
      </c>
      <c r="C153" t="e">
        <f>IF(B153="","",CONCATENATE(Dele_ChangeLogDate,TEXT(DAY(B153),"00"),".",TEXT(MONTH(B153),"00"),".",TEXT(YEAR(B153),"00")))</f>
        <v>#REF!</v>
      </c>
      <c r="D153"/>
      <c r="E153" s="47"/>
      <c r="F153" s="41" t="s">
        <v>897</v>
      </c>
      <c r="G153" s="41"/>
    </row>
    <row r="154" spans="1:7" ht="16" x14ac:dyDescent="0.15">
      <c r="A154" s="76" t="s">
        <v>898</v>
      </c>
      <c r="B154" s="69" t="e">
        <f>F_ChangeLog_Text_I2</f>
        <v>#REF!</v>
      </c>
      <c r="C154" t="e">
        <f>IF(B154="","",CONCATENATE(Dele_ChangeLogText,B154))</f>
        <v>#REF!</v>
      </c>
      <c r="D154"/>
      <c r="E154" s="47"/>
      <c r="F154" s="41" t="s">
        <v>845</v>
      </c>
      <c r="G154" s="41"/>
    </row>
    <row r="155" spans="1:7" ht="16" x14ac:dyDescent="0.15">
      <c r="A155" s="76" t="s">
        <v>896</v>
      </c>
      <c r="B155" s="69" t="e">
        <f>IF(F_ChangeLog_Date_I3=0,"",CONCATENATE(TEXT(DAY(F_ChangeLog_Date_I3),"00"),".",TEXT(MONTH(F_ChangeLog_Date_I3),"00"),".",TEXT(YEAR(F_ChangeLog_Date_I3),"00")))</f>
        <v>#REF!</v>
      </c>
      <c r="C155" t="e">
        <f>IF(B155="","",CONCATENATE(Dele_ChangeLogDate,TEXT(DAY(B155),"00"),".",TEXT(MONTH(B155),"00"),".",TEXT(YEAR(B155),"00")))</f>
        <v>#REF!</v>
      </c>
      <c r="D155"/>
      <c r="E155" s="47"/>
      <c r="F155" s="41" t="s">
        <v>897</v>
      </c>
      <c r="G155" s="41"/>
    </row>
    <row r="156" spans="1:7" ht="16" x14ac:dyDescent="0.15">
      <c r="A156" s="76" t="s">
        <v>898</v>
      </c>
      <c r="B156" s="69" t="e">
        <f>F_ChangeLog_Text_I3</f>
        <v>#REF!</v>
      </c>
      <c r="C156" t="e">
        <f>IF(B156="","",CONCATENATE(Dele_ChangeLogText,B156))</f>
        <v>#REF!</v>
      </c>
      <c r="D156"/>
      <c r="E156" s="47"/>
      <c r="F156" s="41" t="s">
        <v>845</v>
      </c>
      <c r="G156" s="41"/>
    </row>
    <row r="157" spans="1:7" ht="16" x14ac:dyDescent="0.15">
      <c r="A157" s="76" t="s">
        <v>896</v>
      </c>
      <c r="B157" s="69" t="e">
        <f>IF(F_ChangeLog_Date_I4=0,"",CONCATENATE(TEXT(DAY(F_ChangeLog_Date_I4),"00"),".",TEXT(MONTH(F_ChangeLog_Date_I4),"00"),".",TEXT(YEAR(F_ChangeLog_Date_I4),"00")))</f>
        <v>#REF!</v>
      </c>
      <c r="C157" t="e">
        <f>IF(B157="","",CONCATENATE(Dele_ChangeLogDate,TEXT(DAY(B157),"00"),".",TEXT(MONTH(B157),"00"),".",TEXT(YEAR(B157),"00")))</f>
        <v>#REF!</v>
      </c>
      <c r="D157"/>
      <c r="E157" s="47"/>
      <c r="F157" s="41" t="s">
        <v>897</v>
      </c>
      <c r="G157" s="41"/>
    </row>
    <row r="158" spans="1:7" ht="38" customHeight="1" x14ac:dyDescent="0.15">
      <c r="A158" s="76" t="s">
        <v>898</v>
      </c>
      <c r="B158" s="69" t="e">
        <f>F_ChangeLog_Text_I4</f>
        <v>#REF!</v>
      </c>
      <c r="C158" t="e">
        <f>IF(B158="","",CONCATENATE(Dele_ChangeLogText,B158))</f>
        <v>#REF!</v>
      </c>
      <c r="D158"/>
      <c r="E158" s="47"/>
      <c r="F158" s="41" t="s">
        <v>845</v>
      </c>
      <c r="G158" s="21" t="e">
        <f>CONCATENATE(C151,C152,C153,C154,C155,C156,C157,C158)</f>
        <v>#REF!</v>
      </c>
    </row>
    <row r="159" spans="1:7" ht="130" customHeight="1" x14ac:dyDescent="0.15">
      <c r="A159" s="76" t="s">
        <v>899</v>
      </c>
      <c r="B159" s="352" t="e">
        <f>F_FByerOtherResults_I</f>
        <v>#REF!</v>
      </c>
      <c r="C159" s="353"/>
      <c r="D159" s="353"/>
      <c r="E159" s="354"/>
      <c r="F159" s="7" t="s">
        <v>845</v>
      </c>
      <c r="G159" s="23" t="e">
        <f>IF((B159=0),"",B159)</f>
        <v>#REF!</v>
      </c>
    </row>
    <row r="160" spans="1:7" ht="16" x14ac:dyDescent="0.15">
      <c r="A160" s="76" t="s">
        <v>900</v>
      </c>
      <c r="B160" s="52" t="e">
        <f>F_FByerCosts_I</f>
        <v>#REF!</v>
      </c>
      <c r="F160" s="7" t="s">
        <v>837</v>
      </c>
      <c r="G160" s="23" t="e">
        <f>IF((B160=0),"",B160)</f>
        <v>#REF!</v>
      </c>
    </row>
    <row r="161" spans="1:7" ht="16" x14ac:dyDescent="0.15">
      <c r="A161" s="76" t="s">
        <v>161</v>
      </c>
      <c r="B161" s="19" t="e">
        <f>F_FByerImportance_I</f>
        <v>#REF!</v>
      </c>
      <c r="C161" s="24" t="e">
        <f>VLOOKUP(B161,Enumeration_FByerImportance,3,FALSE)</f>
        <v>#REF!</v>
      </c>
      <c r="D161" s="25" t="str">
        <f>IF(ISERROR(C161)=TRUE,"",C161)</f>
        <v/>
      </c>
      <c r="E161" s="24"/>
      <c r="F161" s="7" t="s">
        <v>847</v>
      </c>
      <c r="G161" s="21" t="str">
        <f>CONCATENATE(D161)</f>
        <v/>
      </c>
    </row>
    <row r="162" spans="1:7" ht="16" x14ac:dyDescent="0.15">
      <c r="A162" s="76" t="s">
        <v>162</v>
      </c>
      <c r="B162" s="19" t="e">
        <f>F_FByerTimeUsage_I</f>
        <v>#REF!</v>
      </c>
      <c r="C162" s="24" t="e">
        <f>VLOOKUP(B162,Enumeration_FByerTimeUsage,3,FALSE)</f>
        <v>#REF!</v>
      </c>
      <c r="D162" s="25" t="str">
        <f>IF(ISERROR(C162)=TRUE,"",C162)</f>
        <v/>
      </c>
      <c r="E162" s="24"/>
      <c r="F162" s="7" t="s">
        <v>847</v>
      </c>
      <c r="G162" s="21" t="str">
        <f>CONCATENATE(D162)</f>
        <v/>
      </c>
    </row>
    <row r="163" spans="1:7" ht="16" x14ac:dyDescent="0.15">
      <c r="A163" s="76" t="s">
        <v>901</v>
      </c>
      <c r="B163" s="7" t="e">
        <f>F_FByerPeopleInformed_I</f>
        <v>#REF!</v>
      </c>
      <c r="F163" s="7" t="s">
        <v>837</v>
      </c>
      <c r="G163" s="23" t="e">
        <f>IF((B163=0),"",B163)</f>
        <v>#REF!</v>
      </c>
    </row>
    <row r="164" spans="1:7" ht="16" x14ac:dyDescent="0.15">
      <c r="A164" s="76" t="s">
        <v>902</v>
      </c>
      <c r="B164" s="352" t="e">
        <f>F_FByerOtherRemarks_I</f>
        <v>#REF!</v>
      </c>
      <c r="C164" s="353"/>
      <c r="D164" s="353"/>
      <c r="E164" s="354"/>
      <c r="F164" s="7" t="s">
        <v>845</v>
      </c>
      <c r="G164" s="23" t="e">
        <f>IF((B164=0),"",B164)</f>
        <v>#REF!</v>
      </c>
    </row>
    <row r="165" spans="1:7" ht="16" x14ac:dyDescent="0.15">
      <c r="A165" s="29" t="s">
        <v>903</v>
      </c>
      <c r="B165" s="53" t="e">
        <f>O_ProjectPhase_I1</f>
        <v>#REF!</v>
      </c>
      <c r="C165" s="25" t="e">
        <f>LOOKUP(B165,Name_tbl_ProjectPhases,Name_tbl_ProjectPhases_Id)</f>
        <v>#REF!</v>
      </c>
      <c r="D165" s="25" t="str">
        <f>IF(ISERROR(C165)=TRUE,"",C165)</f>
        <v/>
      </c>
    </row>
    <row r="166" spans="1:7" ht="15" x14ac:dyDescent="0.15">
      <c r="A166" s="29"/>
      <c r="B166" s="53" t="e">
        <f>O_ProjectPhase_I2</f>
        <v>#REF!</v>
      </c>
      <c r="C166" s="25" t="e">
        <f>LOOKUP(B166,Name_tbl_ProjectPhases,Name_tbl_ProjectPhases_Id)</f>
        <v>#REF!</v>
      </c>
      <c r="D166" s="25" t="str">
        <f>IF(ISERROR(C166)=TRUE,"",CONCATENATE(Deletegn,C166))</f>
        <v/>
      </c>
    </row>
    <row r="167" spans="1:7" ht="15" x14ac:dyDescent="0.15">
      <c r="A167" s="29"/>
      <c r="B167" s="53" t="e">
        <f>O_ProjectPhase_I3</f>
        <v>#REF!</v>
      </c>
      <c r="C167" s="25" t="e">
        <f>LOOKUP(B167,Name_tbl_ProjectPhases,Name_tbl_ProjectPhases_Id)</f>
        <v>#REF!</v>
      </c>
      <c r="D167" s="25" t="str">
        <f>IF(ISERROR(C167)=TRUE,"",CONCATENATE(Deletegn,C167))</f>
        <v/>
      </c>
    </row>
    <row r="168" spans="1:7" ht="16" thickBot="1" x14ac:dyDescent="0.2">
      <c r="A168" s="29"/>
      <c r="B168" s="53" t="e">
        <f>O_BuildingConservation_I</f>
        <v>#REF!</v>
      </c>
      <c r="C168" s="25" t="e">
        <f>IF(B168="JA",230396,0)</f>
        <v>#REF!</v>
      </c>
      <c r="D168" s="25" t="e">
        <f>IF(C168=0,"",IF(CONCATENATE(D165,D166,D167)="",C168,CONCATENATE(Deletegn,C168)))</f>
        <v>#REF!</v>
      </c>
      <c r="F168" s="7" t="s">
        <v>866</v>
      </c>
      <c r="G168" s="14" t="e">
        <f>CONCATENATE(D165,D168)</f>
        <v>#REF!</v>
      </c>
    </row>
    <row r="169" spans="1:7" ht="16" x14ac:dyDescent="0.15">
      <c r="A169" s="29" t="s">
        <v>904</v>
      </c>
      <c r="B169" s="53" t="e">
        <f>O_ProjectTypes_I1</f>
        <v>#REF!</v>
      </c>
      <c r="C169" s="25" t="e">
        <f>LOOKUP(B169,Name_tbl_ProjectTypes,Name_tbl_ProjectTypes_Id)</f>
        <v>#REF!</v>
      </c>
      <c r="D169" s="25" t="str">
        <f>IF(ISERROR(C169)=TRUE,"",C169)</f>
        <v/>
      </c>
    </row>
    <row r="170" spans="1:7" ht="15" x14ac:dyDescent="0.15">
      <c r="A170" s="29"/>
      <c r="B170" s="53" t="e">
        <f>O_ProjectTypes_I2</f>
        <v>#REF!</v>
      </c>
      <c r="C170" s="25" t="e">
        <f>LOOKUP(B170,Name_tbl_ProjectTypes,Name_tbl_ProjectTypes_Id)</f>
        <v>#REF!</v>
      </c>
      <c r="D170" s="25" t="str">
        <f>IF(ISERROR(C170)=TRUE,"",CONCATENATE(Deletegn,C170))</f>
        <v/>
      </c>
    </row>
    <row r="171" spans="1:7" ht="16" thickBot="1" x14ac:dyDescent="0.2">
      <c r="A171" s="29"/>
      <c r="B171" s="53" t="e">
        <f>O_ProjectTypes_I3</f>
        <v>#REF!</v>
      </c>
      <c r="C171" s="25" t="e">
        <f>LOOKUP(B171,Name_tbl_ProjectTypes,Name_tbl_ProjectTypes_Id)</f>
        <v>#REF!</v>
      </c>
      <c r="D171" s="25" t="str">
        <f>IF(ISERROR(C171)=TRUE,"",CONCATENATE(Deletegn,C171))</f>
        <v/>
      </c>
      <c r="G171" s="14" t="str">
        <f>CONCATENATE(D169,D170,D171)</f>
        <v/>
      </c>
    </row>
    <row r="172" spans="1:7" ht="16" x14ac:dyDescent="0.15">
      <c r="A172" s="29" t="s">
        <v>905</v>
      </c>
      <c r="B172" s="53" t="e">
        <f>O_FunctionBuildingCategory_I1</f>
        <v>#REF!</v>
      </c>
      <c r="C172" s="25" t="e">
        <f>LOOKUP(B172,Name_tbl_ArchitectofficeCategorys,Name_tbl_ArchitectofficeCategorys_Id)</f>
        <v>#REF!</v>
      </c>
      <c r="D172" s="25" t="str">
        <f>IF(ISERROR(C172)=TRUE,"",C172)</f>
        <v/>
      </c>
    </row>
    <row r="173" spans="1:7" ht="15" x14ac:dyDescent="0.15">
      <c r="A173" s="29"/>
      <c r="B173" s="53" t="e">
        <f>O_FunctionBuildingCategory_I2</f>
        <v>#REF!</v>
      </c>
      <c r="C173" s="25" t="e">
        <f>LOOKUP(B173,Name_tbl_ArchitectofficeCategorys,Name_tbl_ArchitectofficeCategorys_Id)</f>
        <v>#REF!</v>
      </c>
      <c r="D173" s="25" t="str">
        <f>IF(ISERROR(C173)=TRUE,"",CONCATENATE(Deletegn,C173))</f>
        <v/>
      </c>
      <c r="F173" s="7" t="s">
        <v>866</v>
      </c>
    </row>
    <row r="174" spans="1:7" ht="16" thickBot="1" x14ac:dyDescent="0.2">
      <c r="A174" s="29"/>
      <c r="B174" s="53" t="e">
        <f>O_FunctionBuildingCategory_I3</f>
        <v>#REF!</v>
      </c>
      <c r="C174" s="25" t="e">
        <f>LOOKUP(B174,Name_tbl_ArchitectofficeCategorys,Name_tbl_ArchitectofficeCategorys_Id)</f>
        <v>#REF!</v>
      </c>
      <c r="D174" s="25" t="str">
        <f>IF(ISERROR(C174)=TRUE,"",CONCATENATE(Deletegn,C174))</f>
        <v/>
      </c>
      <c r="G174" s="14" t="str">
        <f>CONCATENATE(D172,D173,D174)</f>
        <v/>
      </c>
    </row>
    <row r="175" spans="1:7" ht="16" x14ac:dyDescent="0.15">
      <c r="A175" s="29" t="s">
        <v>906</v>
      </c>
      <c r="B175" s="53" t="e">
        <f>O_ProjectCompetitionForm_I1</f>
        <v>#REF!</v>
      </c>
      <c r="C175" s="25" t="e">
        <f>LOOKUP(B175,Name_tbl_ProjectCompetitions,Name_tbl_ProjectCompetitions_Id)</f>
        <v>#REF!</v>
      </c>
      <c r="D175" s="25" t="str">
        <f>IF(ISERROR(C175)=TRUE,"",C175)</f>
        <v/>
      </c>
      <c r="E175" s="110"/>
      <c r="F175" s="7" t="s">
        <v>866</v>
      </c>
    </row>
    <row r="176" spans="1:7" ht="15" x14ac:dyDescent="0.15">
      <c r="A176" s="29"/>
      <c r="B176" s="53" t="e">
        <f>O_ProjectCompetitionForm_I2</f>
        <v>#REF!</v>
      </c>
      <c r="C176" s="25" t="e">
        <f>LOOKUP(B176,Name_tbl_ProjectCompetitions,Name_tbl_ProjectCompetitions_Id)</f>
        <v>#REF!</v>
      </c>
      <c r="D176" s="25" t="str">
        <f>IF(ISERROR(C176)=TRUE,"",CONCATENATE(Deletegn,C176))</f>
        <v/>
      </c>
    </row>
    <row r="177" spans="1:7" ht="16" thickBot="1" x14ac:dyDescent="0.2">
      <c r="A177" s="29"/>
      <c r="B177" s="53" t="e">
        <f>O_ProjectCompetitionForm_I3</f>
        <v>#REF!</v>
      </c>
      <c r="C177" s="25" t="e">
        <f>LOOKUP(B177,Name_tbl_ProjectCompetitions,Name_tbl_ProjectCompetitions_Id)</f>
        <v>#REF!</v>
      </c>
      <c r="D177" s="25" t="str">
        <f>IF(ISERROR(C177)=TRUE,"",CONCATENATE(Deletegn,C177))</f>
        <v/>
      </c>
      <c r="G177" s="14" t="str">
        <f>CONCATENATE(D175,D176,D177)</f>
        <v/>
      </c>
    </row>
    <row r="178" spans="1:7" ht="16" x14ac:dyDescent="0.15">
      <c r="A178" s="29" t="s">
        <v>907</v>
      </c>
      <c r="B178" s="53" t="e">
        <f>O_ProjectContractingForm_I1</f>
        <v>#REF!</v>
      </c>
      <c r="C178" s="25" t="e">
        <f>LOOKUP(B178,Name_tbl_ContractingForms,Name_tbl_ContractingForms_Id)</f>
        <v>#REF!</v>
      </c>
      <c r="D178" s="25" t="str">
        <f>IF(ISERROR(C178)=TRUE,"",C178)</f>
        <v/>
      </c>
      <c r="F178" s="7" t="s">
        <v>866</v>
      </c>
    </row>
    <row r="179" spans="1:7" ht="15" x14ac:dyDescent="0.15">
      <c r="A179" s="29"/>
      <c r="B179" s="109" t="e">
        <f>O_ProjectContractingForm_I2</f>
        <v>#REF!</v>
      </c>
      <c r="C179" s="25" t="e">
        <f>LOOKUP(B179,Name_tbl_ContractingForms,Name_tbl_ContractingForms_Id)</f>
        <v>#REF!</v>
      </c>
      <c r="D179" s="25" t="str">
        <f>IF(ISERROR(C179)=TRUE,"",CONCATENATE(Deletegn,C179))</f>
        <v/>
      </c>
    </row>
    <row r="180" spans="1:7" ht="16" thickBot="1" x14ac:dyDescent="0.2">
      <c r="A180" s="29"/>
      <c r="B180" s="53" t="e">
        <f>O_ProjectContractingForm_I3</f>
        <v>#REF!</v>
      </c>
      <c r="C180" s="25" t="e">
        <f>LOOKUP(B180,Name_tbl_ContractingForms,Name_tbl_ContractingForms_Id)</f>
        <v>#REF!</v>
      </c>
      <c r="D180" s="25" t="str">
        <f>IF(ISERROR(C180)=TRUE,"",CONCATENATE(Deletegn,C180))</f>
        <v/>
      </c>
      <c r="G180" s="14" t="str">
        <f>CONCATENATE(D178,D179,D180)</f>
        <v/>
      </c>
    </row>
    <row r="181" spans="1:7" ht="16" x14ac:dyDescent="0.15">
      <c r="A181" s="29" t="s">
        <v>908</v>
      </c>
      <c r="B181" s="53" t="e">
        <f>O_ProjectEnvironmentalStandard_I1</f>
        <v>#REF!</v>
      </c>
      <c r="C181" s="25" t="e">
        <f>LOOKUP(B181,Name_tbl_EnvironmentalStandards,Name_tbl_EnvironmentalStandards_Id)</f>
        <v>#REF!</v>
      </c>
      <c r="D181" s="25" t="str">
        <f>IF(ISERROR(C181)=TRUE,"",C181)</f>
        <v/>
      </c>
    </row>
    <row r="182" spans="1:7" ht="15" x14ac:dyDescent="0.15">
      <c r="A182" s="29"/>
      <c r="B182" s="53" t="e">
        <f>O_ProjectEnvironmentalStandard_I2</f>
        <v>#REF!</v>
      </c>
      <c r="C182" s="25" t="e">
        <f>LOOKUP(B182,Name_tbl_EnvironmentalStandards,Name_tbl_EnvironmentalStandards_Id)</f>
        <v>#REF!</v>
      </c>
      <c r="D182" s="25" t="str">
        <f>IF(ISERROR(C182)=TRUE,"",CONCATENATE(Deletegn,C182))</f>
        <v/>
      </c>
    </row>
    <row r="183" spans="1:7" ht="15" x14ac:dyDescent="0.15">
      <c r="A183" s="29"/>
      <c r="B183" s="53" t="e">
        <f>O_ProjectEnvironmentalStandard_I3</f>
        <v>#REF!</v>
      </c>
      <c r="C183" s="25" t="e">
        <f>LOOKUP(B183,Name_tbl_EnvironmentalStandards,Name_tbl_EnvironmentalStandards_Id)</f>
        <v>#REF!</v>
      </c>
      <c r="D183" s="25" t="str">
        <f>IF(ISERROR(C183)=TRUE,"",CONCATENATE(Deletegn,C183))</f>
        <v/>
      </c>
    </row>
    <row r="184" spans="1:7" ht="15" x14ac:dyDescent="0.15">
      <c r="A184" s="29"/>
      <c r="B184" s="53" t="e">
        <f>O_ProjectEnvironmentalStandard_I4</f>
        <v>#REF!</v>
      </c>
      <c r="C184" s="25" t="e">
        <f>LOOKUP(B184,Name_tbl_EnvironmentalStandards,Name_tbl_EnvironmentalStandards_Id)</f>
        <v>#REF!</v>
      </c>
      <c r="D184" s="25" t="str">
        <f>IF(ISERROR(C184)=TRUE,"",CONCATENATE(Deletegn,C184))</f>
        <v/>
      </c>
    </row>
    <row r="185" spans="1:7" ht="16" thickBot="1" x14ac:dyDescent="0.2">
      <c r="A185" s="29"/>
      <c r="B185" s="53" t="e">
        <f>O_ProjectEnvironmentalStandard_I5</f>
        <v>#REF!</v>
      </c>
      <c r="C185" s="25" t="e">
        <f>LOOKUP(B185,Name_tbl_EnvironmentalStandards,Name_tbl_EnvironmentalStandards_Id)</f>
        <v>#REF!</v>
      </c>
      <c r="D185" s="25" t="str">
        <f>IF(ISERROR(C185)=TRUE,"",CONCATENATE(Deletegn,C185))</f>
        <v/>
      </c>
      <c r="F185" s="7" t="s">
        <v>866</v>
      </c>
      <c r="G185" s="14" t="str">
        <f>CONCATENATE(D181,D182,D183,D184,D185)</f>
        <v/>
      </c>
    </row>
    <row r="186" spans="1:7" ht="16" x14ac:dyDescent="0.15">
      <c r="A186" s="29" t="s">
        <v>909</v>
      </c>
      <c r="B186" s="53" t="e">
        <f>O_ProjectAwards_I1</f>
        <v>#REF!</v>
      </c>
      <c r="C186" s="25" t="e">
        <f>LOOKUP(B186,Name_tbl_ProjectAwardss,Name_tbl_ProjectAwardss_Id)</f>
        <v>#REF!</v>
      </c>
      <c r="D186" s="25" t="str">
        <f>IF(ISERROR(C186)=TRUE,"",C186)</f>
        <v/>
      </c>
    </row>
    <row r="187" spans="1:7" ht="15" x14ac:dyDescent="0.15">
      <c r="A187" s="29"/>
      <c r="B187" s="53" t="e">
        <f>O_ProjectAwards_I2</f>
        <v>#REF!</v>
      </c>
      <c r="C187" s="25" t="e">
        <f>LOOKUP(B187,Name_tbl_ProjectAwardss,Name_tbl_ProjectAwardss_Id)</f>
        <v>#REF!</v>
      </c>
      <c r="D187" s="25" t="str">
        <f>IF(ISERROR(C187)=TRUE,"",CONCATENATE(Deletegn,C187))</f>
        <v/>
      </c>
    </row>
    <row r="188" spans="1:7" ht="15" x14ac:dyDescent="0.15">
      <c r="A188" s="29"/>
      <c r="B188" s="53" t="e">
        <f>O_ProjectAwards_I3</f>
        <v>#REF!</v>
      </c>
      <c r="C188" s="25" t="e">
        <f>LOOKUP(B188,Name_tbl_ProjectAwardss,Name_tbl_ProjectAwardss_Id)</f>
        <v>#REF!</v>
      </c>
      <c r="D188" s="25" t="str">
        <f>IF(ISERROR(C188)=TRUE,"",CONCATENATE(Deletegn,C188))</f>
        <v/>
      </c>
    </row>
    <row r="189" spans="1:7" ht="16" thickBot="1" x14ac:dyDescent="0.2">
      <c r="A189" s="29"/>
      <c r="B189" s="53" t="e">
        <f>O_ProjectAwards_I4</f>
        <v>#REF!</v>
      </c>
      <c r="C189" s="25" t="e">
        <f>LOOKUP(B189,Name_tbl_ProjectAwardss,Name_tbl_ProjectAwardss_Id)</f>
        <v>#REF!</v>
      </c>
      <c r="D189" s="25" t="str">
        <f>IF(ISERROR(C189)=TRUE,"",CONCATENATE(Deletegn,C189))</f>
        <v/>
      </c>
      <c r="F189" s="7" t="s">
        <v>866</v>
      </c>
      <c r="G189" s="14" t="str">
        <f>CONCATENATE(D186,D187,D188,D189)</f>
        <v/>
      </c>
    </row>
    <row r="190" spans="1:7" ht="16" x14ac:dyDescent="0.15">
      <c r="A190" s="29" t="s">
        <v>910</v>
      </c>
      <c r="B190" s="53" t="e">
        <f>O_ProjectRoleModel_I1</f>
        <v>#REF!</v>
      </c>
      <c r="C190" s="25" t="e">
        <f>LOOKUP(B190,Name_tbl_RoleModels,Name_tbl_RoleModels_Id)</f>
        <v>#REF!</v>
      </c>
      <c r="D190" s="25" t="str">
        <f>IF(ISERROR(C190)=TRUE,"",C190)</f>
        <v/>
      </c>
    </row>
    <row r="191" spans="1:7" ht="15" x14ac:dyDescent="0.15">
      <c r="A191" s="29"/>
      <c r="B191" s="53" t="e">
        <f>O_ProjectRoleModel_I2</f>
        <v>#REF!</v>
      </c>
      <c r="C191" s="25" t="e">
        <f>LOOKUP(B191,Name_tbl_RoleModels,Name_tbl_RoleModels_Id)</f>
        <v>#REF!</v>
      </c>
      <c r="D191" s="25" t="str">
        <f>IF(ISERROR(C191)=TRUE,"",CONCATENATE(Deletegn,C191))</f>
        <v/>
      </c>
    </row>
    <row r="192" spans="1:7" ht="15" x14ac:dyDescent="0.15">
      <c r="A192" s="29"/>
      <c r="B192" s="53" t="e">
        <f>O_ProjectRoleModel_I3</f>
        <v>#REF!</v>
      </c>
      <c r="C192" s="25" t="e">
        <f>LOOKUP(B192,Name_tbl_RoleModels,Name_tbl_RoleModels_Id)</f>
        <v>#REF!</v>
      </c>
      <c r="D192" s="25" t="str">
        <f>IF(ISERROR(C192)=TRUE,"",CONCATENATE(Deletegn,C192))</f>
        <v/>
      </c>
    </row>
    <row r="193" spans="1:7" ht="16" thickBot="1" x14ac:dyDescent="0.2">
      <c r="A193" s="29"/>
      <c r="B193" s="53" t="e">
        <f>O_ProjectRoleModel_I4</f>
        <v>#REF!</v>
      </c>
      <c r="C193" s="25" t="e">
        <f>LOOKUP(B193,Name_tbl_RoleModels,Name_tbl_RoleModels_Id)</f>
        <v>#REF!</v>
      </c>
      <c r="D193" s="25" t="str">
        <f>IF(ISERROR(C193)=TRUE,"",CONCATENATE(Deletegn,C193))</f>
        <v/>
      </c>
      <c r="F193" s="7" t="s">
        <v>866</v>
      </c>
      <c r="G193" s="14" t="str">
        <f>CONCATENATE(D190,D191,D192,D193)</f>
        <v/>
      </c>
    </row>
    <row r="194" spans="1:7" ht="16" x14ac:dyDescent="0.15">
      <c r="A194" s="29" t="s">
        <v>911</v>
      </c>
      <c r="B194" s="53" t="e">
        <f>O_ProjectResearch_I1</f>
        <v>#REF!</v>
      </c>
      <c r="C194" s="25" t="e">
        <f>LOOKUP(B194,Name_tbl_Researchs,Name_tbl_Researchs_Id)</f>
        <v>#REF!</v>
      </c>
      <c r="D194" s="25" t="str">
        <f>IF(ISERROR(C194)=TRUE,"",C194)</f>
        <v/>
      </c>
    </row>
    <row r="195" spans="1:7" ht="15" x14ac:dyDescent="0.15">
      <c r="A195" s="29"/>
      <c r="B195" s="53" t="e">
        <f>O_ProjectResearch_I2</f>
        <v>#REF!</v>
      </c>
      <c r="C195" s="25" t="e">
        <f>LOOKUP(B195,Name_tbl_Researchs,Name_tbl_Researchs_Id)</f>
        <v>#REF!</v>
      </c>
      <c r="D195" s="25" t="str">
        <f>IF(ISERROR(C195)=TRUE,"",CONCATENATE(Deletegn,C195))</f>
        <v/>
      </c>
    </row>
    <row r="196" spans="1:7" ht="15" x14ac:dyDescent="0.15">
      <c r="A196" s="29"/>
      <c r="B196" s="53" t="e">
        <f>O_ProjectResearch_I3</f>
        <v>#REF!</v>
      </c>
      <c r="C196" s="25" t="e">
        <f>LOOKUP(B196,Name_tbl_Researchs,Name_tbl_Researchs_Id)</f>
        <v>#REF!</v>
      </c>
      <c r="D196" s="25" t="str">
        <f>IF(ISERROR(C196)=TRUE,"",CONCATENATE(Deletegn,C196))</f>
        <v/>
      </c>
    </row>
    <row r="197" spans="1:7" ht="16" thickBot="1" x14ac:dyDescent="0.2">
      <c r="A197" s="29"/>
      <c r="B197" s="53" t="e">
        <f>O_ProjectResearch_I4</f>
        <v>#REF!</v>
      </c>
      <c r="C197" s="25" t="e">
        <f>LOOKUP(B197,Name_tbl_Researchs,Name_tbl_Researchs_Id)</f>
        <v>#REF!</v>
      </c>
      <c r="D197" s="25" t="str">
        <f>IF(ISERROR(C197)=TRUE,"",CONCATENATE(Deletegn,C197))</f>
        <v/>
      </c>
      <c r="F197" s="7" t="s">
        <v>866</v>
      </c>
      <c r="G197" s="14" t="str">
        <f>CONCATENATE(D194,D195,D196,D197)</f>
        <v/>
      </c>
    </row>
    <row r="198" spans="1:7" ht="16" x14ac:dyDescent="0.15">
      <c r="A198" s="71" t="s">
        <v>912</v>
      </c>
      <c r="B198" s="65" t="e">
        <f>A_ProjectArchitectureGuide_I1</f>
        <v>#REF!</v>
      </c>
      <c r="C198" s="25" t="e">
        <f>LOOKUP(B198,Name_tbl_ArchitectureGuides,Name_tbl_ArchitectureGuides_Id)</f>
        <v>#REF!</v>
      </c>
      <c r="D198" s="25" t="str">
        <f>IF(ISERROR(C198)=TRUE,"",C198)</f>
        <v/>
      </c>
      <c r="F198" s="7" t="s">
        <v>866</v>
      </c>
    </row>
    <row r="199" spans="1:7" ht="15" x14ac:dyDescent="0.15">
      <c r="A199" s="29"/>
      <c r="B199" s="53" t="e">
        <f>A_ProjectArchitectureGuide_I2</f>
        <v>#REF!</v>
      </c>
      <c r="C199" s="25" t="e">
        <f>LOOKUP(B199,Name_tbl_ArchitectureGuides,Name_tbl_ArchitectureGuides_Id)</f>
        <v>#REF!</v>
      </c>
      <c r="D199" s="25" t="str">
        <f>IF(ISERROR(C199)=TRUE,"",CONCATENATE(Deletegn,C199))</f>
        <v/>
      </c>
    </row>
    <row r="200" spans="1:7" ht="15" x14ac:dyDescent="0.15">
      <c r="A200" s="29"/>
      <c r="B200" s="53" t="e">
        <f>A_ProjectArchitectureGuide_I3</f>
        <v>#REF!</v>
      </c>
      <c r="C200" s="25" t="e">
        <f>LOOKUP(B200,Name_tbl_ArchitectureGuides,Name_tbl_ArchitectureGuides_Id)</f>
        <v>#REF!</v>
      </c>
      <c r="D200" s="25" t="str">
        <f>IF(ISERROR(C200)=TRUE,"",CONCATENATE(Deletegn,C200))</f>
        <v/>
      </c>
    </row>
    <row r="201" spans="1:7" ht="16" thickBot="1" x14ac:dyDescent="0.2">
      <c r="A201" s="29"/>
      <c r="B201" s="53" t="e">
        <f>A_ProjectArchitectureGuide_I4</f>
        <v>#REF!</v>
      </c>
      <c r="C201" s="25" t="e">
        <f>LOOKUP(B201,Name_tbl_ArchitectureGuides,Name_tbl_ArchitectureGuides_Id)</f>
        <v>#REF!</v>
      </c>
      <c r="D201" s="25" t="str">
        <f>IF(ISERROR(C201)=TRUE,"",CONCATENATE(Deletegn,C201))</f>
        <v/>
      </c>
      <c r="G201" s="14" t="str">
        <f>CONCATENATE(D198,D199,D200,D201)</f>
        <v/>
      </c>
    </row>
    <row r="202" spans="1:7" s="55" customFormat="1" ht="17" thickBot="1" x14ac:dyDescent="0.2">
      <c r="A202" s="90" t="s">
        <v>913</v>
      </c>
      <c r="B202" s="54" t="e">
        <f>O_Builders_I1</f>
        <v>#REF!</v>
      </c>
      <c r="C202" s="25" t="e">
        <f>VLOOKUP(B202,NameTableConsultingCompanys,2,FALSE)</f>
        <v>#REF!</v>
      </c>
      <c r="D202" s="25" t="str">
        <f>IF(ISERROR(C202)=TRUE,"",C202)</f>
        <v/>
      </c>
      <c r="E202" s="54"/>
      <c r="F202" s="7" t="s">
        <v>866</v>
      </c>
      <c r="G202" s="14" t="str">
        <f>CONCATENATE(D202)</f>
        <v/>
      </c>
    </row>
    <row r="203" spans="1:7" s="55" customFormat="1" ht="16" x14ac:dyDescent="0.15">
      <c r="A203" s="90" t="s">
        <v>914</v>
      </c>
      <c r="B203" s="54" t="e">
        <f>O_ArchitectARK_I1</f>
        <v>#REF!</v>
      </c>
      <c r="C203" s="25" t="e">
        <f t="shared" ref="C203:C210" si="6">VLOOKUP(B203,NameTableArchitechtureOffices,2,FALSE)</f>
        <v>#REF!</v>
      </c>
      <c r="D203" s="25" t="str">
        <f t="shared" ref="D203:D224" si="7">IF(ISERROR(C203)=TRUE,"",C203)</f>
        <v/>
      </c>
      <c r="E203" s="54"/>
      <c r="F203" s="7" t="s">
        <v>866</v>
      </c>
    </row>
    <row r="204" spans="1:7" s="55" customFormat="1" ht="16" thickBot="1" x14ac:dyDescent="0.2">
      <c r="A204" s="90"/>
      <c r="B204" s="54" t="e">
        <f>O_ArchitectARK_I2</f>
        <v>#REF!</v>
      </c>
      <c r="C204" s="25" t="e">
        <f t="shared" si="6"/>
        <v>#REF!</v>
      </c>
      <c r="D204" s="25" t="str">
        <f>IF(ISERROR(C204)=TRUE,"",CONCATENATE(Deletegn,C204))</f>
        <v/>
      </c>
      <c r="E204" s="54"/>
      <c r="F204" s="7"/>
      <c r="G204" s="14" t="str">
        <f>CONCATENATE(D203,D204)</f>
        <v/>
      </c>
    </row>
    <row r="205" spans="1:7" s="55" customFormat="1" ht="16" x14ac:dyDescent="0.15">
      <c r="A205" s="90" t="s">
        <v>915</v>
      </c>
      <c r="B205" s="54" t="e">
        <f>O_ArchitectLARK_I1</f>
        <v>#REF!</v>
      </c>
      <c r="C205" s="25" t="e">
        <f t="shared" si="6"/>
        <v>#REF!</v>
      </c>
      <c r="D205" s="25" t="str">
        <f t="shared" si="7"/>
        <v/>
      </c>
      <c r="E205" s="54"/>
      <c r="F205" s="7" t="s">
        <v>866</v>
      </c>
    </row>
    <row r="206" spans="1:7" s="55" customFormat="1" ht="16" thickBot="1" x14ac:dyDescent="0.2">
      <c r="A206" s="90"/>
      <c r="B206" s="54" t="e">
        <f>O_ArchitectLARK_I2</f>
        <v>#REF!</v>
      </c>
      <c r="C206" s="25" t="e">
        <f t="shared" si="6"/>
        <v>#REF!</v>
      </c>
      <c r="D206" s="25" t="str">
        <f>IF(ISERROR(C206)=TRUE,"",CONCATENATE(Deletegn,C206))</f>
        <v/>
      </c>
      <c r="E206" s="54"/>
      <c r="F206" s="7"/>
      <c r="G206" s="14" t="str">
        <f>CONCATENATE(D205,D206)</f>
        <v/>
      </c>
    </row>
    <row r="207" spans="1:7" s="55" customFormat="1" ht="16" x14ac:dyDescent="0.15">
      <c r="A207" s="90" t="s">
        <v>916</v>
      </c>
      <c r="B207" s="54" t="e">
        <f>O_ArchitectIARK_I1</f>
        <v>#REF!</v>
      </c>
      <c r="C207" s="25" t="e">
        <f t="shared" si="6"/>
        <v>#REF!</v>
      </c>
      <c r="D207" s="25" t="str">
        <f t="shared" si="7"/>
        <v/>
      </c>
      <c r="E207" s="54"/>
      <c r="F207" s="7" t="s">
        <v>866</v>
      </c>
    </row>
    <row r="208" spans="1:7" s="55" customFormat="1" ht="16" thickBot="1" x14ac:dyDescent="0.2">
      <c r="A208" s="90"/>
      <c r="B208" s="54" t="e">
        <f>O_ArchitectIARK_I2</f>
        <v>#REF!</v>
      </c>
      <c r="C208" s="25" t="e">
        <f t="shared" si="6"/>
        <v>#REF!</v>
      </c>
      <c r="D208" s="25" t="str">
        <f>IF(ISERROR(C208)=TRUE,"",CONCATENATE(Deletegn,C208))</f>
        <v/>
      </c>
      <c r="E208" s="54"/>
      <c r="F208" s="7"/>
      <c r="G208" s="14" t="str">
        <f>CONCATENATE(D207,D208)</f>
        <v/>
      </c>
    </row>
    <row r="209" spans="1:7" s="55" customFormat="1" ht="16" x14ac:dyDescent="0.15">
      <c r="A209" s="90" t="s">
        <v>917</v>
      </c>
      <c r="B209" s="54" t="e">
        <f>O_OriginalArchitect_I1</f>
        <v>#REF!</v>
      </c>
      <c r="C209" s="25" t="e">
        <f t="shared" si="6"/>
        <v>#REF!</v>
      </c>
      <c r="D209" s="25" t="str">
        <f t="shared" si="7"/>
        <v/>
      </c>
      <c r="E209" s="54"/>
      <c r="F209" s="7" t="s">
        <v>866</v>
      </c>
    </row>
    <row r="210" spans="1:7" s="55" customFormat="1" ht="16" thickBot="1" x14ac:dyDescent="0.2">
      <c r="A210" s="90"/>
      <c r="B210" s="54" t="e">
        <f>O_OriginalArchitect_I2</f>
        <v>#REF!</v>
      </c>
      <c r="C210" s="25" t="e">
        <f t="shared" si="6"/>
        <v>#REF!</v>
      </c>
      <c r="D210" s="25" t="str">
        <f>IF(ISERROR(C210)=TRUE,"",CONCATENATE(Deletegn,C210))</f>
        <v/>
      </c>
      <c r="E210" s="54"/>
      <c r="F210" s="7"/>
      <c r="G210" s="14" t="str">
        <f>CONCATENATE(D209,D210)</f>
        <v/>
      </c>
    </row>
    <row r="211" spans="1:7" s="55" customFormat="1" ht="16" x14ac:dyDescent="0.15">
      <c r="A211" s="90" t="s">
        <v>918</v>
      </c>
      <c r="B211" s="54" t="e">
        <f>O_ProjectManagagers_I1</f>
        <v>#REF!</v>
      </c>
      <c r="C211" s="25" t="e">
        <f>VLOOKUP(B211,NameTableConsultingCompanys,2,FALSE)</f>
        <v>#REF!</v>
      </c>
      <c r="D211" s="25" t="str">
        <f t="shared" si="7"/>
        <v/>
      </c>
      <c r="E211" s="54"/>
      <c r="F211" s="7" t="s">
        <v>866</v>
      </c>
    </row>
    <row r="212" spans="1:7" s="55" customFormat="1" ht="16" thickBot="1" x14ac:dyDescent="0.2">
      <c r="A212" s="90"/>
      <c r="B212" s="54" t="e">
        <f>O_ProjectManagagers_I2</f>
        <v>#REF!</v>
      </c>
      <c r="C212" s="25" t="e">
        <f>VLOOKUP(B212,NameTableConsultingCompanys,2,FALSE)</f>
        <v>#REF!</v>
      </c>
      <c r="D212" s="25" t="str">
        <f>IF(ISERROR(C212)=TRUE,"",CONCATENATE(Deletegn,C212))</f>
        <v/>
      </c>
      <c r="E212" s="54"/>
      <c r="F212" s="7"/>
      <c r="G212" s="14" t="str">
        <f>CONCATENATE(D211,D212)</f>
        <v/>
      </c>
    </row>
    <row r="213" spans="1:7" s="55" customFormat="1" ht="16" x14ac:dyDescent="0.15">
      <c r="A213" s="90" t="s">
        <v>919</v>
      </c>
      <c r="B213" s="54" t="e">
        <f>O_EnvironmentConsultants_I1</f>
        <v>#REF!</v>
      </c>
      <c r="C213" s="25" t="e">
        <f t="shared" ref="C213:C218" si="8">VLOOKUP(B213,NameTableCompanys,2,FALSE)</f>
        <v>#REF!</v>
      </c>
      <c r="D213" s="25" t="str">
        <f t="shared" si="7"/>
        <v/>
      </c>
      <c r="E213" s="54"/>
      <c r="F213" s="7" t="s">
        <v>866</v>
      </c>
    </row>
    <row r="214" spans="1:7" s="55" customFormat="1" ht="16" thickBot="1" x14ac:dyDescent="0.2">
      <c r="A214" s="90"/>
      <c r="B214" s="54" t="e">
        <f>O_EnvironmentConsultants_I2</f>
        <v>#REF!</v>
      </c>
      <c r="C214" s="25" t="e">
        <f t="shared" si="8"/>
        <v>#REF!</v>
      </c>
      <c r="D214" s="25" t="str">
        <f>IF(ISERROR(C214)=TRUE,"",CONCATENATE(Deletegn,C214))</f>
        <v/>
      </c>
      <c r="E214" s="54"/>
      <c r="F214" s="7"/>
      <c r="G214" s="14" t="str">
        <f>CONCATENATE(D213,D214)</f>
        <v/>
      </c>
    </row>
    <row r="215" spans="1:7" s="55" customFormat="1" ht="16" x14ac:dyDescent="0.15">
      <c r="A215" s="90" t="s">
        <v>920</v>
      </c>
      <c r="B215" s="54" t="e">
        <f>O_EnergyConsultants_I1</f>
        <v>#REF!</v>
      </c>
      <c r="C215" s="25" t="e">
        <f t="shared" si="8"/>
        <v>#REF!</v>
      </c>
      <c r="D215" s="25" t="str">
        <f t="shared" si="7"/>
        <v/>
      </c>
      <c r="E215" s="54"/>
      <c r="F215" s="7" t="s">
        <v>866</v>
      </c>
    </row>
    <row r="216" spans="1:7" s="55" customFormat="1" ht="16" thickBot="1" x14ac:dyDescent="0.2">
      <c r="A216" s="90"/>
      <c r="B216" s="54" t="e">
        <f>O_EnergyConsultants_I2</f>
        <v>#REF!</v>
      </c>
      <c r="C216" s="25" t="e">
        <f t="shared" si="8"/>
        <v>#REF!</v>
      </c>
      <c r="D216" s="25" t="str">
        <f>IF(ISERROR(C216)=TRUE,"",CONCATENATE(Deletegn,C216))</f>
        <v/>
      </c>
      <c r="E216" s="54"/>
      <c r="F216" s="7"/>
      <c r="G216" s="14" t="str">
        <f>CONCATENATE(D215,D216)</f>
        <v/>
      </c>
    </row>
    <row r="217" spans="1:7" s="55" customFormat="1" ht="16" x14ac:dyDescent="0.15">
      <c r="A217" s="90" t="s">
        <v>921</v>
      </c>
      <c r="B217" s="54" t="e">
        <f>O_UniversalDesignConsultants_I1</f>
        <v>#REF!</v>
      </c>
      <c r="C217" s="25" t="e">
        <f t="shared" si="8"/>
        <v>#REF!</v>
      </c>
      <c r="D217" s="25" t="str">
        <f t="shared" si="7"/>
        <v/>
      </c>
      <c r="E217" s="54"/>
      <c r="F217" s="7" t="s">
        <v>866</v>
      </c>
    </row>
    <row r="218" spans="1:7" s="55" customFormat="1" ht="16" thickBot="1" x14ac:dyDescent="0.2">
      <c r="A218" s="90"/>
      <c r="B218" s="54" t="e">
        <f>O_UniversalDesignConsultants_I2</f>
        <v>#REF!</v>
      </c>
      <c r="C218" s="25" t="e">
        <f t="shared" si="8"/>
        <v>#REF!</v>
      </c>
      <c r="D218" s="25" t="str">
        <f>IF(ISERROR(C218)=TRUE,"",CONCATENATE(Deletegn,C218))</f>
        <v/>
      </c>
      <c r="E218" s="54"/>
      <c r="F218" s="7"/>
      <c r="G218" s="14" t="str">
        <f>CONCATENATE(D217,D218)</f>
        <v/>
      </c>
    </row>
    <row r="219" spans="1:7" s="55" customFormat="1" ht="17" thickBot="1" x14ac:dyDescent="0.2">
      <c r="A219" s="90" t="s">
        <v>922</v>
      </c>
      <c r="B219" s="54" t="e">
        <f>O_AdvisorIngBygg_I</f>
        <v>#REF!</v>
      </c>
      <c r="C219" s="25" t="e">
        <f t="shared" ref="C219:C224" si="9">VLOOKUP(B219,NameTableConsultingCompanys,2,FALSE)</f>
        <v>#REF!</v>
      </c>
      <c r="D219" s="25" t="str">
        <f t="shared" si="7"/>
        <v/>
      </c>
      <c r="E219" s="54"/>
      <c r="F219" s="54" t="s">
        <v>843</v>
      </c>
      <c r="G219" s="14" t="str">
        <f t="shared" ref="G219:G224" si="10">CONCATENATE(D219)</f>
        <v/>
      </c>
    </row>
    <row r="220" spans="1:7" s="55" customFormat="1" ht="17" thickBot="1" x14ac:dyDescent="0.2">
      <c r="A220" s="90" t="s">
        <v>923</v>
      </c>
      <c r="B220" s="54" t="e">
        <f>O_AdvisorIngVVS_I</f>
        <v>#REF!</v>
      </c>
      <c r="C220" s="25" t="e">
        <f t="shared" si="9"/>
        <v>#REF!</v>
      </c>
      <c r="D220" s="25" t="str">
        <f t="shared" si="7"/>
        <v/>
      </c>
      <c r="E220" s="54"/>
      <c r="F220" s="54" t="s">
        <v>843</v>
      </c>
      <c r="G220" s="14" t="str">
        <f t="shared" si="10"/>
        <v/>
      </c>
    </row>
    <row r="221" spans="1:7" s="55" customFormat="1" ht="17" thickBot="1" x14ac:dyDescent="0.2">
      <c r="A221" s="90" t="s">
        <v>924</v>
      </c>
      <c r="B221" s="54" t="e">
        <f>O_AdvisorIngElektro_I</f>
        <v>#REF!</v>
      </c>
      <c r="C221" s="25" t="e">
        <f t="shared" si="9"/>
        <v>#REF!</v>
      </c>
      <c r="D221" s="25" t="str">
        <f t="shared" si="7"/>
        <v/>
      </c>
      <c r="E221" s="54"/>
      <c r="F221" s="54" t="s">
        <v>843</v>
      </c>
      <c r="G221" s="14" t="str">
        <f t="shared" si="10"/>
        <v/>
      </c>
    </row>
    <row r="222" spans="1:7" s="55" customFormat="1" ht="17" thickBot="1" x14ac:dyDescent="0.2">
      <c r="A222" s="90" t="s">
        <v>925</v>
      </c>
      <c r="B222" s="54" t="e">
        <f>O_AdvisorIngBuildingPhysics_I</f>
        <v>#REF!</v>
      </c>
      <c r="C222" s="25" t="e">
        <f t="shared" si="9"/>
        <v>#REF!</v>
      </c>
      <c r="D222" s="25" t="str">
        <f t="shared" si="7"/>
        <v/>
      </c>
      <c r="E222" s="54"/>
      <c r="F222" s="54" t="s">
        <v>843</v>
      </c>
      <c r="G222" s="14" t="str">
        <f t="shared" si="10"/>
        <v/>
      </c>
    </row>
    <row r="223" spans="1:7" s="55" customFormat="1" ht="17" thickBot="1" x14ac:dyDescent="0.2">
      <c r="A223" s="90" t="s">
        <v>926</v>
      </c>
      <c r="B223" s="54" t="e">
        <f>O_AdvisorIngFireSafety_I</f>
        <v>#REF!</v>
      </c>
      <c r="C223" s="25" t="e">
        <f t="shared" si="9"/>
        <v>#REF!</v>
      </c>
      <c r="D223" s="25" t="str">
        <f t="shared" si="7"/>
        <v/>
      </c>
      <c r="E223" s="54"/>
      <c r="F223" s="54" t="s">
        <v>843</v>
      </c>
      <c r="G223" s="14" t="str">
        <f t="shared" si="10"/>
        <v/>
      </c>
    </row>
    <row r="224" spans="1:7" s="55" customFormat="1" ht="17" thickBot="1" x14ac:dyDescent="0.2">
      <c r="A224" s="90" t="s">
        <v>927</v>
      </c>
      <c r="B224" s="54" t="e">
        <f>O_AdvisorIngAcoustics_I</f>
        <v>#REF!</v>
      </c>
      <c r="C224" s="25" t="e">
        <f t="shared" si="9"/>
        <v>#REF!</v>
      </c>
      <c r="D224" s="25" t="str">
        <f t="shared" si="7"/>
        <v/>
      </c>
      <c r="E224" s="54"/>
      <c r="F224" s="54" t="s">
        <v>843</v>
      </c>
      <c r="G224" s="14" t="str">
        <f t="shared" si="10"/>
        <v/>
      </c>
    </row>
    <row r="225" spans="1:7" s="55" customFormat="1" ht="16" x14ac:dyDescent="0.15">
      <c r="A225" s="90" t="s">
        <v>928</v>
      </c>
      <c r="B225" s="54" t="e">
        <f>O_OtherAdvisors_I</f>
        <v>#REF!</v>
      </c>
      <c r="C225" s="54"/>
      <c r="D225" s="25"/>
      <c r="E225" s="54" t="str">
        <f>T(D224)</f>
        <v/>
      </c>
      <c r="F225" s="54" t="s">
        <v>845</v>
      </c>
      <c r="G225" s="23" t="e">
        <f>IF((B225=0),"",B225)</f>
        <v>#REF!</v>
      </c>
    </row>
    <row r="226" spans="1:7" s="55" customFormat="1" ht="16" x14ac:dyDescent="0.15">
      <c r="A226" s="91" t="s">
        <v>929</v>
      </c>
      <c r="B226" s="54" t="e">
        <f>O_Contractors_I1</f>
        <v>#REF!</v>
      </c>
      <c r="C226" s="25" t="e">
        <f>VLOOKUP(B226,NameTableConsultingCompanys,2,FALSE)</f>
        <v>#REF!</v>
      </c>
      <c r="D226" s="25" t="str">
        <f>IF(ISERROR(C226)=TRUE,"",C226)</f>
        <v/>
      </c>
      <c r="E226" s="54"/>
      <c r="F226" s="54" t="s">
        <v>866</v>
      </c>
    </row>
    <row r="227" spans="1:7" s="55" customFormat="1" ht="15" x14ac:dyDescent="0.15">
      <c r="A227" s="91"/>
      <c r="B227" s="54" t="e">
        <f>O_Contractors_I2</f>
        <v>#REF!</v>
      </c>
      <c r="C227" s="25" t="e">
        <f>VLOOKUP(B227,NameTableConsultingCompanys,2,FALSE)</f>
        <v>#REF!</v>
      </c>
      <c r="D227" s="25" t="str">
        <f>IF(ISERROR(C227)=TRUE,"",CONCATENATE(Deletegn,C227))</f>
        <v/>
      </c>
      <c r="E227" s="54"/>
      <c r="F227" s="54"/>
    </row>
    <row r="228" spans="1:7" s="55" customFormat="1" ht="16" thickBot="1" x14ac:dyDescent="0.2">
      <c r="A228" s="91"/>
      <c r="B228" s="54" t="e">
        <f>O_Contractors_I3</f>
        <v>#REF!</v>
      </c>
      <c r="C228" s="25" t="e">
        <f>VLOOKUP(B228,NameTableConsultingCompanys,2,FALSE)</f>
        <v>#REF!</v>
      </c>
      <c r="D228" s="25" t="str">
        <f>IF(ISERROR(C228)=TRUE,"",CONCATENATE(Deletegn,C228))</f>
        <v/>
      </c>
      <c r="E228" s="54"/>
      <c r="F228" s="54"/>
      <c r="G228" s="14" t="str">
        <f>CONCATENATE(D226,D227,D228)</f>
        <v/>
      </c>
    </row>
    <row r="229" spans="1:7" s="55" customFormat="1" ht="16" x14ac:dyDescent="0.15">
      <c r="A229" s="90" t="s">
        <v>930</v>
      </c>
      <c r="B229" s="54" t="e">
        <f>O_ConstructionManagement_I1</f>
        <v>#REF!</v>
      </c>
      <c r="C229" s="25" t="e">
        <f>VLOOKUP(B229,NameTableConsultingCompanys,2,FALSE)</f>
        <v>#REF!</v>
      </c>
      <c r="D229" s="25" t="str">
        <f>IF(ISERROR(C229)=TRUE,"",C229)</f>
        <v/>
      </c>
      <c r="E229" s="54"/>
      <c r="F229" s="54" t="s">
        <v>866</v>
      </c>
    </row>
    <row r="230" spans="1:7" s="55" customFormat="1" ht="16" thickBot="1" x14ac:dyDescent="0.2">
      <c r="A230" s="90"/>
      <c r="B230" s="54" t="e">
        <f>O_ConstructionManagement_I2</f>
        <v>#REF!</v>
      </c>
      <c r="C230" s="25" t="e">
        <f>VLOOKUP(B230,NameTableConsultingCompanys,2,FALSE)</f>
        <v>#REF!</v>
      </c>
      <c r="D230" s="25" t="str">
        <f>IF(ISERROR(C230)=TRUE,"",CONCATENATE(Deletegn,C230))</f>
        <v/>
      </c>
      <c r="E230" s="54"/>
      <c r="F230" s="54"/>
      <c r="G230" s="14" t="str">
        <f>CONCATENATE(D229,D230)</f>
        <v/>
      </c>
    </row>
    <row r="231" spans="1:7" s="55" customFormat="1" ht="16" x14ac:dyDescent="0.15">
      <c r="A231" s="91" t="s">
        <v>931</v>
      </c>
      <c r="B231" s="54" t="e">
        <f>O_Subcontractors_I</f>
        <v>#REF!</v>
      </c>
      <c r="C231" s="54"/>
      <c r="D231" s="25"/>
      <c r="E231" s="54"/>
      <c r="F231" s="54" t="s">
        <v>845</v>
      </c>
      <c r="G231" s="23" t="e">
        <f>IF((B231=0),"",B231)</f>
        <v>#REF!</v>
      </c>
    </row>
    <row r="232" spans="1:7" ht="16" x14ac:dyDescent="0.15">
      <c r="A232" s="29" t="s">
        <v>932</v>
      </c>
      <c r="B232" s="7" t="e">
        <f>O_Manufacturers_I</f>
        <v>#REF!</v>
      </c>
      <c r="F232" s="7" t="s">
        <v>845</v>
      </c>
      <c r="G232" s="23" t="e">
        <f>IF((B232=0),"",B232)</f>
        <v>#REF!</v>
      </c>
    </row>
    <row r="233" spans="1:7" s="86" customFormat="1" ht="16" x14ac:dyDescent="0.15">
      <c r="A233" s="83" t="s">
        <v>933</v>
      </c>
      <c r="B233" s="84" t="s">
        <v>14</v>
      </c>
      <c r="C233" s="85">
        <f>VLOOKUP(B233,Enumerations!$S$1:$T$4,2,FALSE)</f>
        <v>0</v>
      </c>
      <c r="D233" s="86" t="str">
        <f>IF(C233=0,"",C233)</f>
        <v/>
      </c>
      <c r="E233" s="85"/>
      <c r="F233" s="87" t="s">
        <v>851</v>
      </c>
      <c r="G233" s="88" t="str">
        <f>CONCATENATE(D233)</f>
        <v/>
      </c>
    </row>
    <row r="234" spans="1:7" ht="16" x14ac:dyDescent="0.15">
      <c r="A234" s="29" t="s">
        <v>934</v>
      </c>
      <c r="E234" t="e">
        <f>IF(B251&gt;0,CONCATENATE(B251," m2 (oppvarmet BRA)"),IF(B250&gt;0,CONCATENATE(B250," m2 (bruksareal BRA)"),IF(B249&gt;0,CONCATENATE(B249," m2 (brutto BTA)"),"")))</f>
        <v>#REF!</v>
      </c>
      <c r="F234" s="7" t="s">
        <v>845</v>
      </c>
    </row>
    <row r="235" spans="1:7" ht="15" x14ac:dyDescent="0.15">
      <c r="A235" s="29"/>
      <c r="B235" s="102" t="e">
        <f>O_NumberOfResidents_Beboere_I</f>
        <v>#REF!</v>
      </c>
      <c r="C235" t="e">
        <f>IF(B235&gt;0,CONCATENATE(B235," beboere"),"")</f>
        <v>#REF!</v>
      </c>
      <c r="D235" t="e">
        <f>IF(C235="","",IF(SUM(B236:B243)=0,".",", "))</f>
        <v>#REF!</v>
      </c>
    </row>
    <row r="236" spans="1:7" ht="15" x14ac:dyDescent="0.15">
      <c r="A236" s="29"/>
      <c r="B236" s="102" t="e">
        <f>O_NumberOfResidents_Barnehageplasser_I</f>
        <v>#REF!</v>
      </c>
      <c r="C236" t="e">
        <f>IF(B236&gt;0,CONCATENATE(B236," barnehageplasser"),"")</f>
        <v>#REF!</v>
      </c>
      <c r="D236" t="e">
        <f>IF(C236="","",IF(SUM(B237:B243)=0,".",", "))</f>
        <v>#REF!</v>
      </c>
    </row>
    <row r="237" spans="1:7" ht="15" x14ac:dyDescent="0.15">
      <c r="A237" s="29"/>
      <c r="B237" s="102" t="e">
        <f>O_NumberOfResidents_Elever_I</f>
        <v>#REF!</v>
      </c>
      <c r="C237" t="e">
        <f>IF(B237&gt;0,CONCATENATE(B237," elever"),"")</f>
        <v>#REF!</v>
      </c>
      <c r="D237" t="e">
        <f>IF(C237="","",IF(SUM(B238:B243)=0,".",", "))</f>
        <v>#REF!</v>
      </c>
    </row>
    <row r="238" spans="1:7" ht="15" x14ac:dyDescent="0.15">
      <c r="A238" s="29"/>
      <c r="B238" t="e">
        <f>O_NumberOfResidents_Studenter_I</f>
        <v>#REF!</v>
      </c>
      <c r="C238" t="e">
        <f>IF(B238&gt;0,CONCATENATE(B238," studenter"),"")</f>
        <v>#REF!</v>
      </c>
      <c r="D238" t="e">
        <f>IF(C238="","",IF(SUM(B239:B243)=0,".",", "))</f>
        <v>#REF!</v>
      </c>
    </row>
    <row r="239" spans="1:7" ht="15" x14ac:dyDescent="0.15">
      <c r="A239" s="29"/>
      <c r="B239" t="e">
        <f>O_NumberOfResidents_Årsverk_I</f>
        <v>#REF!</v>
      </c>
      <c r="C239" t="e">
        <f>IF(B239&gt;0,CONCATENATE(B239," årsverk"),"")</f>
        <v>#REF!</v>
      </c>
      <c r="D239" t="e">
        <f>IF(C239="","",IF(SUM(B240:B243)=0,".",", "))</f>
        <v>#REF!</v>
      </c>
    </row>
    <row r="240" spans="1:7" ht="15" x14ac:dyDescent="0.15">
      <c r="A240" s="29"/>
      <c r="B240" t="e">
        <f>O_NumberOfResidents_Pasienter_I</f>
        <v>#REF!</v>
      </c>
      <c r="C240" t="e">
        <f>IF(B240&gt;0,CONCATENATE(B240," pasienter"),"")</f>
        <v>#REF!</v>
      </c>
      <c r="D240" t="e">
        <f>IF(C240="","",IF(SUM(B241:B243)=0,".",", "))</f>
        <v>#REF!</v>
      </c>
    </row>
    <row r="241" spans="1:9" ht="15" x14ac:dyDescent="0.15">
      <c r="A241" s="29"/>
      <c r="B241" s="102" t="e">
        <f>O_NumberOfResidents_Brukere_I</f>
        <v>#REF!</v>
      </c>
      <c r="C241" t="e">
        <f>IF(B241&gt;0,CONCATENATE(B241," brukere"),"")</f>
        <v>#REF!</v>
      </c>
      <c r="D241" t="e">
        <f>IF(C241="","",IF(SUM(B242:B243)=0,".",", "))</f>
        <v>#REF!</v>
      </c>
    </row>
    <row r="242" spans="1:9" ht="15" x14ac:dyDescent="0.15">
      <c r="A242" s="29"/>
      <c r="B242" t="e">
        <f>O_NumberOfResidents_Hotellsenger_I</f>
        <v>#REF!</v>
      </c>
      <c r="C242" t="e">
        <f>IF(B242&gt;0,CONCATENATE(B242," hotellsenger"),"")</f>
        <v>#REF!</v>
      </c>
      <c r="D242" t="e">
        <f>IF(C242="","",IF(SUM(B243:B243)=0,".",", "))</f>
        <v>#REF!</v>
      </c>
    </row>
    <row r="243" spans="1:9" ht="15" x14ac:dyDescent="0.15">
      <c r="A243" s="29"/>
      <c r="B243" t="e">
        <f>O_NumberOfResidents_Hotellrom_I</f>
        <v>#REF!</v>
      </c>
      <c r="C243" t="e">
        <f>IF(B243&gt;0,CONCATENATE(B243," hotellrom"),"")</f>
        <v>#REF!</v>
      </c>
      <c r="D243" t="e">
        <f>IF(C243="","",".")</f>
        <v>#REF!</v>
      </c>
      <c r="E243" t="e">
        <f>CONCATENATE(IF(B235+B236+B237+B238+B239+B240+B241+B242+B243&gt;0,CONCATENATE(" fordelt på "),""),C235,D235,C236,D236,C237,D237,C238,D238,C239,D239,C240,D240,C241,D241,C242,D242,C243,D243)</f>
        <v>#REF!</v>
      </c>
    </row>
    <row r="244" spans="1:9" ht="15" x14ac:dyDescent="0.15">
      <c r="A244" s="29"/>
      <c r="B244"/>
      <c r="C244"/>
      <c r="D244"/>
      <c r="E244" t="e">
        <f>IF(E234="","",(CONCATENATE(E234,IF(E243="",IF(D248&gt;0,CONCATENATE(" fordelt på ",D248," personer."),""),E243))))</f>
        <v>#REF!</v>
      </c>
      <c r="H244" s="102"/>
    </row>
    <row r="245" spans="1:9" ht="15" x14ac:dyDescent="0.15">
      <c r="A245" s="29"/>
      <c r="B245" s="7" t="e">
        <f>IF(O_AreaUsed_I=0,"",O_AreaUsed_I)</f>
        <v>#REF!</v>
      </c>
      <c r="E245" t="e">
        <f>EXACT(MID(B245,1,15),MID(E244,1,15))</f>
        <v>#REF!</v>
      </c>
    </row>
    <row r="246" spans="1:9" ht="15" x14ac:dyDescent="0.15">
      <c r="A246" s="29"/>
      <c r="B246"/>
      <c r="E246" s="7" t="e">
        <f>IF(E245=TRUE(),CONCATENATE(E244," ",MID(B245,FIND("
",B245,1),10000)),CONCATENATE(IF(E244="",B245,CONCATENATE(E244,Linebreak,B245))))</f>
        <v>#REF!</v>
      </c>
    </row>
    <row r="247" spans="1:9" ht="15" x14ac:dyDescent="0.15">
      <c r="A247" s="29"/>
      <c r="B247"/>
      <c r="E247" s="7" t="e">
        <f>IFERROR(E246,CONCATENATE(E244,Linebreak,B245))</f>
        <v>#REF!</v>
      </c>
      <c r="G247" s="23" t="e">
        <f>IF((E247="
0"),"",E247)</f>
        <v>#REF!</v>
      </c>
      <c r="H247" s="104"/>
      <c r="I247" s="104"/>
    </row>
    <row r="248" spans="1:9" ht="16" x14ac:dyDescent="0.15">
      <c r="A248" s="29" t="s">
        <v>935</v>
      </c>
      <c r="B248" s="7" t="e">
        <f>IF((B235+B236+B237+B238+B239+B240+B241+B242)&gt;0,B235+B236+B237+B238+B239+B240+B241+B242,0)</f>
        <v>#REF!</v>
      </c>
      <c r="C248" s="110"/>
      <c r="D248" s="96" t="e">
        <f>IF(B248=0,P_NumberOfResidents_I,B248)</f>
        <v>#REF!</v>
      </c>
      <c r="F248" s="7" t="s">
        <v>837</v>
      </c>
      <c r="G248" s="23" t="e">
        <f>IF((D248=0),"",D248)</f>
        <v>#REF!</v>
      </c>
    </row>
    <row r="249" spans="1:9" s="57" customFormat="1" ht="16" x14ac:dyDescent="0.15">
      <c r="A249" s="91" t="s">
        <v>936</v>
      </c>
      <c r="B249" s="7" t="e">
        <f>O_GrossSquareFootBTA_I</f>
        <v>#REF!</v>
      </c>
      <c r="C249" s="56"/>
      <c r="D249" s="56"/>
      <c r="E249" s="56"/>
      <c r="F249" s="7" t="s">
        <v>837</v>
      </c>
      <c r="G249" s="23" t="e">
        <f>IF((B249=0),"",B249)</f>
        <v>#REF!</v>
      </c>
    </row>
    <row r="250" spans="1:9" ht="16" x14ac:dyDescent="0.15">
      <c r="A250" s="29" t="s">
        <v>937</v>
      </c>
      <c r="B250" s="7" t="e">
        <f>O_GrossSquareFoot_I</f>
        <v>#REF!</v>
      </c>
      <c r="F250" s="7" t="s">
        <v>837</v>
      </c>
      <c r="G250" s="23" t="e">
        <f>IF((B250=0),"",B250)</f>
        <v>#REF!</v>
      </c>
    </row>
    <row r="251" spans="1:9" ht="16" x14ac:dyDescent="0.15">
      <c r="A251" s="29" t="s">
        <v>938</v>
      </c>
      <c r="B251" s="7" t="e">
        <f>O_GrossSquareFootHeated_I</f>
        <v>#REF!</v>
      </c>
      <c r="F251" s="7" t="s">
        <v>837</v>
      </c>
      <c r="G251" s="67" t="e">
        <f>IF((B251=0),"",B251)</f>
        <v>#REF!</v>
      </c>
    </row>
    <row r="252" spans="1:9" ht="16" x14ac:dyDescent="0.15">
      <c r="A252" s="29" t="s">
        <v>939</v>
      </c>
      <c r="B252" s="7" t="e">
        <f>O_SquareFootGlass_I</f>
        <v>#REF!</v>
      </c>
      <c r="F252" s="7" t="s">
        <v>940</v>
      </c>
      <c r="G252" s="23" t="e">
        <f>IF((B252=0),"",B252)</f>
        <v>#REF!</v>
      </c>
    </row>
    <row r="253" spans="1:9" ht="16" x14ac:dyDescent="0.15">
      <c r="A253" s="29" t="s">
        <v>941</v>
      </c>
      <c r="B253" s="7" t="e">
        <f>O_SurfaceArea_I/O_HeatedVolume_I</f>
        <v>#REF!</v>
      </c>
      <c r="D253" s="96">
        <f>IF(ISERROR(B253)=TRUE,0,B253)</f>
        <v>0</v>
      </c>
      <c r="E253" s="110">
        <f>IF(D253&gt;0,ROUND(D253,4),ROUND(C253,4))</f>
        <v>0</v>
      </c>
      <c r="F253" s="7" t="s">
        <v>940</v>
      </c>
      <c r="G253" s="23" t="str">
        <f>IF((E253=0),"",E253)</f>
        <v/>
      </c>
    </row>
    <row r="254" spans="1:9" ht="16" x14ac:dyDescent="0.15">
      <c r="A254" s="76" t="s">
        <v>942</v>
      </c>
      <c r="B254" s="7" t="e">
        <f>F_GreenAreaIncrease_I</f>
        <v>#REF!</v>
      </c>
      <c r="F254" s="7" t="s">
        <v>837</v>
      </c>
      <c r="G254" s="23" t="e">
        <f t="shared" ref="G254:G276" si="11">IF((B254=0),"",B254)</f>
        <v>#REF!</v>
      </c>
    </row>
    <row r="255" spans="1:9" ht="16" x14ac:dyDescent="0.15">
      <c r="A255" s="76" t="s">
        <v>943</v>
      </c>
      <c r="B255" s="7" t="e">
        <f>F_HardAreaReduction_I</f>
        <v>#REF!</v>
      </c>
      <c r="F255" s="7" t="s">
        <v>837</v>
      </c>
      <c r="G255" s="23" t="e">
        <f t="shared" si="11"/>
        <v>#REF!</v>
      </c>
    </row>
    <row r="256" spans="1:9" ht="16" x14ac:dyDescent="0.15">
      <c r="A256" s="76" t="s">
        <v>944</v>
      </c>
      <c r="B256" s="7" t="e">
        <f>F_WalkwaysLength_I</f>
        <v>#REF!</v>
      </c>
      <c r="F256" s="7" t="s">
        <v>837</v>
      </c>
      <c r="G256" s="23" t="e">
        <f t="shared" si="11"/>
        <v>#REF!</v>
      </c>
    </row>
    <row r="257" spans="1:7" ht="16" x14ac:dyDescent="0.15">
      <c r="A257" s="29" t="s">
        <v>945</v>
      </c>
      <c r="B257" s="7" t="e">
        <f>O_DistanceToCollectivePoint_I</f>
        <v>#REF!</v>
      </c>
      <c r="F257" s="7" t="s">
        <v>837</v>
      </c>
      <c r="G257" s="23" t="e">
        <f t="shared" si="11"/>
        <v>#REF!</v>
      </c>
    </row>
    <row r="258" spans="1:7" ht="16" x14ac:dyDescent="0.15">
      <c r="A258" s="29" t="s">
        <v>946</v>
      </c>
      <c r="B258" s="7" t="e">
        <f>O_DistanceToCityCenter_I</f>
        <v>#REF!</v>
      </c>
      <c r="F258" s="7" t="s">
        <v>837</v>
      </c>
      <c r="G258" s="23" t="e">
        <f t="shared" si="11"/>
        <v>#REF!</v>
      </c>
    </row>
    <row r="259" spans="1:7" ht="16" x14ac:dyDescent="0.15">
      <c r="A259" s="29" t="s">
        <v>947</v>
      </c>
      <c r="B259" s="7" t="e">
        <f>O_ParkingArea_I</f>
        <v>#REF!</v>
      </c>
      <c r="F259" s="7" t="s">
        <v>940</v>
      </c>
      <c r="G259" s="23" t="e">
        <f t="shared" si="11"/>
        <v>#REF!</v>
      </c>
    </row>
    <row r="260" spans="1:7" ht="16" x14ac:dyDescent="0.15">
      <c r="A260" s="29" t="s">
        <v>948</v>
      </c>
      <c r="B260" s="7" t="e">
        <f>O_ParkingSpotsPerUnit_I</f>
        <v>#REF!</v>
      </c>
      <c r="F260" s="7" t="s">
        <v>940</v>
      </c>
      <c r="G260" s="23" t="e">
        <f t="shared" si="11"/>
        <v>#REF!</v>
      </c>
    </row>
    <row r="261" spans="1:7" ht="16" x14ac:dyDescent="0.15">
      <c r="A261" s="29" t="s">
        <v>949</v>
      </c>
      <c r="B261" s="7" t="e">
        <f>O_BikeParkingArea_I</f>
        <v>#REF!</v>
      </c>
      <c r="F261" s="7" t="s">
        <v>940</v>
      </c>
      <c r="G261" s="23" t="e">
        <f t="shared" si="11"/>
        <v>#REF!</v>
      </c>
    </row>
    <row r="262" spans="1:7" ht="16" x14ac:dyDescent="0.15">
      <c r="A262" s="29" t="s">
        <v>950</v>
      </c>
      <c r="B262" s="7" t="e">
        <f>O_BikeParkingSpotsPerUnit_I</f>
        <v>#REF!</v>
      </c>
      <c r="F262" s="7" t="s">
        <v>940</v>
      </c>
      <c r="G262" s="23" t="e">
        <f t="shared" si="11"/>
        <v>#REF!</v>
      </c>
    </row>
    <row r="263" spans="1:7" ht="16" x14ac:dyDescent="0.15">
      <c r="A263" s="29" t="s">
        <v>951</v>
      </c>
      <c r="B263" s="7" t="e">
        <f>F_FByerCO2_I</f>
        <v>#REF!</v>
      </c>
      <c r="F263" s="7" t="s">
        <v>940</v>
      </c>
      <c r="G263" s="23" t="e">
        <f t="shared" si="11"/>
        <v>#REF!</v>
      </c>
    </row>
    <row r="264" spans="1:7" ht="16" x14ac:dyDescent="0.15">
      <c r="A264" s="29" t="s">
        <v>952</v>
      </c>
      <c r="B264" s="7" t="e">
        <f>O_CO2Method_I</f>
        <v>#REF!</v>
      </c>
      <c r="F264" s="7" t="s">
        <v>839</v>
      </c>
      <c r="G264" s="23" t="e">
        <f>IF((B264=0),"",B264)</f>
        <v>#REF!</v>
      </c>
    </row>
    <row r="265" spans="1:7" ht="16" x14ac:dyDescent="0.15">
      <c r="A265" s="29" t="s">
        <v>953</v>
      </c>
      <c r="B265" s="7" t="e">
        <f>O_CO2ReferenceEnergy_I</f>
        <v>#REF!</v>
      </c>
      <c r="F265" s="7" t="s">
        <v>940</v>
      </c>
      <c r="G265" s="23" t="e">
        <f t="shared" si="11"/>
        <v>#REF!</v>
      </c>
    </row>
    <row r="266" spans="1:7" ht="16" x14ac:dyDescent="0.15">
      <c r="A266" s="29" t="s">
        <v>954</v>
      </c>
      <c r="B266" s="7" t="e">
        <f>O_CO2ReferenceMaterials_I</f>
        <v>#REF!</v>
      </c>
      <c r="F266" s="7" t="s">
        <v>940</v>
      </c>
      <c r="G266" s="23" t="e">
        <f t="shared" si="11"/>
        <v>#REF!</v>
      </c>
    </row>
    <row r="267" spans="1:7" ht="16" x14ac:dyDescent="0.15">
      <c r="A267" s="29" t="s">
        <v>955</v>
      </c>
      <c r="B267" s="7" t="e">
        <f>O_CO2ReferenceTransport_I</f>
        <v>#REF!</v>
      </c>
      <c r="F267" s="7" t="s">
        <v>940</v>
      </c>
      <c r="G267" s="23" t="e">
        <f t="shared" si="11"/>
        <v>#REF!</v>
      </c>
    </row>
    <row r="268" spans="1:7" ht="16" x14ac:dyDescent="0.15">
      <c r="A268" s="29" t="s">
        <v>956</v>
      </c>
      <c r="B268" s="7" t="e">
        <f>O_CO2DesignedEnergy_I</f>
        <v>#REF!</v>
      </c>
      <c r="F268" s="7" t="s">
        <v>940</v>
      </c>
      <c r="G268" s="23" t="e">
        <f t="shared" si="11"/>
        <v>#REF!</v>
      </c>
    </row>
    <row r="269" spans="1:7" ht="16" x14ac:dyDescent="0.15">
      <c r="A269" s="29" t="s">
        <v>957</v>
      </c>
      <c r="B269" s="7" t="e">
        <f>O_CO2DesignedMaterials_I</f>
        <v>#REF!</v>
      </c>
      <c r="F269" s="7" t="s">
        <v>940</v>
      </c>
      <c r="G269" s="23" t="e">
        <f t="shared" si="11"/>
        <v>#REF!</v>
      </c>
    </row>
    <row r="270" spans="1:7" ht="16" x14ac:dyDescent="0.15">
      <c r="A270" s="29" t="s">
        <v>958</v>
      </c>
      <c r="B270" s="7" t="e">
        <f>O_CO2DesignedTransport_I</f>
        <v>#REF!</v>
      </c>
      <c r="F270" s="7" t="s">
        <v>940</v>
      </c>
      <c r="G270" s="23" t="e">
        <f t="shared" si="11"/>
        <v>#REF!</v>
      </c>
    </row>
    <row r="271" spans="1:7" ht="16" x14ac:dyDescent="0.15">
      <c r="A271" s="29" t="s">
        <v>959</v>
      </c>
      <c r="B271" s="7" t="e">
        <f>O_CO2FinishedEnergy_I</f>
        <v>#REF!</v>
      </c>
      <c r="F271" s="7" t="s">
        <v>940</v>
      </c>
      <c r="G271" s="23" t="e">
        <f t="shared" si="11"/>
        <v>#REF!</v>
      </c>
    </row>
    <row r="272" spans="1:7" ht="16" x14ac:dyDescent="0.15">
      <c r="A272" s="29" t="s">
        <v>960</v>
      </c>
      <c r="B272" s="110" t="e">
        <f>O_CO2FinishedMaterials_I</f>
        <v>#REF!</v>
      </c>
      <c r="F272" s="7" t="s">
        <v>940</v>
      </c>
      <c r="G272" s="23" t="e">
        <f t="shared" si="11"/>
        <v>#REF!</v>
      </c>
    </row>
    <row r="273" spans="1:10" ht="16" x14ac:dyDescent="0.15">
      <c r="A273" s="29" t="s">
        <v>961</v>
      </c>
      <c r="B273" s="7" t="e">
        <f>O_CO2FinishedTransport_I</f>
        <v>#REF!</v>
      </c>
      <c r="F273" s="7" t="s">
        <v>940</v>
      </c>
      <c r="G273" s="23" t="e">
        <f t="shared" si="11"/>
        <v>#REF!</v>
      </c>
    </row>
    <row r="274" spans="1:10" ht="16" x14ac:dyDescent="0.15">
      <c r="A274" s="29" t="s">
        <v>962</v>
      </c>
      <c r="B274" s="7" t="e">
        <f>O_CO2InUseEnergy_I</f>
        <v>#REF!</v>
      </c>
      <c r="F274" s="7" t="s">
        <v>940</v>
      </c>
      <c r="G274" s="23" t="e">
        <f t="shared" si="11"/>
        <v>#REF!</v>
      </c>
    </row>
    <row r="275" spans="1:10" ht="16" x14ac:dyDescent="0.15">
      <c r="A275" s="29" t="s">
        <v>963</v>
      </c>
      <c r="B275" s="7" t="e">
        <f>O_CO2InUseMaterials_I</f>
        <v>#REF!</v>
      </c>
      <c r="F275" s="7" t="s">
        <v>940</v>
      </c>
      <c r="G275" s="23" t="e">
        <f t="shared" si="11"/>
        <v>#REF!</v>
      </c>
      <c r="J275" s="102"/>
    </row>
    <row r="276" spans="1:10" ht="16" x14ac:dyDescent="0.15">
      <c r="A276" s="29" t="s">
        <v>964</v>
      </c>
      <c r="B276" s="7" t="e">
        <f>O_CO2InUseTransport_I</f>
        <v>#REF!</v>
      </c>
      <c r="F276" s="7" t="s">
        <v>940</v>
      </c>
      <c r="G276" s="23" t="e">
        <f t="shared" si="11"/>
        <v>#REF!</v>
      </c>
    </row>
    <row r="277" spans="1:10" ht="16" x14ac:dyDescent="0.15">
      <c r="A277" s="29" t="s">
        <v>157</v>
      </c>
      <c r="B277" s="7" t="e">
        <f>O_EnergyLabel_I</f>
        <v>#REF!</v>
      </c>
      <c r="C277" s="24" t="e">
        <f>VLOOKUP(B277,Enumerations!$A$1:$C$10,3,FALSE)</f>
        <v>#REF!</v>
      </c>
      <c r="F277" s="7" t="s">
        <v>847</v>
      </c>
      <c r="G277" s="23" t="e">
        <f>IF(C277=1,"",C277)</f>
        <v>#REF!</v>
      </c>
    </row>
    <row r="278" spans="1:10" ht="16" x14ac:dyDescent="0.15">
      <c r="A278" s="29" t="s">
        <v>160</v>
      </c>
      <c r="B278" s="7" t="e">
        <f>O_HeatRating_I</f>
        <v>#REF!</v>
      </c>
      <c r="C278" s="24" t="e">
        <f>VLOOKUP(B278,Enumerations!$D$1:$F$10,3,FALSE)</f>
        <v>#REF!</v>
      </c>
      <c r="F278" s="7" t="s">
        <v>847</v>
      </c>
      <c r="G278" s="23" t="e">
        <f>IF(C278=1,"",C278)</f>
        <v>#REF!</v>
      </c>
    </row>
    <row r="279" spans="1:10" ht="16" x14ac:dyDescent="0.15">
      <c r="A279" s="29" t="s">
        <v>965</v>
      </c>
      <c r="B279" s="7" t="e">
        <f>IF(B295&gt;0,CONCATENATE("Målt forbruk (levert): ",B295," kWh/m2/år."),"")</f>
        <v>#REF!</v>
      </c>
      <c r="C279" s="7" t="e">
        <f>IF(B280="",B279,IF(B279="","",CONCATENATE(B279," ")))</f>
        <v>#REF!</v>
      </c>
      <c r="D279" s="7" t="e">
        <f>IF(B279="","",CONCATENATE(" ",O_EnergyConsumption_I))</f>
        <v>#REF!</v>
      </c>
      <c r="E279" s="7" t="e">
        <f>CONCATENATE(C279,C280)</f>
        <v>#REF!</v>
      </c>
      <c r="F279"/>
    </row>
    <row r="280" spans="1:10" ht="15" x14ac:dyDescent="0.15">
      <c r="A280" s="29"/>
      <c r="B280" s="7" t="e">
        <f>CONCATENATE(IF(B288+B289&gt;0,CONCATENATE(IF(B288=0,"",CONCATENATE("Netto energibehov: ",B288," kWh/m2 år. ")),IF(B289=0,"",CONCATENATE("Levert energi: ",B289," kWh/m2 år."))," (Beregnet iht NS3700/3701)."),IF(B290+B291&gt;0,CONCATENATE(IF(B290=0,"",CONCATENATE("Netto energibehov: ",B290," kWh/m2 år. ")),IF(B291=0,"",CONCATENATE("Levert energi: ",B291," kWh/m2 år."))," (Beregnet iht NS3031 og standard klima)."),"")))</f>
        <v>#REF!</v>
      </c>
      <c r="C280" s="7" t="e">
        <f>IF(B281="",B280,IF(B280="","",CONCATENATE(B280," ")))</f>
        <v>#REF!</v>
      </c>
      <c r="E280" s="7" t="e">
        <f>EXACT(MID(C281,1,15),MID(E279,1,15))</f>
        <v>#REF!</v>
      </c>
    </row>
    <row r="281" spans="1:10" ht="15" x14ac:dyDescent="0.15">
      <c r="A281" s="29"/>
      <c r="B281" s="7" t="e">
        <f>O_EnergyConsumption_I</f>
        <v>#REF!</v>
      </c>
      <c r="C281" s="7" t="e">
        <f>IF(B281=0,"",B281)</f>
        <v>#REF!</v>
      </c>
      <c r="E281" s="7" t="e">
        <f>IF(E280=TRUE(),CONCATENATE(E279,MID(C281,FIND("
",C281,1),10000)),IF(C281="",E279,IF(E279="",C281,CONCATENATE(E279,Linebreak,C281))))</f>
        <v>#REF!</v>
      </c>
      <c r="F281" s="7" t="s">
        <v>845</v>
      </c>
      <c r="I281" s="104"/>
    </row>
    <row r="282" spans="1:10" ht="15" x14ac:dyDescent="0.15">
      <c r="A282" s="29"/>
      <c r="E282" s="98" t="e">
        <f>IFERROR(E281,CONCATENATE(E279,Linebreak,C281))</f>
        <v>#REF!</v>
      </c>
      <c r="G282" s="48" t="e">
        <f>IF((E282="
0"),"",E282)</f>
        <v>#REF!</v>
      </c>
      <c r="I282" s="104"/>
    </row>
    <row r="283" spans="1:10" ht="16" x14ac:dyDescent="0.15">
      <c r="A283" s="29" t="s">
        <v>966</v>
      </c>
      <c r="B283" s="7" t="e">
        <f>IF(O_Energiforsyningssystem_I1=0,"-----",O_Energiforsyningssystem_I1)</f>
        <v>#REF!</v>
      </c>
      <c r="C283" s="7" t="e">
        <f>O_EnergiforsyningssystemKommentar_I1</f>
        <v>#REF!</v>
      </c>
      <c r="D283" s="7" t="e">
        <f>IF(B283="-----","",CONCATENATE(B283,IF(C283=0,"",CONCATENATE(" (",C283,")")),IF(B284="-----","",", ")))</f>
        <v>#REF!</v>
      </c>
      <c r="E283" s="7" t="e">
        <f>CONCATENATE(D283,D284,D285,D286)</f>
        <v>#REF!</v>
      </c>
      <c r="G283" s="57"/>
    </row>
    <row r="284" spans="1:10" ht="15" x14ac:dyDescent="0.15">
      <c r="A284" s="29"/>
      <c r="B284" s="7" t="e">
        <f>IF(O_Energiforsyningssystem_I2=0,"-----",O_Energiforsyningssystem_I2)</f>
        <v>#REF!</v>
      </c>
      <c r="C284" s="7" t="e">
        <f>O_EnergiforsyningssystemKommentar_I2</f>
        <v>#REF!</v>
      </c>
      <c r="D284" s="7" t="e">
        <f>IF(B284="-----","",CONCATENATE(B284,IF(C284=0,"",CONCATENATE(" (",C284,")")),IF(B285="-----","",", ")))</f>
        <v>#REF!</v>
      </c>
      <c r="E284" t="e">
        <f>EXACT(MID(C287,1,15),MID(E283,1,15))</f>
        <v>#REF!</v>
      </c>
      <c r="G284" s="57"/>
    </row>
    <row r="285" spans="1:10" ht="15" x14ac:dyDescent="0.15">
      <c r="A285" s="29"/>
      <c r="B285" s="7" t="e">
        <f>IF(O_Energiforsyningssystem_I3=0,"-----",O_Energiforsyningssystem_I3)</f>
        <v>#REF!</v>
      </c>
      <c r="C285" s="7" t="e">
        <f>O_EnergiforsyningssystemKommentar_I3</f>
        <v>#REF!</v>
      </c>
      <c r="D285" s="7" t="e">
        <f>IF(B285="-----","",CONCATENATE(B285,IF(C285=0,"",CONCATENATE(" (",C285,")")),IF(B286="-----","",", ")))</f>
        <v>#REF!</v>
      </c>
      <c r="E285" s="7" t="e">
        <f>IF(E284=TRUE(),CONCATENATE(E283," ",MID(C287,FIND("
",C287,1),10000)),IF(C287="",E283,IF(E283="",C287,CONCATENATE(E283,Linebreak,C287))))</f>
        <v>#REF!</v>
      </c>
      <c r="G285" s="57"/>
      <c r="I285" s="127"/>
    </row>
    <row r="286" spans="1:10" ht="15" x14ac:dyDescent="0.15">
      <c r="A286" s="29"/>
      <c r="B286" s="7" t="e">
        <f>IF(O_Energiforsyningssystem_I4=0,"-----",O_Energiforsyningssystem_I4)</f>
        <v>#REF!</v>
      </c>
      <c r="C286" s="7" t="e">
        <f>O_EnergiforsyningssystemKommentar_I4</f>
        <v>#REF!</v>
      </c>
      <c r="D286" s="7" t="e">
        <f>IF(B286="-----","",CONCATENATE(B286,IF(C286=0,"",CONCATENATE(" (",C286,")")),IF(C287="-----","",", ")))</f>
        <v>#REF!</v>
      </c>
      <c r="E286"/>
      <c r="G286" s="57"/>
    </row>
    <row r="287" spans="1:10" ht="71" customHeight="1" x14ac:dyDescent="0.15">
      <c r="A287" s="29"/>
      <c r="B287" s="7" t="e">
        <f>O_EnergySources_I</f>
        <v>#REF!</v>
      </c>
      <c r="C287" s="126" t="e">
        <f>IF(B287=0,"",B287)</f>
        <v>#REF!</v>
      </c>
      <c r="E287" s="98" t="e">
        <f>IFERROR(E285,CONCATENATE(E283,Linebreak,C287))</f>
        <v>#REF!</v>
      </c>
      <c r="F287" s="7" t="s">
        <v>845</v>
      </c>
      <c r="G287" s="48" t="e">
        <f>IF((E287="
0"),"",E287)</f>
        <v>#REF!</v>
      </c>
      <c r="H287" s="102"/>
      <c r="I287" s="104"/>
      <c r="J287" s="104"/>
    </row>
    <row r="288" spans="1:10" ht="16" x14ac:dyDescent="0.15">
      <c r="A288" s="29" t="s">
        <v>967</v>
      </c>
      <c r="B288" s="7" t="e">
        <f>O_NetEnergy3700_I</f>
        <v>#REF!</v>
      </c>
      <c r="F288" s="7" t="s">
        <v>837</v>
      </c>
      <c r="G288" s="23" t="e">
        <f t="shared" ref="G288:G296" si="12">IF((B288=0),"",B288)</f>
        <v>#REF!</v>
      </c>
    </row>
    <row r="289" spans="1:7" ht="16" x14ac:dyDescent="0.15">
      <c r="A289" s="29" t="s">
        <v>968</v>
      </c>
      <c r="B289" s="7" t="e">
        <f>O_EstimatedDeliveredEnergy3700_I</f>
        <v>#REF!</v>
      </c>
      <c r="F289" s="7" t="s">
        <v>837</v>
      </c>
      <c r="G289" s="23" t="e">
        <f>IF((B289=0),"",B289)</f>
        <v>#REF!</v>
      </c>
    </row>
    <row r="290" spans="1:7" ht="16" x14ac:dyDescent="0.15">
      <c r="A290" s="29" t="s">
        <v>969</v>
      </c>
      <c r="B290" s="7" t="e">
        <f>O_NetEnergy_I</f>
        <v>#REF!</v>
      </c>
      <c r="F290" s="7" t="s">
        <v>837</v>
      </c>
      <c r="G290" s="23" t="e">
        <f>IF((B290=0),"",B290)</f>
        <v>#REF!</v>
      </c>
    </row>
    <row r="291" spans="1:7" ht="16" x14ac:dyDescent="0.15">
      <c r="A291" s="29" t="s">
        <v>970</v>
      </c>
      <c r="B291" s="7" t="e">
        <f>O_EstimatedDeliveredEnergy_I</f>
        <v>#REF!</v>
      </c>
      <c r="F291" s="7" t="s">
        <v>837</v>
      </c>
      <c r="G291" s="23" t="e">
        <f t="shared" si="12"/>
        <v>#REF!</v>
      </c>
    </row>
    <row r="292" spans="1:7" ht="16" x14ac:dyDescent="0.15">
      <c r="A292" s="29" t="s">
        <v>971</v>
      </c>
      <c r="B292" s="7" t="e">
        <f>O_EnergySavings_I</f>
        <v>#REF!</v>
      </c>
      <c r="F292" s="7" t="s">
        <v>837</v>
      </c>
      <c r="G292" s="23" t="e">
        <f t="shared" si="12"/>
        <v>#REF!</v>
      </c>
    </row>
    <row r="293" spans="1:7" ht="32" x14ac:dyDescent="0.15">
      <c r="A293" s="29" t="s">
        <v>972</v>
      </c>
      <c r="B293" s="68" t="e">
        <f>O_EnergyConvertedFromElectricityToRenewable_I</f>
        <v>#REF!</v>
      </c>
      <c r="F293" s="7" t="s">
        <v>837</v>
      </c>
      <c r="G293" s="67" t="e">
        <f t="shared" si="12"/>
        <v>#REF!</v>
      </c>
    </row>
    <row r="294" spans="1:7" ht="32" x14ac:dyDescent="0.15">
      <c r="A294" s="29" t="s">
        <v>973</v>
      </c>
      <c r="B294" s="68" t="e">
        <f>O_EnergyConvertedFromFossilToRenewable_I</f>
        <v>#REF!</v>
      </c>
      <c r="F294" s="7" t="s">
        <v>837</v>
      </c>
      <c r="G294" s="67" t="e">
        <f t="shared" si="12"/>
        <v>#REF!</v>
      </c>
    </row>
    <row r="295" spans="1:7" ht="16" x14ac:dyDescent="0.15">
      <c r="A295" s="29" t="s">
        <v>974</v>
      </c>
      <c r="B295" s="7" t="e">
        <f>O_EnergyDelivered_I</f>
        <v>#REF!</v>
      </c>
      <c r="F295" s="7" t="s">
        <v>837</v>
      </c>
      <c r="G295" s="23" t="e">
        <f>IF((B295=0),"",B295)</f>
        <v>#REF!</v>
      </c>
    </row>
    <row r="296" spans="1:7" ht="16" x14ac:dyDescent="0.15">
      <c r="A296" s="29" t="s">
        <v>975</v>
      </c>
      <c r="B296" s="7" t="e">
        <f>O_EnovaFactsEnergy_I</f>
        <v>#REF!</v>
      </c>
      <c r="F296" s="7" t="s">
        <v>845</v>
      </c>
      <c r="G296" s="23" t="e">
        <f t="shared" si="12"/>
        <v>#REF!</v>
      </c>
    </row>
    <row r="297" spans="1:7" ht="16" x14ac:dyDescent="0.15">
      <c r="A297" s="29" t="s">
        <v>976</v>
      </c>
      <c r="B297" s="7" t="e">
        <f>O_EnovaFactsComfort_I</f>
        <v>#REF!</v>
      </c>
      <c r="F297" s="7" t="s">
        <v>845</v>
      </c>
      <c r="G297" s="23" t="e">
        <f t="shared" ref="G297:G321" si="13">IF((B297=0),"",B297)</f>
        <v>#REF!</v>
      </c>
    </row>
    <row r="298" spans="1:7" ht="16" x14ac:dyDescent="0.15">
      <c r="A298" s="29" t="s">
        <v>977</v>
      </c>
      <c r="B298" s="58" t="e">
        <f>O_UValueRoof_I</f>
        <v>#REF!</v>
      </c>
      <c r="F298" s="7" t="s">
        <v>940</v>
      </c>
      <c r="G298" s="23" t="e">
        <f t="shared" si="13"/>
        <v>#REF!</v>
      </c>
    </row>
    <row r="299" spans="1:7" ht="16" x14ac:dyDescent="0.15">
      <c r="A299" s="29" t="s">
        <v>978</v>
      </c>
      <c r="B299" s="58" t="e">
        <f>O_UValueFloor_I</f>
        <v>#REF!</v>
      </c>
      <c r="F299" s="7" t="s">
        <v>940</v>
      </c>
      <c r="G299" s="23" t="e">
        <f t="shared" si="13"/>
        <v>#REF!</v>
      </c>
    </row>
    <row r="300" spans="1:7" ht="16" x14ac:dyDescent="0.15">
      <c r="A300" s="29" t="s">
        <v>979</v>
      </c>
      <c r="B300" s="58" t="e">
        <f>O_UValueWall_I</f>
        <v>#REF!</v>
      </c>
      <c r="F300" s="7" t="s">
        <v>940</v>
      </c>
      <c r="G300" s="23" t="e">
        <f t="shared" si="13"/>
        <v>#REF!</v>
      </c>
    </row>
    <row r="301" spans="1:7" ht="16" x14ac:dyDescent="0.15">
      <c r="A301" s="29" t="s">
        <v>980</v>
      </c>
      <c r="B301" s="58" t="e">
        <f>O_UValueWindow_I</f>
        <v>#REF!</v>
      </c>
      <c r="F301" s="7" t="s">
        <v>940</v>
      </c>
      <c r="G301" s="23" t="e">
        <f t="shared" si="13"/>
        <v>#REF!</v>
      </c>
    </row>
    <row r="302" spans="1:7" ht="16" x14ac:dyDescent="0.15">
      <c r="A302" s="29" t="s">
        <v>981</v>
      </c>
      <c r="B302" s="58" t="e">
        <f>O_MeasuredAirTightness_I</f>
        <v>#REF!</v>
      </c>
      <c r="F302" s="7" t="s">
        <v>940</v>
      </c>
      <c r="G302" s="23" t="e">
        <f t="shared" si="13"/>
        <v>#REF!</v>
      </c>
    </row>
    <row r="303" spans="1:7" ht="16" x14ac:dyDescent="0.15">
      <c r="A303" s="29" t="s">
        <v>982</v>
      </c>
      <c r="B303" s="58" t="e">
        <f>O_SpecificFanPower_I</f>
        <v>#REF!</v>
      </c>
      <c r="F303" s="7" t="s">
        <v>940</v>
      </c>
      <c r="G303" s="23" t="e">
        <f t="shared" si="13"/>
        <v>#REF!</v>
      </c>
    </row>
    <row r="304" spans="1:7" ht="16" x14ac:dyDescent="0.15">
      <c r="A304" s="29" t="s">
        <v>983</v>
      </c>
      <c r="B304" s="58" t="e">
        <f>O_HeatRecoveryEfficiency_I</f>
        <v>#REF!</v>
      </c>
      <c r="C304" s="123" t="e">
        <f>IF(B304&gt;1,B304,B304*100)</f>
        <v>#REF!</v>
      </c>
      <c r="F304" s="7" t="s">
        <v>940</v>
      </c>
      <c r="G304" s="23" t="e">
        <f>IF((C304=0),"",C304)</f>
        <v>#REF!</v>
      </c>
    </row>
    <row r="305" spans="1:7" ht="16" x14ac:dyDescent="0.15">
      <c r="A305" s="29" t="s">
        <v>984</v>
      </c>
      <c r="B305" s="59" t="e">
        <f>O_RoomHeating_I</f>
        <v>#REF!</v>
      </c>
      <c r="F305" s="7" t="s">
        <v>940</v>
      </c>
      <c r="G305" s="23" t="e">
        <f>IF((B305=0),"",B305)</f>
        <v>#REF!</v>
      </c>
    </row>
    <row r="306" spans="1:7" ht="16" x14ac:dyDescent="0.15">
      <c r="A306" s="29" t="s">
        <v>985</v>
      </c>
      <c r="B306" s="59" t="e">
        <f>O_VentilationHeating_I</f>
        <v>#REF!</v>
      </c>
      <c r="F306" s="7" t="s">
        <v>940</v>
      </c>
      <c r="G306" s="23" t="e">
        <f>IF((B306=0),"",B306)</f>
        <v>#REF!</v>
      </c>
    </row>
    <row r="307" spans="1:7" ht="16" x14ac:dyDescent="0.15">
      <c r="A307" s="91" t="s">
        <v>986</v>
      </c>
      <c r="B307" s="59" t="e">
        <f>O_DomesticHotWater_I</f>
        <v>#REF!</v>
      </c>
      <c r="F307" s="7" t="s">
        <v>940</v>
      </c>
      <c r="G307" s="23" t="e">
        <f>IF((B307=0),"",B307)</f>
        <v>#REF!</v>
      </c>
    </row>
    <row r="308" spans="1:7" ht="16" x14ac:dyDescent="0.15">
      <c r="A308" s="29" t="s">
        <v>987</v>
      </c>
      <c r="B308" s="59" t="e">
        <f>O_FanAdministration_I</f>
        <v>#REF!</v>
      </c>
      <c r="F308" s="7" t="s">
        <v>940</v>
      </c>
      <c r="G308" s="23" t="e">
        <f t="shared" ref="G308:G314" si="14">IF((B308=0),"",B308)</f>
        <v>#REF!</v>
      </c>
    </row>
    <row r="309" spans="1:7" ht="16" x14ac:dyDescent="0.15">
      <c r="A309" s="29" t="s">
        <v>988</v>
      </c>
      <c r="B309" s="119" t="e">
        <f>O_PumpAdministration_I</f>
        <v>#REF!</v>
      </c>
      <c r="F309" s="7" t="s">
        <v>940</v>
      </c>
      <c r="G309" s="23" t="e">
        <f t="shared" si="14"/>
        <v>#REF!</v>
      </c>
    </row>
    <row r="310" spans="1:7" ht="16" x14ac:dyDescent="0.15">
      <c r="A310" s="29" t="s">
        <v>989</v>
      </c>
      <c r="B310" s="59" t="e">
        <f>O_Lighting_I</f>
        <v>#REF!</v>
      </c>
      <c r="F310" s="7" t="s">
        <v>940</v>
      </c>
      <c r="G310" s="23" t="e">
        <f t="shared" si="14"/>
        <v>#REF!</v>
      </c>
    </row>
    <row r="311" spans="1:7" ht="16" x14ac:dyDescent="0.15">
      <c r="A311" s="29" t="s">
        <v>990</v>
      </c>
      <c r="B311" s="59" t="e">
        <f>O_TechnicalEquipment_I</f>
        <v>#REF!</v>
      </c>
      <c r="F311" s="7" t="s">
        <v>940</v>
      </c>
      <c r="G311" s="23" t="e">
        <f t="shared" si="14"/>
        <v>#REF!</v>
      </c>
    </row>
    <row r="312" spans="1:7" ht="16" x14ac:dyDescent="0.15">
      <c r="A312" s="29" t="s">
        <v>991</v>
      </c>
      <c r="B312" s="59" t="e">
        <f>O_RoomCooling_I</f>
        <v>#REF!</v>
      </c>
      <c r="F312" s="7" t="s">
        <v>940</v>
      </c>
      <c r="G312" s="23" t="e">
        <f t="shared" si="14"/>
        <v>#REF!</v>
      </c>
    </row>
    <row r="313" spans="1:7" ht="16" x14ac:dyDescent="0.15">
      <c r="A313" s="29" t="s">
        <v>992</v>
      </c>
      <c r="B313" s="59" t="e">
        <f>O_VentilationCooling_I</f>
        <v>#REF!</v>
      </c>
      <c r="F313" s="7" t="s">
        <v>940</v>
      </c>
      <c r="G313" s="23" t="e">
        <f t="shared" si="14"/>
        <v>#REF!</v>
      </c>
    </row>
    <row r="314" spans="1:7" ht="16" x14ac:dyDescent="0.15">
      <c r="A314" s="91" t="s">
        <v>993</v>
      </c>
      <c r="B314" s="59" t="e">
        <f>O_OtherEnergyPosts_I</f>
        <v>#REF!</v>
      </c>
      <c r="F314" s="7" t="s">
        <v>940</v>
      </c>
      <c r="G314" s="23" t="e">
        <f t="shared" si="14"/>
        <v>#REF!</v>
      </c>
    </row>
    <row r="315" spans="1:7" ht="16" x14ac:dyDescent="0.15">
      <c r="A315" s="29" t="s">
        <v>994</v>
      </c>
      <c r="B315" s="7" t="e">
        <f>O_EnergyEfficiencyMethod_I</f>
        <v>#REF!</v>
      </c>
      <c r="F315" s="7" t="s">
        <v>839</v>
      </c>
      <c r="G315" s="23" t="e">
        <f>IF((B315=0),"",B315)</f>
        <v>#REF!</v>
      </c>
    </row>
    <row r="316" spans="1:7" ht="16" x14ac:dyDescent="0.15">
      <c r="A316" s="29" t="s">
        <v>995</v>
      </c>
      <c r="B316" s="60" t="e">
        <f>IF(O_BuildingCostsSum_I=0,"",O_BuildingCostsSum_I)</f>
        <v>#REF!</v>
      </c>
      <c r="C316" s="7" t="e">
        <f>IF(B316="","",CONCATENATE(IF(B316&gt;10000000,CONCATENATE(ROUND((B316/1000000),2)," MNOK"),CONCATENATE(B316," NOK"))))</f>
        <v>#REF!</v>
      </c>
      <c r="D316" s="7" t="e">
        <f>IF(#REF!=0,"",#REF!)</f>
        <v>#REF!</v>
      </c>
      <c r="F316" s="7" t="s">
        <v>845</v>
      </c>
      <c r="G316" s="23" t="e">
        <f>IF(CONCATENATE(C316,D316)="","",IF(C316="",D316,IF(D316="",C316,CONCATENATE(C316," ",D316))))</f>
        <v>#REF!</v>
      </c>
    </row>
    <row r="317" spans="1:7" ht="16" x14ac:dyDescent="0.15">
      <c r="A317" s="29" t="s">
        <v>996</v>
      </c>
      <c r="B317" s="60" t="e">
        <f>O_MerkostnadM2_I</f>
        <v>#REF!</v>
      </c>
      <c r="F317" s="7" t="s">
        <v>837</v>
      </c>
      <c r="G317" s="23" t="e">
        <f t="shared" si="13"/>
        <v>#REF!</v>
      </c>
    </row>
    <row r="318" spans="1:7" ht="16" x14ac:dyDescent="0.15">
      <c r="A318" s="29" t="s">
        <v>997</v>
      </c>
      <c r="B318" s="60" t="e">
        <f>O_MerkostnadEnergiM2Enova_I</f>
        <v>#REF!</v>
      </c>
      <c r="F318" s="7" t="s">
        <v>837</v>
      </c>
      <c r="G318" s="23" t="e">
        <f t="shared" si="13"/>
        <v>#REF!</v>
      </c>
    </row>
    <row r="319" spans="1:7" ht="16" x14ac:dyDescent="0.15">
      <c r="A319" s="29" t="s">
        <v>998</v>
      </c>
      <c r="B319" s="60" t="e">
        <f>O_MerkostnadUniversellUtformingM2_I</f>
        <v>#REF!</v>
      </c>
      <c r="F319" s="7" t="s">
        <v>837</v>
      </c>
      <c r="G319" s="23" t="e">
        <f t="shared" si="13"/>
        <v>#REF!</v>
      </c>
    </row>
    <row r="320" spans="1:7" ht="16" x14ac:dyDescent="0.15">
      <c r="A320" s="29" t="s">
        <v>999</v>
      </c>
      <c r="B320" s="60" t="e">
        <f>O_ProjectSupportEnova_I</f>
        <v>#REF!</v>
      </c>
      <c r="F320" s="7" t="s">
        <v>837</v>
      </c>
      <c r="G320" s="23" t="e">
        <f t="shared" si="13"/>
        <v>#REF!</v>
      </c>
    </row>
    <row r="321" spans="1:12" ht="16" x14ac:dyDescent="0.15">
      <c r="A321" s="29" t="s">
        <v>1000</v>
      </c>
      <c r="B321" s="7" t="e">
        <f>O_ProjectSupportHusbanken_I</f>
        <v>#REF!</v>
      </c>
      <c r="F321" s="7" t="s">
        <v>837</v>
      </c>
      <c r="G321" s="23" t="e">
        <f t="shared" si="13"/>
        <v>#REF!</v>
      </c>
    </row>
    <row r="322" spans="1:12" ht="16" x14ac:dyDescent="0.15">
      <c r="A322" s="29" t="s">
        <v>1001</v>
      </c>
      <c r="B322" s="7" t="e">
        <f>O_PublishedIn_I1</f>
        <v>#REF!</v>
      </c>
      <c r="C322" s="7" t="e">
        <f t="shared" ref="C322:C330" si="15">IF(B322=0,"",B322)</f>
        <v>#REF!</v>
      </c>
      <c r="D322" s="7" t="e">
        <f t="shared" ref="D322:D330" si="16">IF(B323=0,C322,CONCATENATE(C322,Linebreak))</f>
        <v>#REF!</v>
      </c>
    </row>
    <row r="323" spans="1:12" ht="16" x14ac:dyDescent="0.15">
      <c r="A323" s="29" t="s">
        <v>1001</v>
      </c>
      <c r="B323" s="7" t="e">
        <f>O_PublishedIn_I2</f>
        <v>#REF!</v>
      </c>
      <c r="C323" s="7" t="e">
        <f t="shared" si="15"/>
        <v>#REF!</v>
      </c>
      <c r="D323" s="7" t="e">
        <f t="shared" si="16"/>
        <v>#REF!</v>
      </c>
    </row>
    <row r="324" spans="1:12" ht="16" x14ac:dyDescent="0.15">
      <c r="A324" s="29" t="s">
        <v>1001</v>
      </c>
      <c r="B324" s="7" t="e">
        <f>O_PublishedIn_I3</f>
        <v>#REF!</v>
      </c>
      <c r="C324" s="7" t="e">
        <f t="shared" si="15"/>
        <v>#REF!</v>
      </c>
      <c r="D324" s="7" t="e">
        <f t="shared" si="16"/>
        <v>#REF!</v>
      </c>
    </row>
    <row r="325" spans="1:12" ht="16" x14ac:dyDescent="0.15">
      <c r="A325" s="29" t="s">
        <v>1001</v>
      </c>
      <c r="B325" s="7" t="e">
        <f>O_PublishedIn_I4</f>
        <v>#REF!</v>
      </c>
      <c r="C325" s="7" t="e">
        <f t="shared" si="15"/>
        <v>#REF!</v>
      </c>
      <c r="D325" s="7" t="e">
        <f t="shared" si="16"/>
        <v>#REF!</v>
      </c>
    </row>
    <row r="326" spans="1:12" ht="16" x14ac:dyDescent="0.15">
      <c r="A326" s="29" t="s">
        <v>1001</v>
      </c>
      <c r="B326" s="7" t="e">
        <f>O_PublishedIn_I5</f>
        <v>#REF!</v>
      </c>
      <c r="C326" s="7" t="e">
        <f t="shared" si="15"/>
        <v>#REF!</v>
      </c>
      <c r="D326" s="7" t="e">
        <f t="shared" si="16"/>
        <v>#REF!</v>
      </c>
    </row>
    <row r="327" spans="1:12" ht="16" x14ac:dyDescent="0.15">
      <c r="A327" s="29" t="s">
        <v>1001</v>
      </c>
      <c r="B327" s="7" t="e">
        <f>O_PublishedIn_I6</f>
        <v>#REF!</v>
      </c>
      <c r="C327" s="7" t="e">
        <f t="shared" si="15"/>
        <v>#REF!</v>
      </c>
      <c r="D327" s="7" t="e">
        <f t="shared" si="16"/>
        <v>#REF!</v>
      </c>
    </row>
    <row r="328" spans="1:12" ht="16" x14ac:dyDescent="0.15">
      <c r="A328" s="29" t="s">
        <v>1001</v>
      </c>
      <c r="B328" s="7" t="e">
        <f>O_PublishedIn_I7</f>
        <v>#REF!</v>
      </c>
      <c r="C328" s="7" t="e">
        <f t="shared" si="15"/>
        <v>#REF!</v>
      </c>
      <c r="D328" s="7" t="e">
        <f t="shared" si="16"/>
        <v>#REF!</v>
      </c>
      <c r="L328" s="1"/>
    </row>
    <row r="329" spans="1:12" ht="16" x14ac:dyDescent="0.15">
      <c r="A329" s="29" t="s">
        <v>1001</v>
      </c>
      <c r="B329" s="7" t="e">
        <f>O_PublishedIn_I8</f>
        <v>#REF!</v>
      </c>
      <c r="C329" s="7" t="e">
        <f t="shared" si="15"/>
        <v>#REF!</v>
      </c>
      <c r="D329" s="7" t="e">
        <f t="shared" si="16"/>
        <v>#REF!</v>
      </c>
    </row>
    <row r="330" spans="1:12" ht="16" x14ac:dyDescent="0.15">
      <c r="A330" s="29" t="s">
        <v>1001</v>
      </c>
      <c r="B330" s="7" t="e">
        <f>O_PublishedIn_I9</f>
        <v>#REF!</v>
      </c>
      <c r="C330" s="7" t="e">
        <f t="shared" si="15"/>
        <v>#REF!</v>
      </c>
      <c r="D330" s="7" t="e">
        <f t="shared" si="16"/>
        <v>#REF!</v>
      </c>
      <c r="F330" s="7" t="s">
        <v>845</v>
      </c>
      <c r="G330" s="23" t="e">
        <f>CONCATENATE(D322,D323,D324,D325,D326,D327,D328,D329,D330)</f>
        <v>#REF!</v>
      </c>
    </row>
    <row r="331" spans="1:12" ht="16" x14ac:dyDescent="0.15">
      <c r="A331" s="29" t="s">
        <v>1002</v>
      </c>
      <c r="B331" s="61" t="s">
        <v>1003</v>
      </c>
      <c r="C331" s="61" t="s">
        <v>1004</v>
      </c>
      <c r="D331" s="61" t="s">
        <v>1005</v>
      </c>
      <c r="E331" s="110" t="s">
        <v>1006</v>
      </c>
    </row>
    <row r="332" spans="1:12" ht="16" x14ac:dyDescent="0.15">
      <c r="A332" s="92" t="s">
        <v>1007</v>
      </c>
      <c r="B332" s="7" t="e">
        <f>O_QuickLinks_Name_I1</f>
        <v>#REF!</v>
      </c>
      <c r="C332" s="125" t="e">
        <f>O_QuickLinks_InternalNodeId_I1</f>
        <v>#REF!</v>
      </c>
      <c r="D332" s="110" t="e">
        <f>IF(O_QuickLinks_ExternalUrl_I1="","",IF(ISERROR(FIND("http://",O_QuickLinks_ExternalUrl_I1,1)),CONCATENATE("http://",O_QuickLinks_ExternalUrl_I1),O_QuickLinks_ExternalUrl_I1))</f>
        <v>#REF!</v>
      </c>
      <c r="E332" s="122" t="e">
        <f>O_QuickLinks_OpenInNewWindow_I1</f>
        <v>#REF!</v>
      </c>
      <c r="F332" t="e">
        <f t="shared" ref="F332:F345" si="17">IF(D332="","",CONCATENATE(Dele_QuickLinkText,IF(B332=0,D332,B332),Dele_QuickLinkExternalUrl,D332))</f>
        <v>#REF!</v>
      </c>
      <c r="G332" s="41"/>
    </row>
    <row r="333" spans="1:12" ht="16" x14ac:dyDescent="0.15">
      <c r="A333" s="92" t="s">
        <v>1008</v>
      </c>
      <c r="B333" s="7" t="e">
        <f>O_QuickLinks_Name_I2</f>
        <v>#REF!</v>
      </c>
      <c r="C333" s="125" t="e">
        <f>O_QuickLinks_InternalNodeId_I2</f>
        <v>#REF!</v>
      </c>
      <c r="D333" s="110" t="e">
        <f>IF(O_QuickLinks_ExternalUrl_I2="","",IF(ISERROR(FIND("http://",O_QuickLinks_ExternalUrl_I2,1)),CONCATENATE("http://",O_QuickLinks_ExternalUrl_I2),O_QuickLinks_ExternalUrl_I2))</f>
        <v>#REF!</v>
      </c>
      <c r="E333" s="122" t="e">
        <f>O_QuickLinks_OpenInNewWindow_I2</f>
        <v>#REF!</v>
      </c>
      <c r="F333" t="e">
        <f t="shared" si="17"/>
        <v>#REF!</v>
      </c>
      <c r="G333" s="41"/>
    </row>
    <row r="334" spans="1:12" ht="16" x14ac:dyDescent="0.15">
      <c r="A334" s="92" t="s">
        <v>1009</v>
      </c>
      <c r="B334" s="7" t="e">
        <f>O_QuickLinks_Name_I3</f>
        <v>#REF!</v>
      </c>
      <c r="C334" s="125" t="e">
        <f>O_QuickLinks_InternalNodeId_I3</f>
        <v>#REF!</v>
      </c>
      <c r="D334" s="110" t="e">
        <f>IF(O_QuickLinks_ExternalUrl_I3="","",IF(ISERROR(FIND("http://",O_QuickLinks_ExternalUrl_I3,1)),CONCATENATE("http://",O_QuickLinks_ExternalUrl_I3),O_QuickLinks_ExternalUrl_I3))</f>
        <v>#REF!</v>
      </c>
      <c r="E334" s="122" t="e">
        <f>O_QuickLinks_OpenInNewWindow_I3</f>
        <v>#REF!</v>
      </c>
      <c r="F334" t="e">
        <f t="shared" si="17"/>
        <v>#REF!</v>
      </c>
      <c r="G334" s="41"/>
    </row>
    <row r="335" spans="1:12" ht="16" x14ac:dyDescent="0.15">
      <c r="A335" s="92" t="s">
        <v>1010</v>
      </c>
      <c r="B335" s="7" t="e">
        <f>O_QuickLinks_Name_I4</f>
        <v>#REF!</v>
      </c>
      <c r="C335" s="125" t="e">
        <f>O_QuickLinks_InternalNodeId_I4</f>
        <v>#REF!</v>
      </c>
      <c r="D335" s="110" t="e">
        <f>IF(O_QuickLinks_ExternalUrl_I4="","",IF(ISERROR(FIND("http://",O_QuickLinks_ExternalUrl_I4,1)),CONCATENATE("http://",O_QuickLinks_ExternalUrl_I4),O_QuickLinks_ExternalUrl_I4))</f>
        <v>#REF!</v>
      </c>
      <c r="E335" s="122" t="e">
        <f>O_QuickLinks_OpenInNewWindow_I4</f>
        <v>#REF!</v>
      </c>
      <c r="F335" t="e">
        <f t="shared" si="17"/>
        <v>#REF!</v>
      </c>
      <c r="G335" s="41"/>
    </row>
    <row r="336" spans="1:12" ht="16" x14ac:dyDescent="0.15">
      <c r="A336" s="92" t="s">
        <v>1011</v>
      </c>
      <c r="B336" s="7" t="e">
        <f>O_QuickLinks_Name_I5</f>
        <v>#REF!</v>
      </c>
      <c r="C336" s="125" t="e">
        <f>O_QuickLinks_InternalNodeId_I5</f>
        <v>#REF!</v>
      </c>
      <c r="D336" s="110" t="e">
        <f>IF(O_QuickLinks_ExternalUrl_I5="","",IF(ISERROR(FIND("http://",O_QuickLinks_ExternalUrl_I5,1)),CONCATENATE("http://",O_QuickLinks_ExternalUrl_I5),O_QuickLinks_ExternalUrl_I5))</f>
        <v>#REF!</v>
      </c>
      <c r="E336" s="122" t="e">
        <f>O_QuickLinks_OpenInNewWindow_I5</f>
        <v>#REF!</v>
      </c>
      <c r="F336" t="e">
        <f t="shared" si="17"/>
        <v>#REF!</v>
      </c>
      <c r="G336" s="41"/>
    </row>
    <row r="337" spans="1:7" ht="16" x14ac:dyDescent="0.15">
      <c r="A337" s="92" t="s">
        <v>1012</v>
      </c>
      <c r="B337" s="7" t="e">
        <f>O_QuickLinks_Name_I6</f>
        <v>#REF!</v>
      </c>
      <c r="C337" s="125" t="e">
        <f>O_QuickLinks_InternalNodeId_I6</f>
        <v>#REF!</v>
      </c>
      <c r="D337" s="110" t="e">
        <f>IF(O_QuickLinks_ExternalUrl_I6="","",IF(ISERROR(FIND("http://",O_QuickLinks_ExternalUrl_I6,1)),CONCATENATE("http://",O_QuickLinks_ExternalUrl_I6),O_QuickLinks_ExternalUrl_I6))</f>
        <v>#REF!</v>
      </c>
      <c r="E337" s="122" t="e">
        <f>O_QuickLinks_OpenInNewWindow_I6</f>
        <v>#REF!</v>
      </c>
      <c r="F337" t="e">
        <f t="shared" si="17"/>
        <v>#REF!</v>
      </c>
      <c r="G337" s="41"/>
    </row>
    <row r="338" spans="1:7" ht="16" x14ac:dyDescent="0.15">
      <c r="A338" s="92" t="s">
        <v>1013</v>
      </c>
      <c r="B338" s="7" t="e">
        <f>O_QuickLinks_Name_I7</f>
        <v>#REF!</v>
      </c>
      <c r="C338" s="125" t="e">
        <f>O_QuickLinks_InternalNodeId_I7</f>
        <v>#REF!</v>
      </c>
      <c r="D338" s="110" t="e">
        <f>IF(O_QuickLinks_ExternalUrl_I7="","",IF(ISERROR(FIND("http://",O_QuickLinks_ExternalUrl_I7,1)),CONCATENATE("http://",O_QuickLinks_ExternalUrl_I7),O_QuickLinks_ExternalUrl_I7))</f>
        <v>#REF!</v>
      </c>
      <c r="E338" s="122" t="e">
        <f>O_QuickLinks_OpenInNewWindow_I7</f>
        <v>#REF!</v>
      </c>
      <c r="F338" t="e">
        <f t="shared" si="17"/>
        <v>#REF!</v>
      </c>
      <c r="G338" s="41"/>
    </row>
    <row r="339" spans="1:7" ht="14" customHeight="1" x14ac:dyDescent="0.15">
      <c r="A339" s="92" t="s">
        <v>1014</v>
      </c>
      <c r="B339" s="7" t="e">
        <f>O_QuickLinks_Name_I8</f>
        <v>#REF!</v>
      </c>
      <c r="C339" s="125" t="e">
        <f>O_QuickLinks_InternalNodeId_I8</f>
        <v>#REF!</v>
      </c>
      <c r="D339" s="110" t="e">
        <f>IF(O_QuickLinks_ExternalUrl_I8="","",IF(ISERROR(FIND("http://",O_QuickLinks_ExternalUrl_I8,1)),CONCATENATE("http://",O_QuickLinks_ExternalUrl_I8),O_QuickLinks_ExternalUrl_I8))</f>
        <v>#REF!</v>
      </c>
      <c r="E339" s="122" t="e">
        <f>O_QuickLinks_OpenInNewWindow_I8</f>
        <v>#REF!</v>
      </c>
      <c r="F339" t="e">
        <f t="shared" si="17"/>
        <v>#REF!</v>
      </c>
    </row>
    <row r="340" spans="1:7" ht="14" customHeight="1" x14ac:dyDescent="0.15">
      <c r="A340" s="92" t="s">
        <v>1015</v>
      </c>
      <c r="B340" s="7" t="e">
        <f>O_QuickLinks_Name_I9</f>
        <v>#REF!</v>
      </c>
      <c r="C340" s="125" t="e">
        <f>O_QuickLinks_InternalNodeId_I9</f>
        <v>#REF!</v>
      </c>
      <c r="D340" s="110" t="e">
        <f>IF(O_QuickLinks_ExternalUrl_I9="","",IF(ISERROR(FIND("http://",O_QuickLinks_ExternalUrl_I9,1)),CONCATENATE("http://",O_QuickLinks_ExternalUrl_I9),O_QuickLinks_ExternalUrl_I9))</f>
        <v>#REF!</v>
      </c>
      <c r="E340" s="122" t="e">
        <f>O_QuickLinks_OpenInNewWindow_I9</f>
        <v>#REF!</v>
      </c>
      <c r="F340" t="e">
        <f t="shared" si="17"/>
        <v>#REF!</v>
      </c>
    </row>
    <row r="341" spans="1:7" ht="14" customHeight="1" x14ac:dyDescent="0.15">
      <c r="A341" s="92" t="s">
        <v>1016</v>
      </c>
      <c r="B341" s="7" t="e">
        <f>O_QuickLinks_Name_I10</f>
        <v>#REF!</v>
      </c>
      <c r="C341" s="125" t="e">
        <f>O_QuickLinks_InternalNodeId_I10</f>
        <v>#REF!</v>
      </c>
      <c r="D341" s="110" t="e">
        <f>IF(O_QuickLinks_ExternalUrl_I10="","",IF(ISERROR(FIND("http://",O_QuickLinks_ExternalUrl_I10,1)),CONCATENATE("http://",O_QuickLinks_ExternalUrl_I10),O_QuickLinks_ExternalUrl_I10))</f>
        <v>#REF!</v>
      </c>
      <c r="E341" s="122" t="e">
        <f>O_QuickLinks_OpenInNewWindow_I10</f>
        <v>#REF!</v>
      </c>
      <c r="F341" t="e">
        <f t="shared" si="17"/>
        <v>#REF!</v>
      </c>
    </row>
    <row r="342" spans="1:7" ht="16" x14ac:dyDescent="0.15">
      <c r="A342" s="92" t="s">
        <v>1017</v>
      </c>
      <c r="B342" s="7" t="e">
        <f>O_QuickLinks_Name_I11</f>
        <v>#REF!</v>
      </c>
      <c r="C342" s="125" t="e">
        <f>O_QuickLinks_InternalNodeId_I11</f>
        <v>#REF!</v>
      </c>
      <c r="D342" s="110" t="e">
        <f>IF(O_QuickLinks_ExternalUrl_I11="","",IF(ISERROR(FIND("http://",O_QuickLinks_ExternalUrl_I11,1)),CONCATENATE("http://",O_QuickLinks_ExternalUrl_I11),O_QuickLinks_ExternalUrl_I11))</f>
        <v>#REF!</v>
      </c>
      <c r="E342" s="122" t="e">
        <f>O_QuickLinks_OpenInNewWindow_I11</f>
        <v>#REF!</v>
      </c>
      <c r="F342" t="e">
        <f t="shared" si="17"/>
        <v>#REF!</v>
      </c>
    </row>
    <row r="343" spans="1:7" ht="16" x14ac:dyDescent="0.15">
      <c r="A343" s="92" t="s">
        <v>1018</v>
      </c>
      <c r="B343" s="7" t="e">
        <f>O_QuickLinks_Name_I12</f>
        <v>#REF!</v>
      </c>
      <c r="C343" s="125" t="e">
        <f>O_QuickLinks_InternalNodeId_I12</f>
        <v>#REF!</v>
      </c>
      <c r="D343" s="110" t="e">
        <f>IF(O_QuickLinks_ExternalUrl_I12="","",IF(ISERROR(FIND("http://",O_QuickLinks_ExternalUrl_I12,1)),CONCATENATE("http://",O_QuickLinks_ExternalUrl_I12),O_QuickLinks_ExternalUrl_I12))</f>
        <v>#REF!</v>
      </c>
      <c r="E343" s="122" t="e">
        <f>O_QuickLinks_OpenInNewWindow_I12</f>
        <v>#REF!</v>
      </c>
      <c r="F343" t="e">
        <f t="shared" si="17"/>
        <v>#REF!</v>
      </c>
    </row>
    <row r="344" spans="1:7" ht="16" x14ac:dyDescent="0.15">
      <c r="A344" s="94" t="s">
        <v>1019</v>
      </c>
      <c r="B344" s="7" t="e">
        <f>O_QuickLinks_Name_I13</f>
        <v>#REF!</v>
      </c>
      <c r="C344" s="125" t="e">
        <f>O_QuickLinks_InternalNodeId_I13</f>
        <v>#REF!</v>
      </c>
      <c r="D344" s="110" t="e">
        <f>IF(O_QuickLinks_ExternalUrl_I13="","",IF(ISERROR(FIND("http://",O_QuickLinks_ExternalUrl_I13,1)),CONCATENATE("http://",O_QuickLinks_ExternalUrl_I13),O_QuickLinks_ExternalUrl_I13))</f>
        <v>#REF!</v>
      </c>
      <c r="E344" s="122" t="e">
        <f>O_QuickLinks_OpenInNewWindow_I13</f>
        <v>#REF!</v>
      </c>
      <c r="F344" t="e">
        <f t="shared" si="17"/>
        <v>#REF!</v>
      </c>
    </row>
    <row r="345" spans="1:7" ht="338.25" customHeight="1" x14ac:dyDescent="0.15">
      <c r="A345" s="94" t="s">
        <v>1020</v>
      </c>
      <c r="B345" s="7" t="e">
        <f>O_QuickLinks_Name_I14</f>
        <v>#REF!</v>
      </c>
      <c r="C345" s="125" t="e">
        <f>O_QuickLinks_InternalNodeId_I14</f>
        <v>#REF!</v>
      </c>
      <c r="D345" s="110" t="e">
        <f>IF(O_QuickLinks_ExternalUrl_I14="","",IF(ISERROR(FIND("http://",O_QuickLinks_ExternalUrl_I14,1)),CONCATENATE("http://",O_QuickLinks_ExternalUrl_I14),O_QuickLinks_ExternalUrl_I14))</f>
        <v>#REF!</v>
      </c>
      <c r="E345" s="125" t="e">
        <f>O_QuickLinks_OpenInNewWindow_I14</f>
        <v>#REF!</v>
      </c>
      <c r="F345" t="e">
        <f t="shared" si="17"/>
        <v>#REF!</v>
      </c>
      <c r="G345" s="48" t="e">
        <f>CONCATENATE(F332,F333,F334,F335,F336,F337,F338,F339,F340,F341,F342,F343,F344,F345)</f>
        <v>#REF!</v>
      </c>
    </row>
    <row r="346" spans="1:7" ht="16" x14ac:dyDescent="0.15">
      <c r="A346" s="29" t="s">
        <v>1021</v>
      </c>
      <c r="B346" s="7" t="e">
        <f>O_References_I1</f>
        <v>#REF!</v>
      </c>
      <c r="C346" t="e">
        <f>IF(B346=0,"",B346)</f>
        <v>#REF!</v>
      </c>
      <c r="D346" s="7" t="e">
        <f>IF(C347="",C346,CONCATENATE(C346,Linebreak))</f>
        <v>#REF!</v>
      </c>
      <c r="E346"/>
      <c r="F346"/>
      <c r="G346" s="1"/>
    </row>
    <row r="347" spans="1:7" ht="15" x14ac:dyDescent="0.15">
      <c r="A347" s="92"/>
      <c r="B347" s="7" t="e">
        <f>O_References_I2</f>
        <v>#REF!</v>
      </c>
      <c r="C347" t="e">
        <f>IF(B347=0,"",B347)</f>
        <v>#REF!</v>
      </c>
      <c r="D347" s="7" t="e">
        <f>IF(C348="",C347,CONCATENATE(C347,Linebreak))</f>
        <v>#REF!</v>
      </c>
      <c r="E347"/>
      <c r="F347"/>
      <c r="G347" s="1"/>
    </row>
    <row r="348" spans="1:7" ht="15" x14ac:dyDescent="0.15">
      <c r="A348" s="92"/>
      <c r="B348" s="7" t="e">
        <f>O_References_I3</f>
        <v>#REF!</v>
      </c>
      <c r="C348" t="e">
        <f>IF(B348=0,"",B348)</f>
        <v>#REF!</v>
      </c>
      <c r="D348" s="7" t="e">
        <f>IF(C349="",C348,CONCATENATE(C348,Linebreak))</f>
        <v>#REF!</v>
      </c>
      <c r="E348"/>
      <c r="F348"/>
      <c r="G348" s="1"/>
    </row>
    <row r="349" spans="1:7" ht="15" x14ac:dyDescent="0.15">
      <c r="A349" s="29"/>
      <c r="B349" s="7" t="e">
        <f>O_References_I4</f>
        <v>#REF!</v>
      </c>
      <c r="C349" t="e">
        <f>IF(B349=0,"",B349)</f>
        <v>#REF!</v>
      </c>
      <c r="D349" s="7" t="e">
        <f>C349</f>
        <v>#REF!</v>
      </c>
      <c r="F349" s="7" t="s">
        <v>839</v>
      </c>
      <c r="G349" s="23" t="e">
        <f>CONCATENATE(D346,D347,D348,D349)</f>
        <v>#REF!</v>
      </c>
    </row>
    <row r="350" spans="1:7" ht="16" x14ac:dyDescent="0.15">
      <c r="A350" s="71" t="s">
        <v>1022</v>
      </c>
      <c r="B350" s="7" t="e">
        <f>A_EditAccess_I</f>
        <v>#REF!</v>
      </c>
      <c r="C350" s="6" t="e">
        <f>VLOOKUP(B350,Relations!I1:J48,2,FALSE)</f>
        <v>#REF!</v>
      </c>
      <c r="D350" s="25" t="str">
        <f>IF(ISERROR(C350)=TRUE,"",C350)</f>
        <v/>
      </c>
      <c r="F350" s="7" t="s">
        <v>843</v>
      </c>
      <c r="G350" s="23" t="str">
        <f>IF((D350=0),"",D350)</f>
        <v/>
      </c>
    </row>
    <row r="351" spans="1:7" ht="16" x14ac:dyDescent="0.15">
      <c r="A351" s="71" t="s">
        <v>1023</v>
      </c>
      <c r="B351" s="7" t="e">
        <f>A_PublishAccess_I</f>
        <v>#REF!</v>
      </c>
      <c r="C351" s="6" t="e">
        <f>VLOOKUP(B351,Relations!I2:J49,2,FALSE)</f>
        <v>#REF!</v>
      </c>
      <c r="D351" s="25" t="str">
        <f>IF(ISERROR(C351)=TRUE,"",C351)</f>
        <v/>
      </c>
      <c r="F351" s="7" t="s">
        <v>843</v>
      </c>
      <c r="G351" s="23" t="str">
        <f>IF((D351=0),"",D351)</f>
        <v/>
      </c>
    </row>
    <row r="359" spans="1:6" x14ac:dyDescent="0.15">
      <c r="A359" s="62" t="s">
        <v>1024</v>
      </c>
      <c r="B359" s="63"/>
      <c r="C359"/>
      <c r="D359"/>
      <c r="E359"/>
      <c r="F359"/>
    </row>
    <row r="360" spans="1:6" ht="28" x14ac:dyDescent="0.15">
      <c r="A360" t="s">
        <v>1025</v>
      </c>
      <c r="B360" s="64" t="s">
        <v>1026</v>
      </c>
      <c r="C360"/>
      <c r="D360"/>
      <c r="E360"/>
      <c r="F360"/>
    </row>
    <row r="361" spans="1:6" x14ac:dyDescent="0.15">
      <c r="A361" t="s">
        <v>1027</v>
      </c>
      <c r="B361" s="7" t="s">
        <v>1028</v>
      </c>
      <c r="C361"/>
      <c r="D361"/>
      <c r="E361"/>
      <c r="F361"/>
    </row>
    <row r="362" spans="1:6" ht="16" x14ac:dyDescent="0.2">
      <c r="A362" t="s">
        <v>1029</v>
      </c>
      <c r="B362" s="45" t="s">
        <v>1030</v>
      </c>
      <c r="C362"/>
      <c r="D362"/>
      <c r="E362"/>
      <c r="F362"/>
    </row>
    <row r="363" spans="1:6" ht="16" x14ac:dyDescent="0.2">
      <c r="A363" t="s">
        <v>1031</v>
      </c>
      <c r="B363" s="45" t="s">
        <v>1032</v>
      </c>
      <c r="C363"/>
      <c r="D363"/>
      <c r="E363"/>
      <c r="F363"/>
    </row>
    <row r="364" spans="1:6" ht="16" x14ac:dyDescent="0.2">
      <c r="A364" t="s">
        <v>1033</v>
      </c>
      <c r="B364" s="45" t="s">
        <v>1034</v>
      </c>
      <c r="C364"/>
      <c r="D364"/>
      <c r="E364"/>
      <c r="F364"/>
    </row>
    <row r="365" spans="1:6" ht="16" x14ac:dyDescent="0.2">
      <c r="A365" t="s">
        <v>1035</v>
      </c>
      <c r="B365" s="45" t="s">
        <v>1036</v>
      </c>
      <c r="C365"/>
      <c r="D365"/>
      <c r="E365"/>
      <c r="F365"/>
    </row>
    <row r="366" spans="1:6" ht="16" x14ac:dyDescent="0.2">
      <c r="A366" t="s">
        <v>1037</v>
      </c>
      <c r="B366" s="45" t="s">
        <v>1038</v>
      </c>
      <c r="C366"/>
      <c r="D366"/>
      <c r="E366"/>
      <c r="F366"/>
    </row>
    <row r="367" spans="1:6" ht="16" x14ac:dyDescent="0.2">
      <c r="A367" t="s">
        <v>1039</v>
      </c>
      <c r="B367" s="45" t="s">
        <v>1040</v>
      </c>
      <c r="C367"/>
      <c r="D367"/>
      <c r="E367"/>
      <c r="F367"/>
    </row>
    <row r="368" spans="1:6" x14ac:dyDescent="0.15">
      <c r="A368" t="s">
        <v>1041</v>
      </c>
      <c r="B368" s="7" t="s">
        <v>1042</v>
      </c>
      <c r="C368"/>
      <c r="D368"/>
      <c r="E368"/>
      <c r="F368"/>
    </row>
    <row r="369" spans="1:6" ht="16" x14ac:dyDescent="0.2">
      <c r="A369" t="s">
        <v>1043</v>
      </c>
      <c r="B369" s="45" t="s">
        <v>1044</v>
      </c>
      <c r="C369"/>
      <c r="D369"/>
      <c r="E369"/>
      <c r="F369"/>
    </row>
  </sheetData>
  <sheetProtection password="D9F3" sheet="1" objects="1" scenarios="1"/>
  <mergeCells count="13">
    <mergeCell ref="B61:E61"/>
    <mergeCell ref="B8:E8"/>
    <mergeCell ref="B4:E4"/>
    <mergeCell ref="B5:E5"/>
    <mergeCell ref="B3:E3"/>
    <mergeCell ref="B7:E7"/>
    <mergeCell ref="B58:E58"/>
    <mergeCell ref="B79:E79"/>
    <mergeCell ref="B149:E149"/>
    <mergeCell ref="B159:E159"/>
    <mergeCell ref="B164:E164"/>
    <mergeCell ref="B64:E64"/>
    <mergeCell ref="B145:E145"/>
  </mergeCells>
  <phoneticPr fontId="4" type="noConversion"/>
  <dataValidations xWindow="333" yWindow="513" count="3">
    <dataValidation allowBlank="1" showInputMessage="1" showErrorMessage="1" prompt="Velg fra rullemenyen" sqref="B162 B6 B11 B146:B148 B233 B13:B21 B9 B35:B39 B63" xr:uid="{00000000-0002-0000-0800-000000000000}"/>
    <dataValidation allowBlank="1" showErrorMessage="1" prompt="Velg fra rullemenyen" sqref="B161 B12 B10 B150:B158 B25:B34 B74:B78" xr:uid="{00000000-0002-0000-0800-000001000000}"/>
    <dataValidation allowBlank="1" showErrorMessage="1" sqref="B165:B197 B202:B224 B70 B226:B231" xr:uid="{00000000-0002-0000-0800-000002000000}"/>
  </dataValidations>
  <pageMargins left="0.78740157499999996" right="0.78740157499999996" top="1" bottom="1" header="0.5" footer="0.5"/>
  <pageSetup orientation="portrait" verticalDpi="601"/>
  <extLst>
    <ext xmlns:x14="http://schemas.microsoft.com/office/spreadsheetml/2009/9/main" uri="{CCE6A557-97BC-4b89-ADB6-D9C93CAAB3DF}">
      <x14:dataValidations xmlns:xm="http://schemas.microsoft.com/office/excel/2006/main" xWindow="333" yWindow="513" count="2">
        <x14:dataValidation type="list" allowBlank="1" showInputMessage="1" showErrorMessage="1" prompt="Velg fra rullemenyen" xr:uid="{00000000-0002-0000-0800-000003000000}">
          <x14:formula1>
            <xm:f>Relations!#REF!</xm:f>
          </x14:formula1>
          <xm:sqref>E31:E34 B198:B201</xm:sqref>
        </x14:dataValidation>
        <x14:dataValidation type="list" allowBlank="1" showInputMessage="1" showErrorMessage="1" xr:uid="{00000000-0002-0000-0800-000004000000}">
          <x14:formula1>
            <xm:f>Relations!$I$2:$I$31</xm:f>
          </x14:formula1>
          <xm:sqref>B350:B351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9"/>
  <dimension ref="A1:G121"/>
  <sheetViews>
    <sheetView zoomScale="70" zoomScaleNormal="70" zoomScalePageLayoutView="70" workbookViewId="0">
      <selection activeCell="J20" sqref="J20"/>
    </sheetView>
  </sheetViews>
  <sheetFormatPr baseColWidth="10" defaultColWidth="10.6640625" defaultRowHeight="13" x14ac:dyDescent="0.15"/>
  <cols>
    <col min="1" max="1" width="31.6640625" customWidth="1"/>
    <col min="2" max="2" width="23.5" style="7" customWidth="1"/>
    <col min="3" max="4" width="20.6640625" style="7" customWidth="1"/>
    <col min="5" max="5" width="27.1640625" style="7" customWidth="1"/>
    <col min="6" max="6" width="19.5" style="7" customWidth="1"/>
    <col min="7" max="7" width="37.1640625" customWidth="1"/>
    <col min="10" max="10" width="15.83203125" customWidth="1"/>
  </cols>
  <sheetData>
    <row r="1" spans="1:7" x14ac:dyDescent="0.15">
      <c r="A1" s="15" t="s">
        <v>158</v>
      </c>
      <c r="B1" s="16" t="s">
        <v>834</v>
      </c>
      <c r="C1" s="16"/>
      <c r="D1" s="16"/>
      <c r="E1" s="16"/>
      <c r="F1" s="16" t="s">
        <v>835</v>
      </c>
      <c r="G1" s="15" t="s">
        <v>836</v>
      </c>
    </row>
    <row r="2" spans="1:7" ht="16" x14ac:dyDescent="0.15">
      <c r="A2" s="79" t="s">
        <v>1045</v>
      </c>
      <c r="B2" t="e">
        <f>T_EcoMeasure_Id_I1</f>
        <v>#REF!</v>
      </c>
      <c r="F2" s="7" t="s">
        <v>837</v>
      </c>
      <c r="G2" s="17" t="e">
        <f>IF((B2=0),"",B2)</f>
        <v>#REF!</v>
      </c>
    </row>
    <row r="3" spans="1:7" ht="16" x14ac:dyDescent="0.15">
      <c r="A3" s="79" t="s">
        <v>1046</v>
      </c>
      <c r="B3" s="363" t="e">
        <f>T_EcoMeasure_Name_I1</f>
        <v>#REF!</v>
      </c>
      <c r="C3" s="361"/>
      <c r="D3" s="361"/>
      <c r="E3" s="362"/>
      <c r="F3" s="18" t="s">
        <v>839</v>
      </c>
      <c r="G3" s="23" t="e">
        <f>IF((B3=0),"",B3)</f>
        <v>#REF!</v>
      </c>
    </row>
    <row r="4" spans="1:7" ht="16" x14ac:dyDescent="0.15">
      <c r="A4" s="79" t="s">
        <v>1047</v>
      </c>
      <c r="B4" s="113" t="e">
        <f>A_ID_I</f>
        <v>#REF!</v>
      </c>
      <c r="C4" s="117"/>
      <c r="D4" s="110" t="e">
        <f>IF(B3=0,"",B4)</f>
        <v>#REF!</v>
      </c>
      <c r="E4" s="115"/>
      <c r="F4" s="18" t="s">
        <v>839</v>
      </c>
      <c r="G4" s="118" t="e">
        <f>IF((D4=0),"",D4)</f>
        <v>#REF!</v>
      </c>
    </row>
    <row r="5" spans="1:7" ht="280.5" customHeight="1" x14ac:dyDescent="0.15">
      <c r="A5" s="111" t="s">
        <v>1048</v>
      </c>
      <c r="B5" t="e">
        <f>IF(T_EcoMeasure_Description_I1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1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5" s="25" t="e">
        <f>IF(B5="","",SUBSTITUTE(SUBSTITUTE(SUBSTITUTE(SUBSTITUTE(SUBSTITUTE(SUBSTITUTE(SUBSTITUTE(SUBSTITUTE(SUBSTITUTE(SUBSTITUTE(SUBSTITUTE(SUBSTITUTE(SUBSTITUTE(SUBSTITUTE(SUBSTITUTE(SUBSTITUTE(SUBSTITUTE(SUBSTITUTE(SUBSTITUTE(SUBSTITUTE(SUBSTITUTE(SUBSTITUTE(SUBSTITUTE(SUBSTITUTE(B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5" s="25" t="e">
        <f>IF(C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5" s="7" t="e">
        <f>IF((D5=""),"",SUBSTITUTE(SUBSTITUTE(D5,"
","&lt;/p&gt;&lt;p&gt;"),"
","&lt;br&gt;"))</f>
        <v>#REF!</v>
      </c>
      <c r="F5" s="18" t="s">
        <v>871</v>
      </c>
      <c r="G5" s="48" t="e">
        <f>IF(E5="","",E5)</f>
        <v>#REF!</v>
      </c>
    </row>
    <row r="6" spans="1:7" ht="16" x14ac:dyDescent="0.15">
      <c r="A6" s="79" t="s">
        <v>1049</v>
      </c>
      <c r="B6" s="26" t="e">
        <f>T_EcoMeasure_Enova_I1</f>
        <v>#REF!</v>
      </c>
      <c r="C6" s="27" t="e">
        <f>VLOOKUP(B6,Enumeration_Checkbox,2,FALSE)</f>
        <v>#REF!</v>
      </c>
      <c r="D6" t="e">
        <f>IF(C6=0,"",C6)</f>
        <v>#REF!</v>
      </c>
      <c r="E6" s="27"/>
      <c r="F6" s="7" t="s">
        <v>851</v>
      </c>
      <c r="G6" s="21" t="e">
        <f>CONCATENATE(D6)</f>
        <v>#REF!</v>
      </c>
    </row>
    <row r="7" spans="1:7" ht="16" x14ac:dyDescent="0.15">
      <c r="A7" s="79" t="s">
        <v>1050</v>
      </c>
      <c r="B7" s="100" t="e">
        <f>T_EcoMeasure_Measure_I1_1</f>
        <v>#REF!</v>
      </c>
      <c r="C7" s="66" t="e">
        <f t="shared" ref="C7:C14" si="0">LOOKUP(B7,Name_tbl_EcoMeasureTypes,Name_tbl_EcoMeasureTypes_Id)</f>
        <v>#REF!</v>
      </c>
      <c r="D7" s="25" t="str">
        <f>IF(ISERROR(C7)=TRUE,"",C7)</f>
        <v/>
      </c>
      <c r="E7" s="101"/>
      <c r="F7" s="22"/>
    </row>
    <row r="8" spans="1:7" ht="15" x14ac:dyDescent="0.15">
      <c r="A8" s="79"/>
      <c r="B8" s="100" t="e">
        <f>T_EcoMeasure_Measure_I1_2</f>
        <v>#REF!</v>
      </c>
      <c r="C8" s="66" t="e">
        <f t="shared" si="0"/>
        <v>#REF!</v>
      </c>
      <c r="D8" s="25" t="str">
        <f t="shared" ref="D8:D14" si="1">IF(ISERROR(C8)=TRUE,"",CONCATENATE(Deletegn,C8))</f>
        <v/>
      </c>
      <c r="E8" s="99"/>
      <c r="F8" s="1"/>
    </row>
    <row r="9" spans="1:7" ht="15" x14ac:dyDescent="0.15">
      <c r="A9" s="79"/>
      <c r="B9" s="100" t="e">
        <f>T_EcoMeasure_Measure_I1_3</f>
        <v>#REF!</v>
      </c>
      <c r="C9" s="66" t="e">
        <f t="shared" si="0"/>
        <v>#REF!</v>
      </c>
      <c r="D9" s="25" t="str">
        <f t="shared" si="1"/>
        <v/>
      </c>
      <c r="E9" s="99"/>
      <c r="F9" s="1"/>
    </row>
    <row r="10" spans="1:7" ht="15" x14ac:dyDescent="0.15">
      <c r="A10" s="79"/>
      <c r="B10" s="100" t="e">
        <f>T_EcoMeasure_Measure_I1_4</f>
        <v>#REF!</v>
      </c>
      <c r="C10" s="66" t="e">
        <f t="shared" si="0"/>
        <v>#REF!</v>
      </c>
      <c r="D10" s="25" t="str">
        <f t="shared" si="1"/>
        <v/>
      </c>
      <c r="E10" s="99"/>
      <c r="F10" s="1"/>
    </row>
    <row r="11" spans="1:7" ht="15" x14ac:dyDescent="0.15">
      <c r="A11" s="79"/>
      <c r="B11" s="100" t="e">
        <f>T_EcoMeasure_Measure_I1_5</f>
        <v>#REF!</v>
      </c>
      <c r="C11" s="66" t="e">
        <f t="shared" si="0"/>
        <v>#REF!</v>
      </c>
      <c r="D11" s="25" t="str">
        <f t="shared" si="1"/>
        <v/>
      </c>
      <c r="E11" s="99"/>
      <c r="F11" s="1"/>
    </row>
    <row r="12" spans="1:7" ht="15" x14ac:dyDescent="0.15">
      <c r="A12" s="79"/>
      <c r="B12" s="100" t="e">
        <f>T_EcoMeasure_Measure_I1_6</f>
        <v>#REF!</v>
      </c>
      <c r="C12" s="66" t="e">
        <f t="shared" si="0"/>
        <v>#REF!</v>
      </c>
      <c r="D12" s="25" t="str">
        <f t="shared" si="1"/>
        <v/>
      </c>
      <c r="E12" s="99"/>
      <c r="F12" s="1"/>
    </row>
    <row r="13" spans="1:7" ht="15" x14ac:dyDescent="0.15">
      <c r="A13" s="79"/>
      <c r="B13" s="100" t="e">
        <f>T_EcoMeasure_Measure_I1_7</f>
        <v>#REF!</v>
      </c>
      <c r="C13" s="66" t="e">
        <f t="shared" si="0"/>
        <v>#REF!</v>
      </c>
      <c r="D13" s="25" t="str">
        <f t="shared" si="1"/>
        <v/>
      </c>
      <c r="E13" s="99"/>
      <c r="F13" s="1"/>
    </row>
    <row r="14" spans="1:7" ht="16" thickBot="1" x14ac:dyDescent="0.2">
      <c r="A14" s="79"/>
      <c r="B14" s="100" t="e">
        <f>T_EcoMeasure_Measure_I1_8</f>
        <v>#REF!</v>
      </c>
      <c r="C14" s="66" t="e">
        <f t="shared" si="0"/>
        <v>#REF!</v>
      </c>
      <c r="D14" s="25" t="str">
        <f t="shared" si="1"/>
        <v/>
      </c>
      <c r="E14" s="99"/>
      <c r="F14" s="1"/>
      <c r="G14" s="44" t="str">
        <f>CONCATENATE(D7,D8,D9,D10,D11,D12,D13,D14)</f>
        <v/>
      </c>
    </row>
    <row r="15" spans="1:7" ht="16" x14ac:dyDescent="0.15">
      <c r="A15" s="71" t="s">
        <v>1022</v>
      </c>
      <c r="B15" s="7" t="e">
        <f>A_EditAccess_I</f>
        <v>#REF!</v>
      </c>
      <c r="C15" s="25" t="e">
        <f>VLOOKUP(B15,Relations!$I$1:$J$38,2,FALSE)</f>
        <v>#REF!</v>
      </c>
      <c r="D15" s="110" t="e">
        <f>IF(B3=0,"",IF(ISERROR(C15)=TRUE,"",C15))</f>
        <v>#REF!</v>
      </c>
      <c r="F15" s="7" t="s">
        <v>843</v>
      </c>
      <c r="G15" s="23" t="e">
        <f>IF((D15=0),"",D15)</f>
        <v>#REF!</v>
      </c>
    </row>
    <row r="16" spans="1:7" ht="16" x14ac:dyDescent="0.15">
      <c r="A16" s="71" t="s">
        <v>1023</v>
      </c>
      <c r="B16" s="7" t="e">
        <f>A_PublishAccess_I</f>
        <v>#REF!</v>
      </c>
      <c r="C16" s="25" t="e">
        <f>VLOOKUP(B16,Relations!$I$1:$J$38,2,FALSE)</f>
        <v>#REF!</v>
      </c>
      <c r="D16" s="110" t="e">
        <f>IF(B3=0,"",IF(ISERROR(C16)=TRUE,"",C16))</f>
        <v>#REF!</v>
      </c>
      <c r="F16" s="7" t="s">
        <v>843</v>
      </c>
      <c r="G16" s="23" t="e">
        <f>IF((D16=0),"",D16)</f>
        <v>#REF!</v>
      </c>
    </row>
    <row r="17" spans="1:7" ht="16" x14ac:dyDescent="0.15">
      <c r="A17" s="79" t="s">
        <v>1051</v>
      </c>
      <c r="B17" s="102" t="e">
        <f>T_EcoMeasure_Id_I2</f>
        <v>#REF!</v>
      </c>
      <c r="C17" s="110"/>
      <c r="D17" s="110"/>
      <c r="E17" s="110"/>
      <c r="F17" s="7" t="s">
        <v>837</v>
      </c>
      <c r="G17" s="17" t="e">
        <f>IF((B17=0),"",B17)</f>
        <v>#REF!</v>
      </c>
    </row>
    <row r="18" spans="1:7" ht="16" x14ac:dyDescent="0.15">
      <c r="A18" s="79" t="s">
        <v>1052</v>
      </c>
      <c r="B18" s="364" t="e">
        <f>T_EcoMeasure_Name_I2</f>
        <v>#REF!</v>
      </c>
      <c r="C18" s="365"/>
      <c r="D18" s="365"/>
      <c r="E18" s="366"/>
      <c r="F18" s="18" t="s">
        <v>839</v>
      </c>
      <c r="G18" s="23" t="e">
        <f>IF((B18=0),"",B18)</f>
        <v>#REF!</v>
      </c>
    </row>
    <row r="19" spans="1:7" ht="16" x14ac:dyDescent="0.15">
      <c r="A19" s="79" t="s">
        <v>1053</v>
      </c>
      <c r="B19" s="113" t="e">
        <f>A_ID_I</f>
        <v>#REF!</v>
      </c>
      <c r="C19" s="117"/>
      <c r="D19" s="110" t="e">
        <f>IF(B18=0,"",B19)</f>
        <v>#REF!</v>
      </c>
      <c r="E19" s="115"/>
      <c r="F19" s="18" t="s">
        <v>839</v>
      </c>
      <c r="G19" s="118" t="e">
        <f>IF((D19=0),"",D19)</f>
        <v>#REF!</v>
      </c>
    </row>
    <row r="20" spans="1:7" ht="204" customHeight="1" x14ac:dyDescent="0.15">
      <c r="A20" s="111" t="s">
        <v>1054</v>
      </c>
      <c r="B20" t="e">
        <f>IF(T_EcoMeasure_Description_I2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2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20" s="25" t="e">
        <f>IF(B20="","",SUBSTITUTE(SUBSTITUTE(SUBSTITUTE(SUBSTITUTE(SUBSTITUTE(SUBSTITUTE(SUBSTITUTE(SUBSTITUTE(SUBSTITUTE(SUBSTITUTE(SUBSTITUTE(SUBSTITUTE(SUBSTITUTE(SUBSTITUTE(SUBSTITUTE(SUBSTITUTE(SUBSTITUTE(SUBSTITUTE(SUBSTITUTE(SUBSTITUTE(SUBSTITUTE(SUBSTITUTE(SUBSTITUTE(SUBSTITUTE(B20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20" s="25" t="e">
        <f>IF(C20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20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20" s="7" t="e">
        <f>IF((D20=""),"",SUBSTITUTE(SUBSTITUTE(D20,"
","&lt;/p&gt;&lt;p&gt;"),"
","&lt;br&gt;"))</f>
        <v>#REF!</v>
      </c>
      <c r="F20" s="18" t="s">
        <v>871</v>
      </c>
      <c r="G20" s="48" t="e">
        <f>IF(E20="","",E20)</f>
        <v>#REF!</v>
      </c>
    </row>
    <row r="21" spans="1:7" ht="16" x14ac:dyDescent="0.15">
      <c r="A21" s="79" t="s">
        <v>1055</v>
      </c>
      <c r="B21" s="112" t="e">
        <f>T_EcoMeasure_Enova_I2</f>
        <v>#REF!</v>
      </c>
      <c r="C21" s="27" t="e">
        <f>VLOOKUP(B21,Enumeration_Checkbox,2,FALSE)</f>
        <v>#REF!</v>
      </c>
      <c r="D21" s="102" t="e">
        <f>IF(C21=0,"",C21)</f>
        <v>#REF!</v>
      </c>
      <c r="E21" s="27"/>
      <c r="F21" s="7" t="s">
        <v>851</v>
      </c>
      <c r="G21" s="21" t="e">
        <f>CONCATENATE(D21)</f>
        <v>#REF!</v>
      </c>
    </row>
    <row r="22" spans="1:7" ht="16" x14ac:dyDescent="0.15">
      <c r="A22" s="79" t="s">
        <v>1056</v>
      </c>
      <c r="B22" s="113" t="e">
        <f>T_EcoMeasure_Measure_I2_1</f>
        <v>#REF!</v>
      </c>
      <c r="C22" s="66" t="e">
        <f t="shared" ref="C22:C29" si="2">LOOKUP(B22,Name_tbl_EcoMeasureTypes,Name_tbl_EcoMeasureTypes_Id)</f>
        <v>#REF!</v>
      </c>
      <c r="D22" s="114" t="str">
        <f>IF(ISERROR(C22)=TRUE,"",C22)</f>
        <v/>
      </c>
      <c r="E22" s="115"/>
      <c r="F22" s="22"/>
    </row>
    <row r="23" spans="1:7" ht="15" x14ac:dyDescent="0.15">
      <c r="A23" s="79"/>
      <c r="B23" s="113" t="e">
        <f>T_EcoMeasure_Measure_I2_2</f>
        <v>#REF!</v>
      </c>
      <c r="C23" s="66" t="e">
        <f t="shared" si="2"/>
        <v>#REF!</v>
      </c>
      <c r="D23" s="114" t="str">
        <f t="shared" ref="D23:D29" si="3">IF(ISERROR(C23)=TRUE,"",CONCATENATE(Deletegn,C23))</f>
        <v/>
      </c>
      <c r="E23" s="116"/>
      <c r="F23" s="1"/>
    </row>
    <row r="24" spans="1:7" ht="15" x14ac:dyDescent="0.15">
      <c r="A24" s="79"/>
      <c r="B24" s="113" t="e">
        <f>T_EcoMeasure_Measure_I2_3</f>
        <v>#REF!</v>
      </c>
      <c r="C24" s="66" t="e">
        <f t="shared" si="2"/>
        <v>#REF!</v>
      </c>
      <c r="D24" s="114" t="str">
        <f t="shared" si="3"/>
        <v/>
      </c>
      <c r="E24" s="116"/>
      <c r="F24" s="1"/>
    </row>
    <row r="25" spans="1:7" ht="15" x14ac:dyDescent="0.15">
      <c r="A25" s="79"/>
      <c r="B25" s="113" t="e">
        <f>T_EcoMeasure_Measure_I2_4</f>
        <v>#REF!</v>
      </c>
      <c r="C25" s="66" t="e">
        <f t="shared" si="2"/>
        <v>#REF!</v>
      </c>
      <c r="D25" s="114" t="str">
        <f t="shared" si="3"/>
        <v/>
      </c>
      <c r="E25" s="116"/>
      <c r="F25" s="1"/>
    </row>
    <row r="26" spans="1:7" ht="15" x14ac:dyDescent="0.15">
      <c r="A26" s="79"/>
      <c r="B26" s="113" t="e">
        <f>T_EcoMeasure_Measure_I2_5</f>
        <v>#REF!</v>
      </c>
      <c r="C26" s="66" t="e">
        <f t="shared" si="2"/>
        <v>#REF!</v>
      </c>
      <c r="D26" s="114" t="str">
        <f t="shared" si="3"/>
        <v/>
      </c>
      <c r="E26" s="116"/>
      <c r="F26" s="1"/>
    </row>
    <row r="27" spans="1:7" ht="15" x14ac:dyDescent="0.15">
      <c r="A27" s="79"/>
      <c r="B27" s="113" t="e">
        <f>T_EcoMeasure_Measure_I2_6</f>
        <v>#REF!</v>
      </c>
      <c r="C27" s="66" t="e">
        <f t="shared" si="2"/>
        <v>#REF!</v>
      </c>
      <c r="D27" s="114" t="str">
        <f t="shared" si="3"/>
        <v/>
      </c>
      <c r="E27" s="116"/>
      <c r="F27" s="1"/>
    </row>
    <row r="28" spans="1:7" ht="15" x14ac:dyDescent="0.15">
      <c r="A28" s="79"/>
      <c r="B28" s="113" t="e">
        <f>T_EcoMeasure_Measure_I2_7</f>
        <v>#REF!</v>
      </c>
      <c r="C28" s="66" t="e">
        <f t="shared" si="2"/>
        <v>#REF!</v>
      </c>
      <c r="D28" s="114" t="str">
        <f t="shared" si="3"/>
        <v/>
      </c>
      <c r="E28" s="116"/>
      <c r="F28" s="1"/>
    </row>
    <row r="29" spans="1:7" ht="16" thickBot="1" x14ac:dyDescent="0.2">
      <c r="A29" s="79"/>
      <c r="B29" s="113" t="e">
        <f>T_EcoMeasure_Measure_I2_8</f>
        <v>#REF!</v>
      </c>
      <c r="C29" s="66" t="e">
        <f t="shared" si="2"/>
        <v>#REF!</v>
      </c>
      <c r="D29" s="114" t="str">
        <f t="shared" si="3"/>
        <v/>
      </c>
      <c r="E29" s="116"/>
      <c r="F29" s="1"/>
      <c r="G29" s="44" t="str">
        <f>CONCATENATE(D22,D23,D24,D25,D26,D27,D28,D29)</f>
        <v/>
      </c>
    </row>
    <row r="30" spans="1:7" ht="16" x14ac:dyDescent="0.15">
      <c r="A30" s="71" t="s">
        <v>1022</v>
      </c>
      <c r="B30" s="110" t="e">
        <f>A_EditAccess_I</f>
        <v>#REF!</v>
      </c>
      <c r="C30" s="114" t="e">
        <f>VLOOKUP(B30,Relations!$I$1:$J$38,2,FALSE)</f>
        <v>#REF!</v>
      </c>
      <c r="D30" s="110" t="e">
        <f>IF(B18=0,"",IF(ISERROR(C30)=TRUE,"",C30))</f>
        <v>#REF!</v>
      </c>
      <c r="E30" s="110"/>
      <c r="F30" s="7" t="s">
        <v>843</v>
      </c>
      <c r="G30" s="23" t="e">
        <f>IF((D30=0),"",D30)</f>
        <v>#REF!</v>
      </c>
    </row>
    <row r="31" spans="1:7" ht="16" x14ac:dyDescent="0.15">
      <c r="A31" s="71" t="s">
        <v>1023</v>
      </c>
      <c r="B31" s="110" t="e">
        <f>A_PublishAccess_I</f>
        <v>#REF!</v>
      </c>
      <c r="C31" s="114" t="e">
        <f>VLOOKUP(B31,Relations!$I$1:$J$38,2,FALSE)</f>
        <v>#REF!</v>
      </c>
      <c r="D31" s="110" t="e">
        <f>IF(B18=0,"",IF(ISERROR(C31)=TRUE,"",C31))</f>
        <v>#REF!</v>
      </c>
      <c r="E31" s="110"/>
      <c r="F31" s="7" t="s">
        <v>843</v>
      </c>
      <c r="G31" s="23" t="e">
        <f>IF((D31=0),"",D31)</f>
        <v>#REF!</v>
      </c>
    </row>
    <row r="32" spans="1:7" ht="16" x14ac:dyDescent="0.15">
      <c r="A32" s="79" t="s">
        <v>1057</v>
      </c>
      <c r="B32" s="102" t="e">
        <f>T_EcoMeasure_Id_I3</f>
        <v>#REF!</v>
      </c>
      <c r="C32" s="110"/>
      <c r="D32" s="110"/>
      <c r="E32" s="110"/>
      <c r="F32" s="7" t="s">
        <v>837</v>
      </c>
      <c r="G32" s="17" t="e">
        <f>IF((B32=0),"",B32)</f>
        <v>#REF!</v>
      </c>
    </row>
    <row r="33" spans="1:7" ht="16" x14ac:dyDescent="0.15">
      <c r="A33" s="79" t="s">
        <v>1058</v>
      </c>
      <c r="B33" s="364" t="e">
        <f>T_EcoMeasure_Name_I3</f>
        <v>#REF!</v>
      </c>
      <c r="C33" s="365"/>
      <c r="D33" s="365"/>
      <c r="E33" s="366"/>
      <c r="F33" s="18" t="s">
        <v>839</v>
      </c>
      <c r="G33" s="23" t="e">
        <f>IF((B33=0),"",B33)</f>
        <v>#REF!</v>
      </c>
    </row>
    <row r="34" spans="1:7" ht="16" x14ac:dyDescent="0.15">
      <c r="A34" s="79" t="s">
        <v>1059</v>
      </c>
      <c r="B34" s="113" t="e">
        <f>A_ID_I</f>
        <v>#REF!</v>
      </c>
      <c r="C34" s="117"/>
      <c r="D34" s="110" t="e">
        <f>IF(B33=0,"",B34)</f>
        <v>#REF!</v>
      </c>
      <c r="E34" s="115"/>
      <c r="F34" s="18" t="s">
        <v>839</v>
      </c>
      <c r="G34" s="118" t="e">
        <f>IF((D34=0),"",D34)</f>
        <v>#REF!</v>
      </c>
    </row>
    <row r="35" spans="1:7" ht="16" x14ac:dyDescent="0.15">
      <c r="A35" s="111" t="s">
        <v>1060</v>
      </c>
      <c r="B35" t="e">
        <f>IF(T_EcoMeasure_Description_I3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3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35" s="25" t="e">
        <f>IF(B35="","",SUBSTITUTE(SUBSTITUTE(SUBSTITUTE(SUBSTITUTE(SUBSTITUTE(SUBSTITUTE(SUBSTITUTE(SUBSTITUTE(SUBSTITUTE(SUBSTITUTE(SUBSTITUTE(SUBSTITUTE(SUBSTITUTE(SUBSTITUTE(SUBSTITUTE(SUBSTITUTE(SUBSTITUTE(SUBSTITUTE(SUBSTITUTE(SUBSTITUTE(SUBSTITUTE(SUBSTITUTE(SUBSTITUTE(SUBSTITUTE(B35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35" s="25" t="e">
        <f>IF(C35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35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35" s="7" t="e">
        <f>IF((D35=""),"",SUBSTITUTE(SUBSTITUTE(D35,"
","&lt;/p&gt;&lt;p&gt;"),"
","&lt;br&gt;"))</f>
        <v>#REF!</v>
      </c>
      <c r="F35" s="18" t="s">
        <v>871</v>
      </c>
      <c r="G35" s="48" t="e">
        <f>IF(E35="","",E35)</f>
        <v>#REF!</v>
      </c>
    </row>
    <row r="36" spans="1:7" ht="16" x14ac:dyDescent="0.15">
      <c r="A36" s="79" t="s">
        <v>1061</v>
      </c>
      <c r="B36" s="112" t="e">
        <f>T_EcoMeasure_Enova_I3</f>
        <v>#REF!</v>
      </c>
      <c r="C36" s="27" t="e">
        <f>VLOOKUP(B36,Enumeration_Checkbox,2,FALSE)</f>
        <v>#REF!</v>
      </c>
      <c r="D36" s="102" t="e">
        <f>IF(C36=0,"",C36)</f>
        <v>#REF!</v>
      </c>
      <c r="E36" s="27"/>
      <c r="F36" s="7" t="s">
        <v>851</v>
      </c>
      <c r="G36" s="21" t="e">
        <f>CONCATENATE(D36)</f>
        <v>#REF!</v>
      </c>
    </row>
    <row r="37" spans="1:7" ht="16" x14ac:dyDescent="0.15">
      <c r="A37" s="79" t="s">
        <v>1062</v>
      </c>
      <c r="B37" s="113" t="e">
        <f>T_EcoMeasure_Measure_I3_1</f>
        <v>#REF!</v>
      </c>
      <c r="C37" s="66" t="e">
        <f t="shared" ref="C37:C44" si="4">LOOKUP(B37,Name_tbl_EcoMeasureTypes,Name_tbl_EcoMeasureTypes_Id)</f>
        <v>#REF!</v>
      </c>
      <c r="D37" s="114" t="str">
        <f>IF(ISERROR(C37)=TRUE,"",C37)</f>
        <v/>
      </c>
      <c r="E37" s="115"/>
      <c r="F37" s="22"/>
    </row>
    <row r="38" spans="1:7" ht="15" x14ac:dyDescent="0.15">
      <c r="A38" s="79"/>
      <c r="B38" s="113" t="e">
        <f>T_EcoMeasure_Measure_I3_2</f>
        <v>#REF!</v>
      </c>
      <c r="C38" s="66" t="e">
        <f t="shared" si="4"/>
        <v>#REF!</v>
      </c>
      <c r="D38" s="114" t="str">
        <f t="shared" ref="D38:D44" si="5">IF(ISERROR(C38)=TRUE,"",CONCATENATE(Deletegn,C38))</f>
        <v/>
      </c>
      <c r="E38" s="116"/>
      <c r="F38" s="1"/>
    </row>
    <row r="39" spans="1:7" ht="15" x14ac:dyDescent="0.15">
      <c r="A39" s="79"/>
      <c r="B39" s="113" t="e">
        <f>T_EcoMeasure_Measure_I3_3</f>
        <v>#REF!</v>
      </c>
      <c r="C39" s="66" t="e">
        <f t="shared" si="4"/>
        <v>#REF!</v>
      </c>
      <c r="D39" s="114" t="str">
        <f t="shared" si="5"/>
        <v/>
      </c>
      <c r="E39" s="116"/>
      <c r="F39" s="1"/>
    </row>
    <row r="40" spans="1:7" ht="15" x14ac:dyDescent="0.15">
      <c r="A40" s="79"/>
      <c r="B40" s="113" t="e">
        <f>T_EcoMeasure_Measure_I3_4</f>
        <v>#REF!</v>
      </c>
      <c r="C40" s="66" t="e">
        <f t="shared" si="4"/>
        <v>#REF!</v>
      </c>
      <c r="D40" s="114" t="str">
        <f t="shared" si="5"/>
        <v/>
      </c>
      <c r="E40" s="116"/>
      <c r="F40" s="1"/>
    </row>
    <row r="41" spans="1:7" ht="15" x14ac:dyDescent="0.15">
      <c r="A41" s="79"/>
      <c r="B41" s="113" t="e">
        <f>T_EcoMeasure_Measure_I3_5</f>
        <v>#REF!</v>
      </c>
      <c r="C41" s="66" t="e">
        <f t="shared" si="4"/>
        <v>#REF!</v>
      </c>
      <c r="D41" s="114" t="str">
        <f t="shared" si="5"/>
        <v/>
      </c>
      <c r="E41" s="116"/>
      <c r="F41" s="1"/>
    </row>
    <row r="42" spans="1:7" ht="15" x14ac:dyDescent="0.15">
      <c r="A42" s="79"/>
      <c r="B42" s="113" t="e">
        <f>T_EcoMeasure_Measure_I3_6</f>
        <v>#REF!</v>
      </c>
      <c r="C42" s="66" t="e">
        <f t="shared" si="4"/>
        <v>#REF!</v>
      </c>
      <c r="D42" s="114" t="str">
        <f t="shared" si="5"/>
        <v/>
      </c>
      <c r="E42" s="116"/>
      <c r="F42" s="1"/>
    </row>
    <row r="43" spans="1:7" ht="15" x14ac:dyDescent="0.15">
      <c r="A43" s="79"/>
      <c r="B43" s="113" t="e">
        <f>T_EcoMeasure_Measure_I3_7</f>
        <v>#REF!</v>
      </c>
      <c r="C43" s="66" t="e">
        <f t="shared" si="4"/>
        <v>#REF!</v>
      </c>
      <c r="D43" s="114" t="str">
        <f t="shared" si="5"/>
        <v/>
      </c>
      <c r="E43" s="116"/>
      <c r="F43" s="1"/>
    </row>
    <row r="44" spans="1:7" ht="16" thickBot="1" x14ac:dyDescent="0.2">
      <c r="A44" s="79"/>
      <c r="B44" s="113" t="e">
        <f>T_EcoMeasure_Measure_I3_8</f>
        <v>#REF!</v>
      </c>
      <c r="C44" s="66" t="e">
        <f t="shared" si="4"/>
        <v>#REF!</v>
      </c>
      <c r="D44" s="114" t="str">
        <f t="shared" si="5"/>
        <v/>
      </c>
      <c r="E44" s="116"/>
      <c r="F44" s="1"/>
      <c r="G44" s="44" t="str">
        <f>CONCATENATE(D37,D38,D39,D40,D41,D42,D43,D44)</f>
        <v/>
      </c>
    </row>
    <row r="45" spans="1:7" ht="16" x14ac:dyDescent="0.15">
      <c r="A45" s="71" t="s">
        <v>1022</v>
      </c>
      <c r="B45" s="110" t="e">
        <f>A_EditAccess_I</f>
        <v>#REF!</v>
      </c>
      <c r="C45" s="114" t="e">
        <f>VLOOKUP(B45,Relations!$I$1:$J$38,2,FALSE)</f>
        <v>#REF!</v>
      </c>
      <c r="D45" s="110" t="e">
        <f>IF(B33=0,"",IF(ISERROR(C45)=TRUE,"",C45))</f>
        <v>#REF!</v>
      </c>
      <c r="E45" s="110"/>
      <c r="F45" s="7" t="s">
        <v>843</v>
      </c>
      <c r="G45" s="23" t="e">
        <f>IF((D45=0),"",D45)</f>
        <v>#REF!</v>
      </c>
    </row>
    <row r="46" spans="1:7" ht="16" x14ac:dyDescent="0.15">
      <c r="A46" s="71" t="s">
        <v>1023</v>
      </c>
      <c r="B46" s="110" t="e">
        <f>A_PublishAccess_I</f>
        <v>#REF!</v>
      </c>
      <c r="C46" s="114" t="e">
        <f>VLOOKUP(B46,Relations!$I$1:$J$38,2,FALSE)</f>
        <v>#REF!</v>
      </c>
      <c r="D46" s="110" t="e">
        <f>IF(B33=0,"",IF(ISERROR(C46)=TRUE,"",C46))</f>
        <v>#REF!</v>
      </c>
      <c r="E46" s="110"/>
      <c r="F46" s="7" t="s">
        <v>843</v>
      </c>
      <c r="G46" s="23" t="e">
        <f>IF((D46=0),"",D46)</f>
        <v>#REF!</v>
      </c>
    </row>
    <row r="47" spans="1:7" ht="16" x14ac:dyDescent="0.15">
      <c r="A47" s="79" t="s">
        <v>1063</v>
      </c>
      <c r="B47" s="102" t="e">
        <f>T_EcoMeasure_Id_I4</f>
        <v>#REF!</v>
      </c>
      <c r="C47" s="110"/>
      <c r="D47" s="110"/>
      <c r="E47" s="110"/>
      <c r="F47" s="7" t="s">
        <v>837</v>
      </c>
      <c r="G47" s="17" t="e">
        <f>IF((B47=0),"",B47)</f>
        <v>#REF!</v>
      </c>
    </row>
    <row r="48" spans="1:7" ht="16" x14ac:dyDescent="0.15">
      <c r="A48" s="79" t="s">
        <v>1064</v>
      </c>
      <c r="B48" s="364" t="e">
        <f>T_EcoMeasure_Name_I4</f>
        <v>#REF!</v>
      </c>
      <c r="C48" s="365"/>
      <c r="D48" s="365"/>
      <c r="E48" s="366"/>
      <c r="F48" s="18" t="s">
        <v>839</v>
      </c>
      <c r="G48" s="23" t="e">
        <f>IF((B48=0),"",B48)</f>
        <v>#REF!</v>
      </c>
    </row>
    <row r="49" spans="1:7" ht="16" x14ac:dyDescent="0.15">
      <c r="A49" s="79" t="s">
        <v>1065</v>
      </c>
      <c r="B49" s="113" t="e">
        <f>A_ID_I</f>
        <v>#REF!</v>
      </c>
      <c r="C49" s="117"/>
      <c r="D49" s="110" t="e">
        <f>IF(B48=0,"",B49)</f>
        <v>#REF!</v>
      </c>
      <c r="E49" s="115"/>
      <c r="F49" s="18" t="s">
        <v>839</v>
      </c>
      <c r="G49" s="118" t="e">
        <f>IF((D49=0),"",D49)</f>
        <v>#REF!</v>
      </c>
    </row>
    <row r="50" spans="1:7" ht="204" customHeight="1" x14ac:dyDescent="0.15">
      <c r="A50" s="111" t="s">
        <v>1066</v>
      </c>
      <c r="B50" t="e">
        <f>IF(T_EcoMeasure_Description_I4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4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50" s="25" t="e">
        <f>IF(B50="","",SUBSTITUTE(SUBSTITUTE(SUBSTITUTE(SUBSTITUTE(SUBSTITUTE(SUBSTITUTE(SUBSTITUTE(SUBSTITUTE(SUBSTITUTE(SUBSTITUTE(SUBSTITUTE(SUBSTITUTE(SUBSTITUTE(SUBSTITUTE(SUBSTITUTE(SUBSTITUTE(SUBSTITUTE(SUBSTITUTE(SUBSTITUTE(SUBSTITUTE(SUBSTITUTE(SUBSTITUTE(SUBSTITUTE(SUBSTITUTE(B50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50" s="25" t="e">
        <f>IF(C50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50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50" s="7" t="e">
        <f>IF((D50=""),"",SUBSTITUTE(SUBSTITUTE(D50,"
","&lt;/p&gt;&lt;p&gt;"),"
","&lt;br&gt;"))</f>
        <v>#REF!</v>
      </c>
      <c r="F50" s="18" t="s">
        <v>871</v>
      </c>
      <c r="G50" s="48" t="e">
        <f>IF(E50="","",E50)</f>
        <v>#REF!</v>
      </c>
    </row>
    <row r="51" spans="1:7" ht="16" x14ac:dyDescent="0.15">
      <c r="A51" s="79" t="s">
        <v>1067</v>
      </c>
      <c r="B51" s="112" t="e">
        <f>T_EcoMeasure_Enova_I4</f>
        <v>#REF!</v>
      </c>
      <c r="C51" s="27" t="e">
        <f>VLOOKUP(B51,Enumeration_Checkbox,2,FALSE)</f>
        <v>#REF!</v>
      </c>
      <c r="D51" s="102" t="e">
        <f>IF(C51=0,"",C51)</f>
        <v>#REF!</v>
      </c>
      <c r="E51" s="27"/>
      <c r="F51" s="7" t="s">
        <v>851</v>
      </c>
      <c r="G51" s="21" t="e">
        <f>CONCATENATE(D51)</f>
        <v>#REF!</v>
      </c>
    </row>
    <row r="52" spans="1:7" ht="16" x14ac:dyDescent="0.15">
      <c r="A52" s="79" t="s">
        <v>1068</v>
      </c>
      <c r="B52" s="113" t="e">
        <f>T_EcoMeasure_Measure_I4_1</f>
        <v>#REF!</v>
      </c>
      <c r="C52" s="66" t="e">
        <f t="shared" ref="C52:C59" si="6">LOOKUP(B52,Name_tbl_EcoMeasureTypes,Name_tbl_EcoMeasureTypes_Id)</f>
        <v>#REF!</v>
      </c>
      <c r="D52" s="114" t="str">
        <f>IF(ISERROR(C52)=TRUE,"",C52)</f>
        <v/>
      </c>
      <c r="E52" s="115"/>
      <c r="F52" s="22"/>
    </row>
    <row r="53" spans="1:7" ht="15" x14ac:dyDescent="0.15">
      <c r="A53" s="79"/>
      <c r="B53" s="113" t="e">
        <f>T_EcoMeasure_Measure_I4_2</f>
        <v>#REF!</v>
      </c>
      <c r="C53" s="66" t="e">
        <f t="shared" si="6"/>
        <v>#REF!</v>
      </c>
      <c r="D53" s="114" t="str">
        <f t="shared" ref="D53:D59" si="7">IF(ISERROR(C53)=TRUE,"",CONCATENATE(Deletegn,C53))</f>
        <v/>
      </c>
      <c r="E53" s="116"/>
      <c r="F53" s="1"/>
    </row>
    <row r="54" spans="1:7" ht="15" x14ac:dyDescent="0.15">
      <c r="A54" s="79"/>
      <c r="B54" s="113" t="e">
        <f>T_EcoMeasure_Measure_I4_3</f>
        <v>#REF!</v>
      </c>
      <c r="C54" s="66" t="e">
        <f t="shared" si="6"/>
        <v>#REF!</v>
      </c>
      <c r="D54" s="114" t="str">
        <f t="shared" si="7"/>
        <v/>
      </c>
      <c r="E54" s="116"/>
      <c r="F54" s="1"/>
    </row>
    <row r="55" spans="1:7" ht="15" x14ac:dyDescent="0.15">
      <c r="A55" s="79"/>
      <c r="B55" s="113" t="e">
        <f>T_EcoMeasure_Measure_I4_4</f>
        <v>#REF!</v>
      </c>
      <c r="C55" s="66" t="e">
        <f t="shared" si="6"/>
        <v>#REF!</v>
      </c>
      <c r="D55" s="114" t="str">
        <f t="shared" si="7"/>
        <v/>
      </c>
      <c r="E55" s="116"/>
      <c r="F55" s="1"/>
    </row>
    <row r="56" spans="1:7" ht="15" x14ac:dyDescent="0.15">
      <c r="A56" s="79"/>
      <c r="B56" s="113" t="e">
        <f>T_EcoMeasure_Measure_I4_5</f>
        <v>#REF!</v>
      </c>
      <c r="C56" s="66" t="e">
        <f t="shared" si="6"/>
        <v>#REF!</v>
      </c>
      <c r="D56" s="114" t="str">
        <f t="shared" si="7"/>
        <v/>
      </c>
      <c r="E56" s="116"/>
      <c r="F56" s="1"/>
    </row>
    <row r="57" spans="1:7" ht="15" x14ac:dyDescent="0.15">
      <c r="A57" s="79"/>
      <c r="B57" s="113" t="e">
        <f>T_EcoMeasure_Measure_I4_6</f>
        <v>#REF!</v>
      </c>
      <c r="C57" s="66" t="e">
        <f t="shared" si="6"/>
        <v>#REF!</v>
      </c>
      <c r="D57" s="114" t="str">
        <f t="shared" si="7"/>
        <v/>
      </c>
      <c r="E57" s="116"/>
      <c r="F57" s="1"/>
    </row>
    <row r="58" spans="1:7" ht="15" x14ac:dyDescent="0.15">
      <c r="A58" s="79"/>
      <c r="B58" s="113" t="e">
        <f>T_EcoMeasure_Measure_I4_7</f>
        <v>#REF!</v>
      </c>
      <c r="C58" s="66" t="e">
        <f t="shared" si="6"/>
        <v>#REF!</v>
      </c>
      <c r="D58" s="114" t="str">
        <f t="shared" si="7"/>
        <v/>
      </c>
      <c r="E58" s="116"/>
      <c r="F58" s="1"/>
    </row>
    <row r="59" spans="1:7" ht="16" thickBot="1" x14ac:dyDescent="0.2">
      <c r="A59" s="79"/>
      <c r="B59" s="113" t="e">
        <f>T_EcoMeasure_Measure_I4_8</f>
        <v>#REF!</v>
      </c>
      <c r="C59" s="66" t="e">
        <f t="shared" si="6"/>
        <v>#REF!</v>
      </c>
      <c r="D59" s="114" t="str">
        <f t="shared" si="7"/>
        <v/>
      </c>
      <c r="E59" s="116"/>
      <c r="F59" s="1"/>
      <c r="G59" s="44" t="str">
        <f>CONCATENATE(D52,D53,D54,D55,D56,D57,D58,D59)</f>
        <v/>
      </c>
    </row>
    <row r="60" spans="1:7" ht="16" x14ac:dyDescent="0.15">
      <c r="A60" s="71" t="s">
        <v>1022</v>
      </c>
      <c r="B60" s="110" t="e">
        <f>A_EditAccess_I</f>
        <v>#REF!</v>
      </c>
      <c r="C60" s="114" t="e">
        <f>VLOOKUP(B60,Relations!$I$1:$J$38,2,FALSE)</f>
        <v>#REF!</v>
      </c>
      <c r="D60" s="110" t="e">
        <f>IF(B48=0,"",IF(ISERROR(C60)=TRUE,"",C60))</f>
        <v>#REF!</v>
      </c>
      <c r="E60" s="110"/>
      <c r="F60" s="7" t="s">
        <v>843</v>
      </c>
      <c r="G60" s="23" t="e">
        <f>IF((D60=0),"",D60)</f>
        <v>#REF!</v>
      </c>
    </row>
    <row r="61" spans="1:7" ht="16" x14ac:dyDescent="0.15">
      <c r="A61" s="71" t="s">
        <v>1023</v>
      </c>
      <c r="B61" s="110" t="e">
        <f>A_PublishAccess_I</f>
        <v>#REF!</v>
      </c>
      <c r="C61" s="114" t="e">
        <f>VLOOKUP(B61,Relations!$I$1:$J$38,2,FALSE)</f>
        <v>#REF!</v>
      </c>
      <c r="D61" s="110" t="e">
        <f>IF(B48=0,"",IF(ISERROR(C61)=TRUE,"",C61))</f>
        <v>#REF!</v>
      </c>
      <c r="E61" s="110"/>
      <c r="F61" s="7" t="s">
        <v>843</v>
      </c>
      <c r="G61" s="23" t="e">
        <f>IF((D61=0),"",D61)</f>
        <v>#REF!</v>
      </c>
    </row>
    <row r="62" spans="1:7" ht="16" x14ac:dyDescent="0.15">
      <c r="A62" s="79" t="s">
        <v>1069</v>
      </c>
      <c r="B62" s="102" t="e">
        <f>T_EcoMeasure_Id_I5</f>
        <v>#REF!</v>
      </c>
      <c r="C62" s="110"/>
      <c r="D62" s="110"/>
      <c r="E62" s="110"/>
      <c r="F62" s="7" t="s">
        <v>837</v>
      </c>
      <c r="G62" s="17" t="e">
        <f>IF((B62=0),"",B62)</f>
        <v>#REF!</v>
      </c>
    </row>
    <row r="63" spans="1:7" ht="16" x14ac:dyDescent="0.15">
      <c r="A63" s="79" t="s">
        <v>1070</v>
      </c>
      <c r="B63" s="364" t="e">
        <f>T_EcoMeasure_Name_I5</f>
        <v>#REF!</v>
      </c>
      <c r="C63" s="365"/>
      <c r="D63" s="365"/>
      <c r="E63" s="366"/>
      <c r="F63" s="18" t="s">
        <v>839</v>
      </c>
      <c r="G63" s="23" t="e">
        <f>IF((B63=0),"",B63)</f>
        <v>#REF!</v>
      </c>
    </row>
    <row r="64" spans="1:7" ht="16" x14ac:dyDescent="0.15">
      <c r="A64" s="79" t="s">
        <v>1071</v>
      </c>
      <c r="B64" s="113" t="e">
        <f>A_ID_I</f>
        <v>#REF!</v>
      </c>
      <c r="C64" s="117"/>
      <c r="D64" s="110" t="e">
        <f>IF(B63=0,"",B64)</f>
        <v>#REF!</v>
      </c>
      <c r="E64" s="115"/>
      <c r="F64" s="18" t="s">
        <v>839</v>
      </c>
      <c r="G64" s="118" t="e">
        <f>IF((D64=0),"",D64)</f>
        <v>#REF!</v>
      </c>
    </row>
    <row r="65" spans="1:7" ht="16" x14ac:dyDescent="0.15">
      <c r="A65" s="111" t="s">
        <v>1072</v>
      </c>
      <c r="B65" t="e">
        <f>IF(T_EcoMeasure_Description_I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5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65" s="25" t="e">
        <f>IF(B65="","",SUBSTITUTE(SUBSTITUTE(SUBSTITUTE(SUBSTITUTE(SUBSTITUTE(SUBSTITUTE(SUBSTITUTE(SUBSTITUTE(SUBSTITUTE(SUBSTITUTE(SUBSTITUTE(SUBSTITUTE(SUBSTITUTE(SUBSTITUTE(SUBSTITUTE(SUBSTITUTE(SUBSTITUTE(SUBSTITUTE(SUBSTITUTE(SUBSTITUTE(SUBSTITUTE(SUBSTITUTE(SUBSTITUTE(SUBSTITUTE(B65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65" s="25" t="e">
        <f>IF(C65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65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65" s="7" t="e">
        <f>IF((D65=""),"",SUBSTITUTE(SUBSTITUTE(D65,"
","&lt;/p&gt;&lt;p&gt;"),"
","&lt;br&gt;"))</f>
        <v>#REF!</v>
      </c>
      <c r="F65" s="18" t="s">
        <v>871</v>
      </c>
      <c r="G65" s="48" t="e">
        <f>IF(E65="","",E65)</f>
        <v>#REF!</v>
      </c>
    </row>
    <row r="66" spans="1:7" ht="16" x14ac:dyDescent="0.15">
      <c r="A66" s="79" t="s">
        <v>1073</v>
      </c>
      <c r="B66" s="112" t="e">
        <f>T_EcoMeasure_Enova_I5</f>
        <v>#REF!</v>
      </c>
      <c r="C66" s="27" t="e">
        <f>VLOOKUP(B66,Enumeration_Checkbox,2,FALSE)</f>
        <v>#REF!</v>
      </c>
      <c r="D66" s="102" t="e">
        <f>IF(C66=0,"",C66)</f>
        <v>#REF!</v>
      </c>
      <c r="E66" s="27"/>
      <c r="F66" s="7" t="s">
        <v>851</v>
      </c>
      <c r="G66" s="21" t="e">
        <f>CONCATENATE(D66)</f>
        <v>#REF!</v>
      </c>
    </row>
    <row r="67" spans="1:7" ht="16" x14ac:dyDescent="0.15">
      <c r="A67" s="79" t="s">
        <v>1074</v>
      </c>
      <c r="B67" s="113" t="e">
        <f>T_EcoMeasure_Measure_I5_1</f>
        <v>#REF!</v>
      </c>
      <c r="C67" s="66" t="e">
        <f t="shared" ref="C67:C74" si="8">LOOKUP(B67,Name_tbl_EcoMeasureTypes,Name_tbl_EcoMeasureTypes_Id)</f>
        <v>#REF!</v>
      </c>
      <c r="D67" s="114" t="str">
        <f>IF(ISERROR(C67)=TRUE,"",C67)</f>
        <v/>
      </c>
      <c r="E67" s="115"/>
      <c r="F67" s="22"/>
    </row>
    <row r="68" spans="1:7" ht="15" x14ac:dyDescent="0.15">
      <c r="A68" s="79"/>
      <c r="B68" s="113" t="e">
        <f>T_EcoMeasure_Measure_I5_2</f>
        <v>#REF!</v>
      </c>
      <c r="C68" s="66" t="e">
        <f t="shared" si="8"/>
        <v>#REF!</v>
      </c>
      <c r="D68" s="114" t="str">
        <f t="shared" ref="D68:D74" si="9">IF(ISERROR(C68)=TRUE,"",CONCATENATE(Deletegn,C68))</f>
        <v/>
      </c>
      <c r="E68" s="116"/>
      <c r="F68" s="1"/>
    </row>
    <row r="69" spans="1:7" ht="15" x14ac:dyDescent="0.15">
      <c r="A69" s="79"/>
      <c r="B69" s="113" t="e">
        <f>T_EcoMeasure_Measure_I5_3</f>
        <v>#REF!</v>
      </c>
      <c r="C69" s="66" t="e">
        <f t="shared" si="8"/>
        <v>#REF!</v>
      </c>
      <c r="D69" s="114" t="str">
        <f t="shared" si="9"/>
        <v/>
      </c>
      <c r="E69" s="116"/>
      <c r="F69" s="1"/>
    </row>
    <row r="70" spans="1:7" ht="15" x14ac:dyDescent="0.15">
      <c r="A70" s="79"/>
      <c r="B70" s="113" t="e">
        <f>T_EcoMeasure_Measure_I5_4</f>
        <v>#REF!</v>
      </c>
      <c r="C70" s="66" t="e">
        <f t="shared" si="8"/>
        <v>#REF!</v>
      </c>
      <c r="D70" s="114" t="str">
        <f t="shared" si="9"/>
        <v/>
      </c>
      <c r="E70" s="116"/>
      <c r="F70" s="1"/>
    </row>
    <row r="71" spans="1:7" ht="15" x14ac:dyDescent="0.15">
      <c r="A71" s="79"/>
      <c r="B71" s="113" t="e">
        <f>T_EcoMeasure_Measure_I5_5</f>
        <v>#REF!</v>
      </c>
      <c r="C71" s="66" t="e">
        <f t="shared" si="8"/>
        <v>#REF!</v>
      </c>
      <c r="D71" s="114" t="str">
        <f t="shared" si="9"/>
        <v/>
      </c>
      <c r="E71" s="116"/>
      <c r="F71" s="1"/>
    </row>
    <row r="72" spans="1:7" ht="15" x14ac:dyDescent="0.15">
      <c r="A72" s="79"/>
      <c r="B72" s="113" t="e">
        <f>T_EcoMeasure_Measure_I5_6</f>
        <v>#REF!</v>
      </c>
      <c r="C72" s="66" t="e">
        <f t="shared" si="8"/>
        <v>#REF!</v>
      </c>
      <c r="D72" s="114" t="str">
        <f t="shared" si="9"/>
        <v/>
      </c>
      <c r="E72" s="116"/>
      <c r="F72" s="1"/>
    </row>
    <row r="73" spans="1:7" ht="15" x14ac:dyDescent="0.15">
      <c r="A73" s="79"/>
      <c r="B73" s="113" t="e">
        <f>T_EcoMeasure_Measure_I5_7</f>
        <v>#REF!</v>
      </c>
      <c r="C73" s="66" t="e">
        <f t="shared" si="8"/>
        <v>#REF!</v>
      </c>
      <c r="D73" s="114" t="str">
        <f t="shared" si="9"/>
        <v/>
      </c>
      <c r="E73" s="116"/>
      <c r="F73" s="1"/>
    </row>
    <row r="74" spans="1:7" ht="16" thickBot="1" x14ac:dyDescent="0.2">
      <c r="A74" s="79"/>
      <c r="B74" s="113" t="e">
        <f>T_EcoMeasure_Measure_I5_8</f>
        <v>#REF!</v>
      </c>
      <c r="C74" s="66" t="e">
        <f t="shared" si="8"/>
        <v>#REF!</v>
      </c>
      <c r="D74" s="114" t="str">
        <f t="shared" si="9"/>
        <v/>
      </c>
      <c r="E74" s="116"/>
      <c r="F74" s="1"/>
      <c r="G74" s="44" t="str">
        <f>CONCATENATE(D67,D68,D69,D70,D71,D72,D73,D74)</f>
        <v/>
      </c>
    </row>
    <row r="75" spans="1:7" ht="16" x14ac:dyDescent="0.15">
      <c r="A75" s="71" t="s">
        <v>1022</v>
      </c>
      <c r="B75" s="110" t="e">
        <f>A_EditAccess_I</f>
        <v>#REF!</v>
      </c>
      <c r="C75" s="114" t="e">
        <f>VLOOKUP(B75,Relations!$I$1:$J$38,2,FALSE)</f>
        <v>#REF!</v>
      </c>
      <c r="D75" s="110" t="e">
        <f>IF(B63=0,"",IF(ISERROR(C75)=TRUE,"",C75))</f>
        <v>#REF!</v>
      </c>
      <c r="E75" s="110"/>
      <c r="F75" s="7" t="s">
        <v>843</v>
      </c>
      <c r="G75" s="23" t="e">
        <f>IF((D75=0),"",D75)</f>
        <v>#REF!</v>
      </c>
    </row>
    <row r="76" spans="1:7" ht="16" x14ac:dyDescent="0.15">
      <c r="A76" s="71" t="s">
        <v>1023</v>
      </c>
      <c r="B76" s="110" t="e">
        <f>A_PublishAccess_I</f>
        <v>#REF!</v>
      </c>
      <c r="C76" s="114" t="e">
        <f>VLOOKUP(B76,Relations!$I$1:$J$38,2,FALSE)</f>
        <v>#REF!</v>
      </c>
      <c r="D76" s="110" t="e">
        <f>IF(B63=0,"",IF(ISERROR(C76)=TRUE,"",C76))</f>
        <v>#REF!</v>
      </c>
      <c r="E76" s="110"/>
      <c r="F76" s="7" t="s">
        <v>843</v>
      </c>
      <c r="G76" s="23" t="e">
        <f>IF((D76=0),"",D76)</f>
        <v>#REF!</v>
      </c>
    </row>
    <row r="77" spans="1:7" ht="16" x14ac:dyDescent="0.15">
      <c r="A77" s="79" t="s">
        <v>1075</v>
      </c>
      <c r="B77" s="102" t="e">
        <f>T_EcoMeasure_Id_I6</f>
        <v>#REF!</v>
      </c>
      <c r="C77" s="110"/>
      <c r="D77" s="110"/>
      <c r="E77" s="110"/>
      <c r="F77" s="7" t="s">
        <v>837</v>
      </c>
      <c r="G77" s="17" t="e">
        <f>IF((B77=0),"",B77)</f>
        <v>#REF!</v>
      </c>
    </row>
    <row r="78" spans="1:7" ht="16" x14ac:dyDescent="0.15">
      <c r="A78" s="79" t="s">
        <v>1076</v>
      </c>
      <c r="B78" s="364" t="e">
        <f>T_EcoMeasure_Name_I6</f>
        <v>#REF!</v>
      </c>
      <c r="C78" s="365"/>
      <c r="D78" s="365"/>
      <c r="E78" s="366"/>
      <c r="F78" s="18" t="s">
        <v>839</v>
      </c>
      <c r="G78" s="23" t="e">
        <f>IF((B78=0),"",B78)</f>
        <v>#REF!</v>
      </c>
    </row>
    <row r="79" spans="1:7" ht="16" x14ac:dyDescent="0.15">
      <c r="A79" s="79" t="s">
        <v>1077</v>
      </c>
      <c r="B79" s="113" t="e">
        <f>A_ID_I</f>
        <v>#REF!</v>
      </c>
      <c r="C79" s="117"/>
      <c r="D79" s="110" t="e">
        <f>IF(B78=0,"",B79)</f>
        <v>#REF!</v>
      </c>
      <c r="E79" s="115"/>
      <c r="F79" s="18" t="s">
        <v>839</v>
      </c>
      <c r="G79" s="118" t="e">
        <f>IF((D79=0),"",D79)</f>
        <v>#REF!</v>
      </c>
    </row>
    <row r="80" spans="1:7" ht="16" x14ac:dyDescent="0.15">
      <c r="A80" s="111" t="s">
        <v>1078</v>
      </c>
      <c r="B80" t="e">
        <f>IF(T_EcoMeasure_Description_I6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6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80" s="25" t="e">
        <f>IF(B80="","",SUBSTITUTE(SUBSTITUTE(SUBSTITUTE(SUBSTITUTE(SUBSTITUTE(SUBSTITUTE(SUBSTITUTE(SUBSTITUTE(SUBSTITUTE(SUBSTITUTE(SUBSTITUTE(SUBSTITUTE(SUBSTITUTE(SUBSTITUTE(SUBSTITUTE(SUBSTITUTE(SUBSTITUTE(SUBSTITUTE(SUBSTITUTE(SUBSTITUTE(SUBSTITUTE(SUBSTITUTE(SUBSTITUTE(SUBSTITUTE(B80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80" s="25" t="e">
        <f>IF(C80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80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80" s="7" t="e">
        <f>IF((D80=""),"",SUBSTITUTE(SUBSTITUTE(D80,"
","&lt;/p&gt;&lt;p&gt;"),"
","&lt;br&gt;"))</f>
        <v>#REF!</v>
      </c>
      <c r="F80" s="18" t="s">
        <v>871</v>
      </c>
      <c r="G80" s="48" t="e">
        <f>IF(E80="","",E80)</f>
        <v>#REF!</v>
      </c>
    </row>
    <row r="81" spans="1:7" ht="16" x14ac:dyDescent="0.15">
      <c r="A81" s="79" t="s">
        <v>1079</v>
      </c>
      <c r="B81" s="112" t="e">
        <f>T_EcoMeasure_Enova_I6</f>
        <v>#REF!</v>
      </c>
      <c r="C81" s="27" t="e">
        <f>VLOOKUP(B81,Enumeration_Checkbox,2,FALSE)</f>
        <v>#REF!</v>
      </c>
      <c r="D81" s="102" t="e">
        <f>IF(C81=0,"",C81)</f>
        <v>#REF!</v>
      </c>
      <c r="E81" s="27"/>
      <c r="F81" s="7" t="s">
        <v>851</v>
      </c>
      <c r="G81" s="21" t="e">
        <f>CONCATENATE(D81)</f>
        <v>#REF!</v>
      </c>
    </row>
    <row r="82" spans="1:7" ht="16" x14ac:dyDescent="0.15">
      <c r="A82" s="79" t="s">
        <v>1080</v>
      </c>
      <c r="B82" s="113" t="e">
        <f>T_EcoMeasure_Measure_I6_1</f>
        <v>#REF!</v>
      </c>
      <c r="C82" s="66" t="e">
        <f t="shared" ref="C82:C89" si="10">LOOKUP(B82,Name_tbl_EcoMeasureTypes,Name_tbl_EcoMeasureTypes_Id)</f>
        <v>#REF!</v>
      </c>
      <c r="D82" s="114" t="str">
        <f>IF(ISERROR(C82)=TRUE,"",C82)</f>
        <v/>
      </c>
      <c r="E82" s="115"/>
      <c r="F82" s="22"/>
    </row>
    <row r="83" spans="1:7" ht="15" x14ac:dyDescent="0.15">
      <c r="A83" s="79"/>
      <c r="B83" s="113" t="e">
        <f>T_EcoMeasure_Measure_I6_2</f>
        <v>#REF!</v>
      </c>
      <c r="C83" s="66" t="e">
        <f t="shared" si="10"/>
        <v>#REF!</v>
      </c>
      <c r="D83" s="114" t="str">
        <f t="shared" ref="D83:D89" si="11">IF(ISERROR(C83)=TRUE,"",CONCATENATE(Deletegn,C83))</f>
        <v/>
      </c>
      <c r="E83" s="116"/>
      <c r="F83" s="1"/>
    </row>
    <row r="84" spans="1:7" ht="15" x14ac:dyDescent="0.15">
      <c r="A84" s="79"/>
      <c r="B84" s="113" t="e">
        <f>T_EcoMeasure_Measure_I6_3</f>
        <v>#REF!</v>
      </c>
      <c r="C84" s="66" t="e">
        <f t="shared" si="10"/>
        <v>#REF!</v>
      </c>
      <c r="D84" s="114" t="str">
        <f t="shared" si="11"/>
        <v/>
      </c>
      <c r="E84" s="116"/>
      <c r="F84" s="1"/>
    </row>
    <row r="85" spans="1:7" ht="15" x14ac:dyDescent="0.15">
      <c r="A85" s="79"/>
      <c r="B85" s="113" t="e">
        <f>T_EcoMeasure_Measure_I6_4</f>
        <v>#REF!</v>
      </c>
      <c r="C85" s="66" t="e">
        <f t="shared" si="10"/>
        <v>#REF!</v>
      </c>
      <c r="D85" s="114" t="str">
        <f t="shared" si="11"/>
        <v/>
      </c>
      <c r="E85" s="116"/>
      <c r="F85" s="1"/>
    </row>
    <row r="86" spans="1:7" ht="15" x14ac:dyDescent="0.15">
      <c r="A86" s="79"/>
      <c r="B86" s="113" t="e">
        <f>T_EcoMeasure_Measure_I6_5</f>
        <v>#REF!</v>
      </c>
      <c r="C86" s="66" t="e">
        <f t="shared" si="10"/>
        <v>#REF!</v>
      </c>
      <c r="D86" s="114" t="str">
        <f t="shared" si="11"/>
        <v/>
      </c>
      <c r="E86" s="116"/>
      <c r="F86" s="1"/>
    </row>
    <row r="87" spans="1:7" ht="15" x14ac:dyDescent="0.15">
      <c r="A87" s="79"/>
      <c r="B87" s="113" t="e">
        <f>T_EcoMeasure_Measure_I6_6</f>
        <v>#REF!</v>
      </c>
      <c r="C87" s="66" t="e">
        <f t="shared" si="10"/>
        <v>#REF!</v>
      </c>
      <c r="D87" s="114" t="str">
        <f t="shared" si="11"/>
        <v/>
      </c>
      <c r="E87" s="116"/>
      <c r="F87" s="1"/>
    </row>
    <row r="88" spans="1:7" ht="15" x14ac:dyDescent="0.15">
      <c r="A88" s="79"/>
      <c r="B88" s="113" t="e">
        <f>T_EcoMeasure_Measure_I6_7</f>
        <v>#REF!</v>
      </c>
      <c r="C88" s="66" t="e">
        <f t="shared" si="10"/>
        <v>#REF!</v>
      </c>
      <c r="D88" s="114" t="str">
        <f t="shared" si="11"/>
        <v/>
      </c>
      <c r="E88" s="116"/>
      <c r="F88" s="1"/>
    </row>
    <row r="89" spans="1:7" ht="16" thickBot="1" x14ac:dyDescent="0.2">
      <c r="A89" s="79"/>
      <c r="B89" s="113" t="e">
        <f>T_EcoMeasure_Measure_I6_8</f>
        <v>#REF!</v>
      </c>
      <c r="C89" s="66" t="e">
        <f t="shared" si="10"/>
        <v>#REF!</v>
      </c>
      <c r="D89" s="114" t="str">
        <f t="shared" si="11"/>
        <v/>
      </c>
      <c r="E89" s="116"/>
      <c r="F89" s="1"/>
      <c r="G89" s="44" t="str">
        <f>CONCATENATE(D82,D83,D84,D85,D86,D87,D88,D89)</f>
        <v/>
      </c>
    </row>
    <row r="90" spans="1:7" ht="16" x14ac:dyDescent="0.15">
      <c r="A90" s="71" t="s">
        <v>1022</v>
      </c>
      <c r="B90" s="110" t="e">
        <f>A_EditAccess_I</f>
        <v>#REF!</v>
      </c>
      <c r="C90" s="114" t="e">
        <f>VLOOKUP(B90,Relations!$I$1:$J$38,2,FALSE)</f>
        <v>#REF!</v>
      </c>
      <c r="D90" s="110" t="e">
        <f>IF(B78=0,"",IF(ISERROR(C90)=TRUE,"",C90))</f>
        <v>#REF!</v>
      </c>
      <c r="E90" s="110"/>
      <c r="F90" s="7" t="s">
        <v>843</v>
      </c>
      <c r="G90" s="23" t="e">
        <f>IF((D90=0),"",D90)</f>
        <v>#REF!</v>
      </c>
    </row>
    <row r="91" spans="1:7" ht="16" x14ac:dyDescent="0.15">
      <c r="A91" s="71" t="s">
        <v>1023</v>
      </c>
      <c r="B91" s="110" t="e">
        <f>A_PublishAccess_I</f>
        <v>#REF!</v>
      </c>
      <c r="C91" s="114" t="e">
        <f>VLOOKUP(B91,Relations!$I$1:$J$38,2,FALSE)</f>
        <v>#REF!</v>
      </c>
      <c r="D91" s="110" t="e">
        <f>IF(B78=0,"",IF(ISERROR(C91)=TRUE,"",C91))</f>
        <v>#REF!</v>
      </c>
      <c r="E91" s="110"/>
      <c r="F91" s="7" t="s">
        <v>843</v>
      </c>
      <c r="G91" s="23" t="e">
        <f>IF((D91=0),"",D91)</f>
        <v>#REF!</v>
      </c>
    </row>
    <row r="92" spans="1:7" ht="16" x14ac:dyDescent="0.15">
      <c r="A92" s="79" t="s">
        <v>1081</v>
      </c>
      <c r="B92" s="102" t="e">
        <f>T_EcoMeasure_Id_I7</f>
        <v>#REF!</v>
      </c>
      <c r="C92" s="110"/>
      <c r="D92" s="110"/>
      <c r="E92" s="110"/>
      <c r="F92" s="7" t="s">
        <v>837</v>
      </c>
      <c r="G92" s="17" t="e">
        <f>IF((B92=0),"",B92)</f>
        <v>#REF!</v>
      </c>
    </row>
    <row r="93" spans="1:7" ht="16" x14ac:dyDescent="0.15">
      <c r="A93" s="79" t="s">
        <v>1082</v>
      </c>
      <c r="B93" s="364" t="e">
        <f>T_EcoMeasure_Name_I7</f>
        <v>#REF!</v>
      </c>
      <c r="C93" s="365"/>
      <c r="D93" s="365"/>
      <c r="E93" s="366"/>
      <c r="F93" s="18" t="s">
        <v>839</v>
      </c>
      <c r="G93" s="23" t="e">
        <f>IF((B93=0),"",B93)</f>
        <v>#REF!</v>
      </c>
    </row>
    <row r="94" spans="1:7" ht="16" x14ac:dyDescent="0.15">
      <c r="A94" s="79" t="s">
        <v>1083</v>
      </c>
      <c r="B94" s="113" t="e">
        <f>A_ID_I</f>
        <v>#REF!</v>
      </c>
      <c r="C94" s="117"/>
      <c r="D94" s="110" t="e">
        <f>IF(B93=0,"",B94)</f>
        <v>#REF!</v>
      </c>
      <c r="E94" s="115"/>
      <c r="F94" s="18" t="s">
        <v>839</v>
      </c>
      <c r="G94" s="118" t="e">
        <f>IF((D94=0),"",D94)</f>
        <v>#REF!</v>
      </c>
    </row>
    <row r="95" spans="1:7" ht="16" x14ac:dyDescent="0.15">
      <c r="A95" s="111" t="s">
        <v>1084</v>
      </c>
      <c r="B95" t="e">
        <f>IF(T_EcoMeasure_Description_I7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7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95" s="25" t="e">
        <f>IF(B95="","",SUBSTITUTE(SUBSTITUTE(SUBSTITUTE(SUBSTITUTE(SUBSTITUTE(SUBSTITUTE(SUBSTITUTE(SUBSTITUTE(SUBSTITUTE(SUBSTITUTE(SUBSTITUTE(SUBSTITUTE(SUBSTITUTE(SUBSTITUTE(SUBSTITUTE(SUBSTITUTE(SUBSTITUTE(SUBSTITUTE(SUBSTITUTE(SUBSTITUTE(SUBSTITUTE(SUBSTITUTE(SUBSTITUTE(SUBSTITUTE(B95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95" s="25" t="e">
        <f>IF(C95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95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95" s="7" t="e">
        <f>IF((D95=""),"",SUBSTITUTE(SUBSTITUTE(D95,"
","&lt;/p&gt;&lt;p&gt;"),"
","&lt;br&gt;"))</f>
        <v>#REF!</v>
      </c>
      <c r="F95" s="18" t="s">
        <v>871</v>
      </c>
      <c r="G95" s="48" t="e">
        <f>IF(E95="","",E95)</f>
        <v>#REF!</v>
      </c>
    </row>
    <row r="96" spans="1:7" ht="16" x14ac:dyDescent="0.15">
      <c r="A96" s="79" t="s">
        <v>1085</v>
      </c>
      <c r="B96" s="112" t="e">
        <f>T_EcoMeasure_Enova_I7</f>
        <v>#REF!</v>
      </c>
      <c r="C96" s="27" t="e">
        <f>VLOOKUP(B96,Enumeration_Checkbox,2,FALSE)</f>
        <v>#REF!</v>
      </c>
      <c r="D96" s="102" t="e">
        <f>IF(C96=0,"",C96)</f>
        <v>#REF!</v>
      </c>
      <c r="E96" s="27"/>
      <c r="F96" s="7" t="s">
        <v>851</v>
      </c>
      <c r="G96" s="21" t="e">
        <f>CONCATENATE(D96)</f>
        <v>#REF!</v>
      </c>
    </row>
    <row r="97" spans="1:7" ht="16" x14ac:dyDescent="0.15">
      <c r="A97" s="79" t="s">
        <v>1086</v>
      </c>
      <c r="B97" s="113" t="e">
        <f>T_EcoMeasure_Measure_I7_1</f>
        <v>#REF!</v>
      </c>
      <c r="C97" s="66" t="e">
        <f t="shared" ref="C97:C104" si="12">LOOKUP(B97,Name_tbl_EcoMeasureTypes,Name_tbl_EcoMeasureTypes_Id)</f>
        <v>#REF!</v>
      </c>
      <c r="D97" s="114" t="str">
        <f>IF(ISERROR(C97)=TRUE,"",C97)</f>
        <v/>
      </c>
      <c r="E97" s="115"/>
      <c r="F97" s="22"/>
    </row>
    <row r="98" spans="1:7" ht="15" x14ac:dyDescent="0.15">
      <c r="A98" s="79"/>
      <c r="B98" s="113" t="e">
        <f>T_EcoMeasure_Measure_I7_2</f>
        <v>#REF!</v>
      </c>
      <c r="C98" s="66" t="e">
        <f t="shared" si="12"/>
        <v>#REF!</v>
      </c>
      <c r="D98" s="114" t="str">
        <f t="shared" ref="D98:D104" si="13">IF(ISERROR(C98)=TRUE,"",CONCATENATE(Deletegn,C98))</f>
        <v/>
      </c>
      <c r="E98" s="116"/>
      <c r="F98" s="1"/>
    </row>
    <row r="99" spans="1:7" ht="15" x14ac:dyDescent="0.15">
      <c r="A99" s="79"/>
      <c r="B99" s="113" t="e">
        <f>T_EcoMeasure_Measure_I7_3</f>
        <v>#REF!</v>
      </c>
      <c r="C99" s="66" t="e">
        <f t="shared" si="12"/>
        <v>#REF!</v>
      </c>
      <c r="D99" s="114" t="str">
        <f t="shared" si="13"/>
        <v/>
      </c>
      <c r="E99" s="116"/>
      <c r="F99" s="1"/>
    </row>
    <row r="100" spans="1:7" ht="15" x14ac:dyDescent="0.15">
      <c r="A100" s="79"/>
      <c r="B100" s="113" t="e">
        <f>T_EcoMeasure_Measure_I7_4</f>
        <v>#REF!</v>
      </c>
      <c r="C100" s="66" t="e">
        <f t="shared" si="12"/>
        <v>#REF!</v>
      </c>
      <c r="D100" s="114" t="str">
        <f t="shared" si="13"/>
        <v/>
      </c>
      <c r="E100" s="116"/>
      <c r="F100" s="1"/>
    </row>
    <row r="101" spans="1:7" ht="15" x14ac:dyDescent="0.15">
      <c r="A101" s="79"/>
      <c r="B101" s="113" t="e">
        <f>T_EcoMeasure_Measure_I7_5</f>
        <v>#REF!</v>
      </c>
      <c r="C101" s="66" t="e">
        <f t="shared" si="12"/>
        <v>#REF!</v>
      </c>
      <c r="D101" s="114" t="str">
        <f t="shared" si="13"/>
        <v/>
      </c>
      <c r="E101" s="116"/>
      <c r="F101" s="1"/>
    </row>
    <row r="102" spans="1:7" ht="15" x14ac:dyDescent="0.15">
      <c r="A102" s="79"/>
      <c r="B102" s="113" t="e">
        <f>T_EcoMeasure_Measure_I7_6</f>
        <v>#REF!</v>
      </c>
      <c r="C102" s="66" t="e">
        <f t="shared" si="12"/>
        <v>#REF!</v>
      </c>
      <c r="D102" s="114" t="str">
        <f t="shared" si="13"/>
        <v/>
      </c>
      <c r="E102" s="116"/>
      <c r="F102" s="1"/>
    </row>
    <row r="103" spans="1:7" ht="15" x14ac:dyDescent="0.15">
      <c r="A103" s="79"/>
      <c r="B103" s="113" t="e">
        <f>T_EcoMeasure_Measure_I7_7</f>
        <v>#REF!</v>
      </c>
      <c r="C103" s="66" t="e">
        <f t="shared" si="12"/>
        <v>#REF!</v>
      </c>
      <c r="D103" s="114" t="str">
        <f t="shared" si="13"/>
        <v/>
      </c>
      <c r="E103" s="116"/>
      <c r="F103" s="1"/>
    </row>
    <row r="104" spans="1:7" ht="16" thickBot="1" x14ac:dyDescent="0.2">
      <c r="A104" s="79"/>
      <c r="B104" s="113" t="e">
        <f>T_EcoMeasure_Measure_I7_8</f>
        <v>#REF!</v>
      </c>
      <c r="C104" s="66" t="e">
        <f t="shared" si="12"/>
        <v>#REF!</v>
      </c>
      <c r="D104" s="114" t="str">
        <f t="shared" si="13"/>
        <v/>
      </c>
      <c r="E104" s="116"/>
      <c r="F104" s="1"/>
      <c r="G104" s="44" t="str">
        <f>CONCATENATE(D97,D98,D99,D100,D101,D102,D103,D104)</f>
        <v/>
      </c>
    </row>
    <row r="105" spans="1:7" ht="16" x14ac:dyDescent="0.15">
      <c r="A105" s="71" t="s">
        <v>1022</v>
      </c>
      <c r="B105" s="110" t="e">
        <f>A_EditAccess_I</f>
        <v>#REF!</v>
      </c>
      <c r="C105" s="114" t="e">
        <f>VLOOKUP(B105,Relations!$I$1:$J$38,2,FALSE)</f>
        <v>#REF!</v>
      </c>
      <c r="D105" s="110" t="e">
        <f>IF(B93=0,"",IF(ISERROR(C105)=TRUE,"",C105))</f>
        <v>#REF!</v>
      </c>
      <c r="E105" s="110"/>
      <c r="F105" s="7" t="s">
        <v>843</v>
      </c>
      <c r="G105" s="23" t="e">
        <f>IF((D105=0),"",D105)</f>
        <v>#REF!</v>
      </c>
    </row>
    <row r="106" spans="1:7" ht="16" x14ac:dyDescent="0.15">
      <c r="A106" s="71" t="s">
        <v>1023</v>
      </c>
      <c r="B106" s="110" t="e">
        <f>A_PublishAccess_I</f>
        <v>#REF!</v>
      </c>
      <c r="C106" s="114" t="e">
        <f>VLOOKUP(B106,Relations!$I$1:$J$38,2,FALSE)</f>
        <v>#REF!</v>
      </c>
      <c r="D106" s="110" t="e">
        <f>IF(B93=0,"",IF(ISERROR(C106)=TRUE,"",C106))</f>
        <v>#REF!</v>
      </c>
      <c r="E106" s="110"/>
      <c r="F106" s="7" t="s">
        <v>843</v>
      </c>
      <c r="G106" s="23" t="e">
        <f>IF((D106=0),"",D106)</f>
        <v>#REF!</v>
      </c>
    </row>
    <row r="107" spans="1:7" ht="16" x14ac:dyDescent="0.15">
      <c r="A107" s="79" t="s">
        <v>1087</v>
      </c>
      <c r="B107" s="102" t="e">
        <f>T_EcoMeasure_Id_I8</f>
        <v>#REF!</v>
      </c>
      <c r="C107" s="110"/>
      <c r="D107" s="110"/>
      <c r="E107" s="110"/>
      <c r="F107" s="7" t="s">
        <v>837</v>
      </c>
      <c r="G107" s="17" t="e">
        <f>IF((B107=0),"",B107)</f>
        <v>#REF!</v>
      </c>
    </row>
    <row r="108" spans="1:7" ht="16" x14ac:dyDescent="0.15">
      <c r="A108" s="79" t="s">
        <v>1088</v>
      </c>
      <c r="B108" s="364" t="e">
        <f>T_EcoMeasure_Name_I8</f>
        <v>#REF!</v>
      </c>
      <c r="C108" s="365"/>
      <c r="D108" s="365"/>
      <c r="E108" s="366"/>
      <c r="F108" s="18" t="s">
        <v>839</v>
      </c>
      <c r="G108" s="23" t="e">
        <f>IF((B108=0),"",B108)</f>
        <v>#REF!</v>
      </c>
    </row>
    <row r="109" spans="1:7" ht="16" x14ac:dyDescent="0.15">
      <c r="A109" s="79" t="s">
        <v>1089</v>
      </c>
      <c r="B109" s="113" t="e">
        <f>A_ID_I</f>
        <v>#REF!</v>
      </c>
      <c r="C109" s="117"/>
      <c r="D109" s="110" t="e">
        <f>IF(B108=0,"",B109)</f>
        <v>#REF!</v>
      </c>
      <c r="E109" s="115"/>
      <c r="F109" s="18" t="s">
        <v>839</v>
      </c>
      <c r="G109" s="118" t="e">
        <f>IF((D109=0),"",D109)</f>
        <v>#REF!</v>
      </c>
    </row>
    <row r="110" spans="1:7" ht="16" x14ac:dyDescent="0.15">
      <c r="A110" s="111" t="s">
        <v>1090</v>
      </c>
      <c r="B110" t="e">
        <f>IF(T_EcoMeasure_Description_I8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T_EcoMeasure_Description_I8,"&lt;","&amp;lt;"),"&gt;","&amp;gt;"),"′","&amp;prime;"),"″","&amp;Prime;"),"≤","&amp;le;"),"≥","&amp;ge;"),"‾","&amp;oline;"),"−","&amp;minus;"),"⁄","&amp;frasl;"),"∫","&amp;int;"),"∑","&amp;sum;"),"∞","&amp;infin;"),"√","&amp;radic;"),"≈","&amp;asymp;"),"≠","&amp;ne;"),"≡","&amp;equiv;"),"∏","&amp;prod;"),"∩","&amp;cap;"),"∂","&amp;part;"),"←","&amp;larr;"),"↑","&amp;uarr;"),"→","&amp;rarr;"),"↓","&amp;darr;"),"↔","&amp;harr;"),"◊","&amp;loz;"),"♠","&amp;spades;"),"♣","&amp;clubs;"),"♥","&amp;hearts;"),"♦","&amp;diams;"))</f>
        <v>#REF!</v>
      </c>
      <c r="C110" s="25" t="e">
        <f>IF(B110="","",SUBSTITUTE(SUBSTITUTE(SUBSTITUTE(SUBSTITUTE(SUBSTITUTE(SUBSTITUTE(SUBSTITUTE(SUBSTITUTE(SUBSTITUTE(SUBSTITUTE(SUBSTITUTE(SUBSTITUTE(SUBSTITUTE(SUBSTITUTE(SUBSTITUTE(SUBSTITUTE(SUBSTITUTE(SUBSTITUTE(SUBSTITUTE(SUBSTITUTE(SUBSTITUTE(SUBSTITUTE(SUBSTITUTE(SUBSTITUTE(B110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Σ","&amp;Sigma;"),"Τ","&amp;Tau;"),"Υ","&amp;Upsilon;"),"Φ","&amp;Phi;"),"Χ","&amp;Chi;"),"Ψ","&amp;Psi;"),"Ω","&amp;Omega;"))</f>
        <v>#REF!</v>
      </c>
      <c r="D110" s="25" t="e">
        <f>IF(C110="","",SUBSTITUTE(SUBSTITUTE(SUBSTITUTE(SUBSTITUTE(SUBSTITUTE(SUBSTITUTE(SUBSTITUTE(SUBSTITUTE(SUBSTITUTE(SUBSTITUTE(SUBSTITUTE(SUBSTITUTE(SUBSTITUTE(SUBSTITUTE(SUBSTITUTE(SUBSTITUTE(SUBSTITUTE(SUBSTITUTE(SUBSTITUTE(SUBSTITUTE(SUBSTITUTE(SUBSTITUTE(SUBSTITUTE(SUBSTITUTE(SUBSTITUTE(C110,"α","&amp;alpha;"),"β","&amp;beta;"),"γ","&amp;gamma;"),"δ","&amp;delta;"),"ε","&amp;epsilon;"),"ζ","&amp;zeta;"),"η","&amp;eta;"),"θ","&amp;theta;"),"ι","&amp;iota;"),"κ","&amp;kappa;"),"λ","&amp;lambda;"),"μ","&amp;mu;"),"ν","&amp;nu;"),"ξ","&amp;xi;"),"ο","&amp;omicron;"),"π","&amp;pi;"),"ρ","&amp;rho;"),"ς","&amp;sigmaf;"),"σ","&amp;sigma;"),"τ","&amp;tau;"),"υ","&amp;upsilon;"),"φ","&amp;phi;"),"χ","&amp;chi;"),"ψ","&amp;psi;"),"ω","&amp;omega;"))</f>
        <v>#REF!</v>
      </c>
      <c r="E110" s="7" t="e">
        <f>IF((D110=""),"",SUBSTITUTE(SUBSTITUTE(D110,"
","&lt;/p&gt;&lt;p&gt;"),"
","&lt;br&gt;"))</f>
        <v>#REF!</v>
      </c>
      <c r="F110" s="18" t="s">
        <v>871</v>
      </c>
      <c r="G110" s="48" t="e">
        <f>IF(E110="","",E110)</f>
        <v>#REF!</v>
      </c>
    </row>
    <row r="111" spans="1:7" ht="16" x14ac:dyDescent="0.15">
      <c r="A111" s="79" t="s">
        <v>1091</v>
      </c>
      <c r="B111" s="112" t="e">
        <f>T_EcoMeasure_Enova_I8</f>
        <v>#REF!</v>
      </c>
      <c r="C111" s="27" t="e">
        <f>VLOOKUP(B111,Enumeration_Checkbox,2,FALSE)</f>
        <v>#REF!</v>
      </c>
      <c r="D111" s="102" t="e">
        <f>IF(C111=0,"",C111)</f>
        <v>#REF!</v>
      </c>
      <c r="E111" s="27"/>
      <c r="F111" s="7" t="s">
        <v>851</v>
      </c>
      <c r="G111" s="21" t="e">
        <f>CONCATENATE(D111)</f>
        <v>#REF!</v>
      </c>
    </row>
    <row r="112" spans="1:7" ht="16" x14ac:dyDescent="0.15">
      <c r="A112" s="79" t="s">
        <v>1092</v>
      </c>
      <c r="B112" s="113" t="e">
        <f>T_EcoMeasure_Measure_I8_1</f>
        <v>#REF!</v>
      </c>
      <c r="C112" s="66" t="e">
        <f t="shared" ref="C112:C119" si="14">LOOKUP(B112,Name_tbl_EcoMeasureTypes,Name_tbl_EcoMeasureTypes_Id)</f>
        <v>#REF!</v>
      </c>
      <c r="D112" s="114" t="str">
        <f>IF(ISERROR(C112)=TRUE,"",C112)</f>
        <v/>
      </c>
      <c r="E112" s="115"/>
      <c r="F112" s="22"/>
    </row>
    <row r="113" spans="1:7" ht="15" x14ac:dyDescent="0.15">
      <c r="A113" s="79"/>
      <c r="B113" s="113" t="e">
        <f>T_EcoMeasure_Measure_I8_2</f>
        <v>#REF!</v>
      </c>
      <c r="C113" s="66" t="e">
        <f t="shared" si="14"/>
        <v>#REF!</v>
      </c>
      <c r="D113" s="114" t="str">
        <f t="shared" ref="D113:D119" si="15">IF(ISERROR(C113)=TRUE,"",CONCATENATE(Deletegn,C113))</f>
        <v/>
      </c>
      <c r="E113" s="116"/>
      <c r="F113" s="1"/>
    </row>
    <row r="114" spans="1:7" ht="15" x14ac:dyDescent="0.15">
      <c r="A114" s="79"/>
      <c r="B114" s="113" t="e">
        <f>T_EcoMeasure_Measure_I8_3</f>
        <v>#REF!</v>
      </c>
      <c r="C114" s="66" t="e">
        <f t="shared" si="14"/>
        <v>#REF!</v>
      </c>
      <c r="D114" s="114" t="str">
        <f t="shared" si="15"/>
        <v/>
      </c>
      <c r="E114" s="116"/>
      <c r="F114" s="1"/>
    </row>
    <row r="115" spans="1:7" ht="15" x14ac:dyDescent="0.15">
      <c r="A115" s="79"/>
      <c r="B115" s="113" t="e">
        <f>T_EcoMeasure_Measure_I8_4</f>
        <v>#REF!</v>
      </c>
      <c r="C115" s="66" t="e">
        <f t="shared" si="14"/>
        <v>#REF!</v>
      </c>
      <c r="D115" s="114" t="str">
        <f t="shared" si="15"/>
        <v/>
      </c>
      <c r="E115" s="116"/>
      <c r="F115" s="1"/>
    </row>
    <row r="116" spans="1:7" ht="15" x14ac:dyDescent="0.15">
      <c r="A116" s="79"/>
      <c r="B116" s="113" t="e">
        <f>T_EcoMeasure_Measure_I8_5</f>
        <v>#REF!</v>
      </c>
      <c r="C116" s="66" t="e">
        <f t="shared" si="14"/>
        <v>#REF!</v>
      </c>
      <c r="D116" s="114" t="str">
        <f t="shared" si="15"/>
        <v/>
      </c>
      <c r="E116" s="116"/>
      <c r="F116" s="1"/>
    </row>
    <row r="117" spans="1:7" ht="15" x14ac:dyDescent="0.15">
      <c r="A117" s="79"/>
      <c r="B117" s="113" t="e">
        <f>T_EcoMeasure_Measure_I8_6</f>
        <v>#REF!</v>
      </c>
      <c r="C117" s="66" t="e">
        <f t="shared" si="14"/>
        <v>#REF!</v>
      </c>
      <c r="D117" s="114" t="str">
        <f t="shared" si="15"/>
        <v/>
      </c>
      <c r="E117" s="116"/>
      <c r="F117" s="1"/>
    </row>
    <row r="118" spans="1:7" ht="15" x14ac:dyDescent="0.15">
      <c r="A118" s="79"/>
      <c r="B118" s="113" t="e">
        <f>T_EcoMeasure_Measure_I8_7</f>
        <v>#REF!</v>
      </c>
      <c r="C118" s="66" t="e">
        <f t="shared" si="14"/>
        <v>#REF!</v>
      </c>
      <c r="D118" s="114" t="str">
        <f t="shared" si="15"/>
        <v/>
      </c>
      <c r="E118" s="116"/>
      <c r="F118" s="1"/>
    </row>
    <row r="119" spans="1:7" ht="16" thickBot="1" x14ac:dyDescent="0.2">
      <c r="A119" s="79"/>
      <c r="B119" s="113" t="e">
        <f>T_EcoMeasure_Measure_I8_8</f>
        <v>#REF!</v>
      </c>
      <c r="C119" s="66" t="e">
        <f t="shared" si="14"/>
        <v>#REF!</v>
      </c>
      <c r="D119" s="114" t="str">
        <f t="shared" si="15"/>
        <v/>
      </c>
      <c r="E119" s="116"/>
      <c r="F119" s="1"/>
      <c r="G119" s="44" t="str">
        <f>CONCATENATE(D112,D113,D114,D115,D116,D117,D118,D119)</f>
        <v/>
      </c>
    </row>
    <row r="120" spans="1:7" ht="16" x14ac:dyDescent="0.15">
      <c r="A120" s="71" t="s">
        <v>1022</v>
      </c>
      <c r="B120" s="110" t="e">
        <f>A_EditAccess_I</f>
        <v>#REF!</v>
      </c>
      <c r="C120" s="114" t="e">
        <f>VLOOKUP(B120,Relations!$I$1:$J$38,2,FALSE)</f>
        <v>#REF!</v>
      </c>
      <c r="D120" s="110" t="e">
        <f>IF(B108=0,"",IF(ISERROR(C120)=TRUE,"",C120))</f>
        <v>#REF!</v>
      </c>
      <c r="E120" s="110"/>
      <c r="F120" s="7" t="s">
        <v>843</v>
      </c>
      <c r="G120" s="23" t="e">
        <f>IF((D120=0),"",D120)</f>
        <v>#REF!</v>
      </c>
    </row>
    <row r="121" spans="1:7" ht="16" x14ac:dyDescent="0.15">
      <c r="A121" s="71" t="s">
        <v>1023</v>
      </c>
      <c r="B121" s="110" t="e">
        <f>A_PublishAccess_I</f>
        <v>#REF!</v>
      </c>
      <c r="C121" s="114" t="e">
        <f>VLOOKUP(B121,Relations!$I$1:$J$38,2,FALSE)</f>
        <v>#REF!</v>
      </c>
      <c r="D121" s="110" t="e">
        <f>IF(B108=0,"",IF(ISERROR(C121)=TRUE,"",C121))</f>
        <v>#REF!</v>
      </c>
      <c r="E121" s="110"/>
      <c r="F121" s="7" t="s">
        <v>843</v>
      </c>
      <c r="G121" s="23" t="e">
        <f>IF((D121=0),"",D121)</f>
        <v>#REF!</v>
      </c>
    </row>
  </sheetData>
  <sheetProtection password="D9F3" sheet="1" objects="1" scenarios="1"/>
  <mergeCells count="8">
    <mergeCell ref="B3:E3"/>
    <mergeCell ref="B18:E18"/>
    <mergeCell ref="B63:E63"/>
    <mergeCell ref="B108:E108"/>
    <mergeCell ref="B78:E78"/>
    <mergeCell ref="B93:E93"/>
    <mergeCell ref="B33:E33"/>
    <mergeCell ref="B48:E48"/>
  </mergeCells>
  <phoneticPr fontId="4" type="noConversion"/>
  <dataValidations disablePrompts="1" count="1">
    <dataValidation allowBlank="1" showInputMessage="1" showErrorMessage="1" prompt="Velg fra rullemenyen" sqref="B6 B21 B36 B51 B66 B81 B96 B111" xr:uid="{00000000-0002-0000-0900-000000000000}"/>
  </dataValidations>
  <pageMargins left="0.78740157499999996" right="0.78740157499999996" top="1" bottom="1" header="0.5" footer="0.5"/>
  <pageSetup orientation="portrait" verticalDpi="60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0"/>
  <dimension ref="A1:FC2"/>
  <sheetViews>
    <sheetView topLeftCell="EL1" workbookViewId="0">
      <selection activeCell="EY2" sqref="EY2"/>
    </sheetView>
  </sheetViews>
  <sheetFormatPr baseColWidth="10" defaultColWidth="11" defaultRowHeight="13" x14ac:dyDescent="0.15"/>
  <cols>
    <col min="4" max="4" width="18.33203125" customWidth="1"/>
    <col min="5" max="5" width="14.33203125" customWidth="1"/>
    <col min="6" max="6" width="14.1640625" customWidth="1"/>
    <col min="20" max="20" width="14.83203125" customWidth="1"/>
    <col min="31" max="31" width="20.1640625" customWidth="1"/>
    <col min="43" max="43" width="42.1640625" customWidth="1"/>
    <col min="49" max="49" width="10.6640625" customWidth="1"/>
    <col min="50" max="50" width="10.83203125" customWidth="1"/>
  </cols>
  <sheetData>
    <row r="1" spans="1:159" ht="41.25" customHeight="1" x14ac:dyDescent="0.15">
      <c r="A1" s="13" t="s">
        <v>168</v>
      </c>
      <c r="B1" s="13" t="s">
        <v>838</v>
      </c>
      <c r="C1" s="13" t="s">
        <v>840</v>
      </c>
      <c r="D1" s="13" t="s">
        <v>841</v>
      </c>
      <c r="E1" s="13" t="s">
        <v>842</v>
      </c>
      <c r="F1" s="13" t="s">
        <v>844</v>
      </c>
      <c r="G1" s="13" t="s">
        <v>846</v>
      </c>
      <c r="H1" s="13" t="s">
        <v>163</v>
      </c>
      <c r="I1" s="13" t="s">
        <v>850</v>
      </c>
      <c r="J1" s="13" t="s">
        <v>853</v>
      </c>
      <c r="K1" s="13" t="s">
        <v>854</v>
      </c>
      <c r="L1" s="13" t="s">
        <v>855</v>
      </c>
      <c r="M1" s="13" t="s">
        <v>856</v>
      </c>
      <c r="N1" s="13" t="s">
        <v>857</v>
      </c>
      <c r="O1" s="13" t="s">
        <v>859</v>
      </c>
      <c r="P1" s="13" t="s">
        <v>860</v>
      </c>
      <c r="Q1" s="13" t="s">
        <v>862</v>
      </c>
      <c r="R1" s="13" t="s">
        <v>863</v>
      </c>
      <c r="S1" s="13" t="s">
        <v>864</v>
      </c>
      <c r="T1" s="95" t="s">
        <v>865</v>
      </c>
      <c r="U1" s="95" t="s">
        <v>867</v>
      </c>
      <c r="V1" s="95" t="s">
        <v>869</v>
      </c>
      <c r="W1" s="13" t="s">
        <v>870</v>
      </c>
      <c r="X1" s="13" t="s">
        <v>872</v>
      </c>
      <c r="Y1" s="13" t="s">
        <v>873</v>
      </c>
      <c r="Z1" s="13" t="s">
        <v>874</v>
      </c>
      <c r="AA1" s="13" t="s">
        <v>876</v>
      </c>
      <c r="AB1" s="13" t="s">
        <v>877</v>
      </c>
      <c r="AC1" s="13" t="s">
        <v>878</v>
      </c>
      <c r="AD1" s="13" t="s">
        <v>879</v>
      </c>
      <c r="AE1" s="13" t="s">
        <v>880</v>
      </c>
      <c r="AF1" s="13" t="s">
        <v>881</v>
      </c>
      <c r="AG1" s="13" t="s">
        <v>882</v>
      </c>
      <c r="AH1" s="13" t="s">
        <v>883</v>
      </c>
      <c r="AI1" s="13" t="s">
        <v>884</v>
      </c>
      <c r="AJ1" s="13" t="s">
        <v>166</v>
      </c>
      <c r="AK1" s="13" t="s">
        <v>885</v>
      </c>
      <c r="AL1" s="13" t="s">
        <v>886</v>
      </c>
      <c r="AM1" s="13" t="s">
        <v>887</v>
      </c>
      <c r="AN1" s="13" t="s">
        <v>888</v>
      </c>
      <c r="AO1" s="13" t="s">
        <v>889</v>
      </c>
      <c r="AP1" s="95" t="s">
        <v>890</v>
      </c>
      <c r="AQ1" s="13" t="s">
        <v>891</v>
      </c>
      <c r="AR1" s="13" t="s">
        <v>892</v>
      </c>
      <c r="AS1" s="13" t="s">
        <v>893</v>
      </c>
      <c r="AT1" s="13" t="s">
        <v>894</v>
      </c>
      <c r="AU1" s="13" t="s">
        <v>895</v>
      </c>
      <c r="AV1" s="13" t="s">
        <v>164</v>
      </c>
      <c r="AW1" s="13" t="s">
        <v>1093</v>
      </c>
      <c r="AX1" s="13" t="s">
        <v>899</v>
      </c>
      <c r="AY1" s="13" t="s">
        <v>900</v>
      </c>
      <c r="AZ1" s="13" t="s">
        <v>161</v>
      </c>
      <c r="BA1" s="13" t="s">
        <v>162</v>
      </c>
      <c r="BB1" s="13" t="s">
        <v>901</v>
      </c>
      <c r="BC1" s="13" t="s">
        <v>902</v>
      </c>
      <c r="BD1" s="13" t="s">
        <v>903</v>
      </c>
      <c r="BE1" s="13" t="s">
        <v>904</v>
      </c>
      <c r="BF1" s="13" t="s">
        <v>905</v>
      </c>
      <c r="BG1" s="13" t="s">
        <v>906</v>
      </c>
      <c r="BH1" s="13" t="s">
        <v>907</v>
      </c>
      <c r="BI1" s="13" t="s">
        <v>908</v>
      </c>
      <c r="BJ1" s="13" t="s">
        <v>909</v>
      </c>
      <c r="BK1" s="13" t="s">
        <v>910</v>
      </c>
      <c r="BL1" s="13" t="s">
        <v>911</v>
      </c>
      <c r="BM1" s="13" t="s">
        <v>912</v>
      </c>
      <c r="BN1" s="13" t="s">
        <v>913</v>
      </c>
      <c r="BO1" s="13" t="s">
        <v>914</v>
      </c>
      <c r="BP1" s="13" t="s">
        <v>915</v>
      </c>
      <c r="BQ1" s="13" t="s">
        <v>916</v>
      </c>
      <c r="BR1" s="13" t="s">
        <v>917</v>
      </c>
      <c r="BS1" s="13" t="s">
        <v>918</v>
      </c>
      <c r="BT1" s="13" t="s">
        <v>919</v>
      </c>
      <c r="BU1" s="13" t="s">
        <v>920</v>
      </c>
      <c r="BV1" s="13" t="s">
        <v>921</v>
      </c>
      <c r="BW1" s="13" t="s">
        <v>922</v>
      </c>
      <c r="BX1" s="13" t="s">
        <v>923</v>
      </c>
      <c r="BY1" s="13" t="s">
        <v>924</v>
      </c>
      <c r="BZ1" s="13" t="s">
        <v>925</v>
      </c>
      <c r="CA1" s="13" t="s">
        <v>926</v>
      </c>
      <c r="CB1" s="13" t="s">
        <v>927</v>
      </c>
      <c r="CC1" s="13" t="s">
        <v>928</v>
      </c>
      <c r="CD1" s="13" t="s">
        <v>929</v>
      </c>
      <c r="CE1" s="13" t="s">
        <v>930</v>
      </c>
      <c r="CF1" s="13" t="s">
        <v>931</v>
      </c>
      <c r="CG1" s="13" t="s">
        <v>934</v>
      </c>
      <c r="CH1" s="13" t="s">
        <v>935</v>
      </c>
      <c r="CI1" s="13" t="s">
        <v>936</v>
      </c>
      <c r="CJ1" s="13" t="s">
        <v>937</v>
      </c>
      <c r="CK1" s="13" t="s">
        <v>938</v>
      </c>
      <c r="CL1" s="13" t="s">
        <v>939</v>
      </c>
      <c r="CM1" s="13" t="s">
        <v>941</v>
      </c>
      <c r="CN1" s="13" t="s">
        <v>942</v>
      </c>
      <c r="CO1" s="13" t="s">
        <v>943</v>
      </c>
      <c r="CP1" s="13" t="s">
        <v>944</v>
      </c>
      <c r="CQ1" s="13" t="s">
        <v>945</v>
      </c>
      <c r="CR1" s="13" t="s">
        <v>946</v>
      </c>
      <c r="CS1" s="13" t="s">
        <v>947</v>
      </c>
      <c r="CT1" s="13" t="s">
        <v>948</v>
      </c>
      <c r="CU1" s="13" t="s">
        <v>949</v>
      </c>
      <c r="CV1" s="13" t="s">
        <v>950</v>
      </c>
      <c r="CW1" s="13" t="s">
        <v>951</v>
      </c>
      <c r="CX1" s="13" t="s">
        <v>952</v>
      </c>
      <c r="CY1" s="13" t="s">
        <v>953</v>
      </c>
      <c r="CZ1" s="13" t="s">
        <v>954</v>
      </c>
      <c r="DA1" s="13" t="s">
        <v>955</v>
      </c>
      <c r="DB1" s="13" t="s">
        <v>956</v>
      </c>
      <c r="DC1" s="13" t="s">
        <v>957</v>
      </c>
      <c r="DD1" s="13" t="s">
        <v>958</v>
      </c>
      <c r="DE1" s="13" t="s">
        <v>959</v>
      </c>
      <c r="DF1" s="13" t="s">
        <v>960</v>
      </c>
      <c r="DG1" s="13" t="s">
        <v>961</v>
      </c>
      <c r="DH1" s="13" t="s">
        <v>962</v>
      </c>
      <c r="DI1" s="13" t="s">
        <v>963</v>
      </c>
      <c r="DJ1" s="13" t="s">
        <v>964</v>
      </c>
      <c r="DK1" s="13" t="s">
        <v>157</v>
      </c>
      <c r="DL1" s="13" t="s">
        <v>160</v>
      </c>
      <c r="DM1" s="13" t="s">
        <v>965</v>
      </c>
      <c r="DN1" s="13" t="s">
        <v>966</v>
      </c>
      <c r="DO1" s="13" t="s">
        <v>967</v>
      </c>
      <c r="DP1" s="13" t="s">
        <v>968</v>
      </c>
      <c r="DQ1" s="13" t="s">
        <v>969</v>
      </c>
      <c r="DR1" s="13" t="s">
        <v>970</v>
      </c>
      <c r="DS1" s="13" t="s">
        <v>971</v>
      </c>
      <c r="DT1" s="13" t="s">
        <v>972</v>
      </c>
      <c r="DU1" s="13" t="s">
        <v>973</v>
      </c>
      <c r="DV1" s="13" t="s">
        <v>974</v>
      </c>
      <c r="DW1" s="13" t="s">
        <v>975</v>
      </c>
      <c r="DX1" s="13" t="s">
        <v>976</v>
      </c>
      <c r="DY1" s="13" t="s">
        <v>977</v>
      </c>
      <c r="DZ1" s="13" t="s">
        <v>978</v>
      </c>
      <c r="EA1" s="13" t="s">
        <v>979</v>
      </c>
      <c r="EB1" s="13" t="s">
        <v>980</v>
      </c>
      <c r="EC1" s="13" t="s">
        <v>981</v>
      </c>
      <c r="ED1" s="13" t="s">
        <v>982</v>
      </c>
      <c r="EE1" s="13" t="s">
        <v>983</v>
      </c>
      <c r="EF1" s="13" t="s">
        <v>984</v>
      </c>
      <c r="EG1" s="13" t="s">
        <v>985</v>
      </c>
      <c r="EH1" s="13" t="s">
        <v>986</v>
      </c>
      <c r="EI1" s="13" t="s">
        <v>987</v>
      </c>
      <c r="EJ1" s="13" t="s">
        <v>988</v>
      </c>
      <c r="EK1" s="13" t="s">
        <v>989</v>
      </c>
      <c r="EL1" s="13" t="s">
        <v>990</v>
      </c>
      <c r="EM1" s="13" t="s">
        <v>991</v>
      </c>
      <c r="EN1" s="13" t="s">
        <v>992</v>
      </c>
      <c r="EO1" s="13" t="s">
        <v>993</v>
      </c>
      <c r="EP1" s="13" t="s">
        <v>994</v>
      </c>
      <c r="EQ1" s="13" t="s">
        <v>932</v>
      </c>
      <c r="ER1" s="13" t="s">
        <v>995</v>
      </c>
      <c r="ES1" s="13" t="s">
        <v>996</v>
      </c>
      <c r="ET1" s="13" t="s">
        <v>997</v>
      </c>
      <c r="EU1" s="13" t="s">
        <v>998</v>
      </c>
      <c r="EV1" s="13" t="s">
        <v>999</v>
      </c>
      <c r="EW1" s="13" t="s">
        <v>1000</v>
      </c>
      <c r="EX1" s="13" t="s">
        <v>1001</v>
      </c>
      <c r="EY1" s="13" t="s">
        <v>1002</v>
      </c>
      <c r="EZ1" s="13" t="s">
        <v>1021</v>
      </c>
      <c r="FA1" s="13" t="s">
        <v>1023</v>
      </c>
      <c r="FB1" s="13" t="s">
        <v>1022</v>
      </c>
      <c r="FC1" s="13" t="s">
        <v>167</v>
      </c>
    </row>
    <row r="2" spans="1:159" x14ac:dyDescent="0.15">
      <c r="A2" t="e">
        <f>IF(ID=0,"",ID)</f>
        <v>#REF!</v>
      </c>
      <c r="B2" t="e">
        <f>IF(Name=0,"",Name)</f>
        <v>#REF!</v>
      </c>
      <c r="C2" t="e">
        <f>IF(Subtitle=0,"",Subtitle)</f>
        <v>#REF!</v>
      </c>
      <c r="D2" t="e">
        <f>IF(AuthorSignature=0,"",AuthorSignature)</f>
        <v>#REF!</v>
      </c>
      <c r="E2" t="str">
        <f>IF(ProjectOwner=0,"",ProjectOwner)</f>
        <v/>
      </c>
      <c r="F2" t="e">
        <f>IF(EditorialResponsibility=0,"",EditorialResponsibility)</f>
        <v>#REF!</v>
      </c>
      <c r="G2" t="e">
        <f>IF(ShortDescription=0,"",ShortDescription)</f>
        <v>#REF!</v>
      </c>
      <c r="H2" t="str">
        <f>IF(GeneralProjectType=0,"",GeneralProjectType)</f>
        <v/>
      </c>
      <c r="I2" t="e">
        <f>IF(FinishedProject=0,"",FinishedProject)</f>
        <v>#REF!</v>
      </c>
      <c r="J2" t="e">
        <f>IF(PublishToByrapport=0,"",PublishToByrapport)</f>
        <v>#REF!</v>
      </c>
      <c r="K2" t="str">
        <f>IF(FramtidensByerDatabase=0,"",FramtidensByerDatabase)</f>
        <v>FALSE</v>
      </c>
      <c r="L2" t="e">
        <f>IF(PublishToHusbanken=0,"",PublishToHusbanken)</f>
        <v>#REF!</v>
      </c>
      <c r="M2" t="e">
        <f>IF(PublishToEnova=0,"",PublishToEnova)</f>
        <v>#REF!</v>
      </c>
      <c r="N2" t="e">
        <f>IF(PublishToFramtidensByer=0,"",PublishToFramtidensByer)</f>
        <v>#REF!</v>
      </c>
      <c r="O2" t="e">
        <f>IF(HideOnEcobox=0,"",HideOnEcobox)</f>
        <v>#REF!</v>
      </c>
      <c r="P2" t="e">
        <f>IF(HideFromProjectFrontPage=0,"",HideFromProjectFrontPage)</f>
        <v>#REF!</v>
      </c>
      <c r="Q2" t="e">
        <f>IF(Contact=0,"",Contact)</f>
        <v>#REF!</v>
      </c>
      <c r="R2" t="e">
        <f>IF(ContactPhone=0,"",ContactPhone)</f>
        <v>#REF!</v>
      </c>
      <c r="S2" t="e">
        <f>IF(ContactEmail=0,"",ContactEmail)</f>
        <v>#REF!</v>
      </c>
      <c r="T2" t="str">
        <f>IF(FByerExternalTags=0,"",FByerExternalTags)</f>
        <v/>
      </c>
      <c r="U2" t="str">
        <f>IF(ExternalTags=0,"",ExternalTags)</f>
        <v/>
      </c>
      <c r="V2" t="str">
        <f>IF(ExternalProjectDBUsers=0,"",ExternalProjectDBUsers)</f>
        <v/>
      </c>
      <c r="W2" t="e">
        <f>IF(Paragraphs=0,"",Paragraphs)</f>
        <v>#REF!</v>
      </c>
      <c r="X2" t="e">
        <f>IF(EcoMeasures=0,"",EcoMeasures)</f>
        <v>#REF!</v>
      </c>
      <c r="Y2" t="e">
        <f>IF(EconomyHeader=0,"",EconomyHeader)</f>
        <v>#REF!</v>
      </c>
      <c r="Z2" t="e">
        <f>IF(Economy=0,"",Economy)</f>
        <v>#REF!</v>
      </c>
      <c r="AA2" t="e">
        <f>IF(ClosingParagraphHeader=0,"",ClosingParagraphHeader)</f>
        <v>#REF!</v>
      </c>
      <c r="AB2" t="e">
        <f>IF(ClosingParagraph=0,"",ClosingParagraph)</f>
        <v>#REF!</v>
      </c>
      <c r="AC2" t="str">
        <f>IF(ProjectResponsibleFB=0,"",ProjectResponsibleFB)</f>
        <v/>
      </c>
      <c r="AD2" t="e">
        <f>IF(ResponsibleDepartment=0,"",ResponsibleDepartment)</f>
        <v>#REF!</v>
      </c>
      <c r="AE2" t="e">
        <f>IF(ProjectAddress=0,"",ProjectAddress)</f>
        <v>#REF!</v>
      </c>
      <c r="AF2" t="e">
        <f>IF(Location=0,"",Location)</f>
        <v>#REF!</v>
      </c>
      <c r="AG2" t="str">
        <f>IF(Municipalities=0,"",Municipalities)</f>
        <v/>
      </c>
      <c r="AH2" t="e">
        <f>IF(MapLatitude=0,"",MapLatitude)</f>
        <v>#REF!</v>
      </c>
      <c r="AI2" t="e">
        <f>IF(MapLongitude=0,"",MapLongitude)</f>
        <v>#REF!</v>
      </c>
      <c r="AJ2" t="e">
        <f>IF(MapZoomLevel=0,"",MapZoomLevel)</f>
        <v>#REF!</v>
      </c>
      <c r="AK2" t="e">
        <f>IF(ProjectPeriod=0,"",ProjectPeriod)</f>
        <v>#REF!</v>
      </c>
      <c r="AL2" t="e">
        <f>IF(ConstructionStartedYear=0,"",ConstructionStartedYear)</f>
        <v>#REF!</v>
      </c>
      <c r="AM2" t="e">
        <f>IF(ConstructionCompletedYear=0,"",ConstructionCompletedYear)</f>
        <v>#REF!</v>
      </c>
      <c r="AN2" t="str">
        <f>IF(Partners=0,"",Partners)</f>
        <v/>
      </c>
      <c r="AO2" t="e">
        <f>IF(OthersInvolved=0,"",OthersInvolved)</f>
        <v>#REF!</v>
      </c>
      <c r="AP2" t="str">
        <f>IF(KeywordMeasures=0,"",KeywordMeasures)</f>
        <v/>
      </c>
      <c r="AQ2" s="1" t="e">
        <f>IF(Collaboration=0,"",Collaboration)</f>
        <v>#REF!</v>
      </c>
      <c r="AR2" t="e">
        <f>IF(MunicipalitiesCollaboration=0,"",MunicipalitiesCollaboration)</f>
        <v>#REF!</v>
      </c>
      <c r="AS2" t="e">
        <f>IF(PrivateCollaboration=0,"",PrivateCollaboration)</f>
        <v>#REF!</v>
      </c>
      <c r="AT2" t="e">
        <f>IF(OtherCollaboration=0,"",OtherCollaboration)</f>
        <v>#REF!</v>
      </c>
      <c r="AU2" t="e">
        <f>IF(ProgressDescription=0,"",ProgressDescription)</f>
        <v>#REF!</v>
      </c>
      <c r="AV2" t="str">
        <f>IF(ProgressStatus=0,"",ProgressStatus)</f>
        <v/>
      </c>
      <c r="AW2" t="e">
        <f>IF(ChangeLog=0,"",ChangeLog)</f>
        <v>#REF!</v>
      </c>
      <c r="AX2" t="e">
        <f>IF(FByerOtherResults=0,"",FByerOtherResults)</f>
        <v>#REF!</v>
      </c>
      <c r="AY2" t="e">
        <f>IF(FByerCosts=0,"",FByerCosts)</f>
        <v>#REF!</v>
      </c>
      <c r="AZ2" t="str">
        <f>IF(FByerImportance=0,"",FByerImportance)</f>
        <v/>
      </c>
      <c r="BA2" t="str">
        <f>IF(FByerTimeUsage=0,"",FByerTimeUsage)</f>
        <v/>
      </c>
      <c r="BB2" t="e">
        <f>IF(FByerPeopleInformed=0,"",FByerPeopleInformed)</f>
        <v>#REF!</v>
      </c>
      <c r="BC2" t="e">
        <f>IF(FbyerOtherRemarks=0,"",FbyerOtherRemarks)</f>
        <v>#REF!</v>
      </c>
      <c r="BD2" t="e">
        <f>IF(ProjectPhase=0,"",ProjectPhase)</f>
        <v>#REF!</v>
      </c>
      <c r="BE2" t="str">
        <f>IF(ProjectTypes=0,"",ProjectTypes)</f>
        <v/>
      </c>
      <c r="BF2" t="str">
        <f>IF(FunctionBuildingCategory=0,"",FunctionBuildingCategory)</f>
        <v/>
      </c>
      <c r="BG2" t="str">
        <f>IF(ProjectCompetitionForm=0,"",ProjectCompetitionForm)</f>
        <v/>
      </c>
      <c r="BH2" t="str">
        <f>IF(ProjectContractingForm=0,"",ProjectContractingForm)</f>
        <v/>
      </c>
      <c r="BI2" t="str">
        <f>IF(ProjectEnvironmentalStandard=0,"",ProjectEnvironmentalStandard)</f>
        <v/>
      </c>
      <c r="BJ2" t="str">
        <f>IF(ProjectAward=0,"",ProjectAward)</f>
        <v/>
      </c>
      <c r="BK2" t="str">
        <f>IF(ProjectRoleModel=0,"",ProjectRoleModel)</f>
        <v/>
      </c>
      <c r="BL2" t="str">
        <f>IF(ProjectResearch=0,"",ProjectResearch)</f>
        <v/>
      </c>
      <c r="BM2" t="str">
        <f>IF(ProjectArchitectureGuide=0,"",ProjectArchitectureGuide)</f>
        <v/>
      </c>
      <c r="BN2" t="str">
        <f>IF(Builders=0,"",Builders)</f>
        <v/>
      </c>
      <c r="BO2" t="str">
        <f>IF(ArchitectARK=0,"",ArchitectARK)</f>
        <v/>
      </c>
      <c r="BP2" t="str">
        <f>IF(ArchitectLARK=0,"",ArchitectLARK)</f>
        <v/>
      </c>
      <c r="BQ2" t="str">
        <f>IF(ArchitectIARK=0,"",ArchitectIARK)</f>
        <v/>
      </c>
      <c r="BR2" t="str">
        <f>IF(OriginalArchitect=0,"",OriginalArchitect)</f>
        <v/>
      </c>
      <c r="BS2" t="str">
        <f>IF(ProjectManagagers=0,"",ProjectManagagers)</f>
        <v/>
      </c>
      <c r="BT2" t="str">
        <f>IF(EnvironmentConsultants=0,"",EnvironmentConsultants)</f>
        <v/>
      </c>
      <c r="BU2" t="str">
        <f>IF(EnergyConsultants=0,"",EnergyConsultants)</f>
        <v/>
      </c>
      <c r="BV2" t="str">
        <f>IF(UniversalDesignConsultants=0,"",UniversalDesignConsultants)</f>
        <v/>
      </c>
      <c r="BW2" t="str">
        <f>IF(AdvisorIngBygg=0,"",AdvisorIngBygg)</f>
        <v/>
      </c>
      <c r="BX2" t="str">
        <f>IF(AdvisorIngVVS=0,"",AdvisorIngVVS)</f>
        <v/>
      </c>
      <c r="BY2" t="str">
        <f>IF(AdvisorIngElektro=0,"",AdvisorIngElektro)</f>
        <v/>
      </c>
      <c r="BZ2" t="str">
        <f>IF(AdvisorIngBuildingPhysics=0,"",AdvisorIngBuildingPhysics)</f>
        <v/>
      </c>
      <c r="CA2" t="str">
        <f>IF(AdvisorIngFireSafety=0,"",AdvisorIngFireSafety)</f>
        <v/>
      </c>
      <c r="CB2" t="str">
        <f>IF(AdvisorIngAcoustics=0,"",AdvisorIngAcoustics)</f>
        <v/>
      </c>
      <c r="CC2" t="e">
        <f>IF(OtherAdvisors=0,"",OtherAdvisors)</f>
        <v>#REF!</v>
      </c>
      <c r="CD2" t="str">
        <f>IF(Contractors=0,"",Contractors)</f>
        <v/>
      </c>
      <c r="CE2" t="str">
        <f>IF(ConstructionManagement=0,"",ConstructionManagement)</f>
        <v/>
      </c>
      <c r="CF2" t="e">
        <f>IF(SubContractors=0,"",SubContractors)</f>
        <v>#REF!</v>
      </c>
      <c r="CG2" t="e">
        <f>IF(AreaUsed=0,"",AreaUsed)</f>
        <v>#REF!</v>
      </c>
      <c r="CH2" t="e">
        <f>IF(NumberOfResidents=0,"",NumberOfResidents)</f>
        <v>#REF!</v>
      </c>
      <c r="CI2" t="e">
        <f>IF(GrossSquareFootBTA=0,"",GrossSquareFootBTA)</f>
        <v>#REF!</v>
      </c>
      <c r="CJ2" t="e">
        <f>IF(GrossSquareFoot=0,"",GrossSquareFoot)</f>
        <v>#REF!</v>
      </c>
      <c r="CK2" t="e">
        <f>IF(GrossSquareFootHeated=0,"",GrossSquareFootHeated)</f>
        <v>#REF!</v>
      </c>
      <c r="CL2" t="e">
        <f>IF(SquareFootGlass=0,"",SquareFootGlass)</f>
        <v>#REF!</v>
      </c>
      <c r="CM2" s="97" t="str">
        <f>IF(CompactnessFactor=0,"",CompactnessFactor)</f>
        <v/>
      </c>
      <c r="CN2" t="e">
        <f>IF(GreenAreaIncrease=0,"",GreenAreaIncrease)</f>
        <v>#REF!</v>
      </c>
      <c r="CO2" t="e">
        <f>IF(HardAreaReduction=0,"",HardAreaReduction)</f>
        <v>#REF!</v>
      </c>
      <c r="CP2" t="e">
        <f>IF(WalkwaysLength=0,"",WalkwaysLength)</f>
        <v>#REF!</v>
      </c>
      <c r="CQ2" t="e">
        <f>IF(DistanceToCollectivePoint=0,"",DistanceToCollectivePoint)</f>
        <v>#REF!</v>
      </c>
      <c r="CR2" t="e">
        <f>IF(DistanceToCityCenter=0,"",DistanceToCityCenter)</f>
        <v>#REF!</v>
      </c>
      <c r="CS2" t="e">
        <f>IF(ParkingArea=0,"",ParkingArea)</f>
        <v>#REF!</v>
      </c>
      <c r="CT2" t="e">
        <f>IF(ParkingSpotsPerUnit=0,"",ParkingSpotsPerUnit)</f>
        <v>#REF!</v>
      </c>
      <c r="CU2" t="e">
        <f>IF(BikeParkingArea=0,"",BikeParkingArea)</f>
        <v>#REF!</v>
      </c>
      <c r="CV2" t="e">
        <f>IF(BikeParkingSpotsPerUnit=0,"",BikeParkingSpotsPerUnit)</f>
        <v>#REF!</v>
      </c>
      <c r="CW2" t="e">
        <f>IF(FByerCO2=0,"",FByerCO2)</f>
        <v>#REF!</v>
      </c>
      <c r="CX2" t="e">
        <f>IF(CO2Method=0,"",CO2Method)</f>
        <v>#REF!</v>
      </c>
      <c r="CY2" t="e">
        <f>IF(CO2ReferenceEnergy=0,"",CO2ReferenceEnergy)</f>
        <v>#REF!</v>
      </c>
      <c r="CZ2" t="e">
        <f>IF(CO2ReferenceMaterials=0,"",CO2ReferenceMaterials)</f>
        <v>#REF!</v>
      </c>
      <c r="DA2" t="e">
        <f>IF(CO2ReferenceTransport=0,"",CO2ReferenceTransport)</f>
        <v>#REF!</v>
      </c>
      <c r="DB2" t="e">
        <f>IF(CO2DesignedEnergy=0,"",CO2DesignedEnergy)</f>
        <v>#REF!</v>
      </c>
      <c r="DC2" t="e">
        <f>IF(CO2DesignedMaterials=0,"",CO2DesignedMaterials)</f>
        <v>#REF!</v>
      </c>
      <c r="DD2" t="e">
        <f>IF(CO2DesignedTransport=0,"",CO2DesignedTransport)</f>
        <v>#REF!</v>
      </c>
      <c r="DE2" t="e">
        <f>IF(CO2FinishedEnergy=0,"",CO2FinishedEnergy)</f>
        <v>#REF!</v>
      </c>
      <c r="DF2" t="e">
        <f>IF(CO2FinishedMaterials=0,"",CO2FinishedMaterials)</f>
        <v>#REF!</v>
      </c>
      <c r="DG2" t="e">
        <f>IF(CO2FinishedTransport=0,"",CO2FinishedTransport)</f>
        <v>#REF!</v>
      </c>
      <c r="DH2" t="e">
        <f>IF(CO2InUseEnergy=0,"",CO2InUseEnergy)</f>
        <v>#REF!</v>
      </c>
      <c r="DI2" t="e">
        <f>IF(CO2InUseMaterials=0,"",CO2InUseMaterials)</f>
        <v>#REF!</v>
      </c>
      <c r="DJ2" t="e">
        <f>IF(CO2InUseTransport=0,"",CO2InUseTransport)</f>
        <v>#REF!</v>
      </c>
      <c r="DK2" t="e">
        <f>IF(EnergyLabel=0,"",EnergyLabel)</f>
        <v>#REF!</v>
      </c>
      <c r="DL2" t="e">
        <f>IF(HeatRating=0,"",HeatRating)</f>
        <v>#REF!</v>
      </c>
      <c r="DM2" t="e">
        <f>IF(EnergyConsumption=0,"",EnergyConsumption)</f>
        <v>#REF!</v>
      </c>
      <c r="DN2" t="e">
        <f>IF(EnergySources=0,"",EnergySources)</f>
        <v>#REF!</v>
      </c>
      <c r="DO2" t="e">
        <f>IF(NetEnergy3700=0,"",NetEnergy3700)</f>
        <v>#REF!</v>
      </c>
      <c r="DP2" t="e">
        <f>IF(EstimatedDeliveredEnergy3700=0,"",EstimatedDeliveredEnergy3700)</f>
        <v>#REF!</v>
      </c>
      <c r="DQ2" t="e">
        <f>IF(NetEnergy=0,"",NetEnergy)</f>
        <v>#REF!</v>
      </c>
      <c r="DR2" t="e">
        <f>IF(EstimatedDeliveredEnergy=0,"",EstimatedDeliveredEnergy)</f>
        <v>#REF!</v>
      </c>
      <c r="DS2" t="e">
        <f>IF(EnergySavings=0,"",EnergySavings)</f>
        <v>#REF!</v>
      </c>
      <c r="DT2" t="e">
        <f>IF(EnergyConvertedFromElectricityToRenewable=0,"",EnergyConvertedFromElectricityToRenewable)</f>
        <v>#REF!</v>
      </c>
      <c r="DU2" t="e">
        <f>IF(EnergyConvertedFromFossilToRenewable=0,"",EnergyConvertedFromFossilToRenewable)</f>
        <v>#REF!</v>
      </c>
      <c r="DV2" t="e">
        <f>IF(EnergyDelivered=0,"",EnergyDelivered)</f>
        <v>#REF!</v>
      </c>
      <c r="DW2" t="e">
        <f>IF(EnovaFactsEnergy=0,"",EnovaFactsEnergy)</f>
        <v>#REF!</v>
      </c>
      <c r="DX2" t="e">
        <f>IF(EnovaFactsComfort=0,"",EnovaFactsComfort)</f>
        <v>#REF!</v>
      </c>
      <c r="DY2" t="e">
        <f>IF(UValueRoof=0,"",UValueRoof)</f>
        <v>#REF!</v>
      </c>
      <c r="DZ2" t="e">
        <f>IF(UValueFloor=0,"",UValueFloor)</f>
        <v>#REF!</v>
      </c>
      <c r="EA2" t="e">
        <f>IF(UValueWall=0,"",UValueWall)</f>
        <v>#REF!</v>
      </c>
      <c r="EB2" t="e">
        <f>IF(UValueWindow=0,"",UValueWindow)</f>
        <v>#REF!</v>
      </c>
      <c r="EC2" t="e">
        <f>IF(MeasuredAirTightness=0,"",MeasuredAirTightness)</f>
        <v>#REF!</v>
      </c>
      <c r="ED2" t="e">
        <f>IF(SpecificFanPower=0,"",SpecificFanPower)</f>
        <v>#REF!</v>
      </c>
      <c r="EE2" t="e">
        <f>IF(HeatRecoveryEfficiency=0,"",HeatRecoveryEfficiency)</f>
        <v>#REF!</v>
      </c>
      <c r="EF2" t="e">
        <f>IF(RoomHeating=0,"",RoomHeating)</f>
        <v>#REF!</v>
      </c>
      <c r="EG2" t="e">
        <f>IF(VentilationHeating=0,"",VentilationHeating)</f>
        <v>#REF!</v>
      </c>
      <c r="EH2" t="e">
        <f>IF(DomesticHotWater=0,"",DomesticHotWater)</f>
        <v>#REF!</v>
      </c>
      <c r="EI2" t="e">
        <f>IF(FanAdministration=0,"",FanAdministration)</f>
        <v>#REF!</v>
      </c>
      <c r="EJ2" t="e">
        <f>IF(PumpAdministration=0,"",PumpAdministration)</f>
        <v>#REF!</v>
      </c>
      <c r="EK2" t="e">
        <f>IF(Lighting=0,"",Lighting)</f>
        <v>#REF!</v>
      </c>
      <c r="EL2" t="e">
        <f>IF(TechnicalEquipment=0,"",TechnicalEquipment)</f>
        <v>#REF!</v>
      </c>
      <c r="EM2" t="e">
        <f>IF(RoomCooling=0,"",RoomCooling)</f>
        <v>#REF!</v>
      </c>
      <c r="EN2" t="e">
        <f>IF(VentilationCooling=0,"",VentilationCooling)</f>
        <v>#REF!</v>
      </c>
      <c r="EO2" t="e">
        <f>IF(OtherEnergyPosts=0,"",OtherEnergyPosts)</f>
        <v>#REF!</v>
      </c>
      <c r="EP2" t="e">
        <f>IF(EnergyEfficiencyMethod=0,"",EnergyEfficiencyMethod)</f>
        <v>#REF!</v>
      </c>
      <c r="EQ2" t="e">
        <f>IF(Manufacturers=0,"",Manufacturers)</f>
        <v>#REF!</v>
      </c>
      <c r="ER2" t="e">
        <f>IF(BuildingCosts=0,"",BuildingCosts)</f>
        <v>#REF!</v>
      </c>
      <c r="ES2" t="e">
        <f>IF(MerkostnadM2=0,"",MerkostnadM2)</f>
        <v>#REF!</v>
      </c>
      <c r="ET2" t="e">
        <f>IF(MerkostnadEnergiM2Enova=0,"",MerkostnadEnergiM2Enova)</f>
        <v>#REF!</v>
      </c>
      <c r="EU2" t="e">
        <f>IF(MerkostnadUniversellUtformingM2=0,"",MerkostnadUniversellUtformingM2)</f>
        <v>#REF!</v>
      </c>
      <c r="EV2" t="e">
        <f>IF(ProjectSupportEnova=0,"",ProjectSupportEnova)</f>
        <v>#REF!</v>
      </c>
      <c r="EW2" t="e">
        <f>IF(ProjectSupportHusbanken=0,"",ProjectSupportHusbanken)</f>
        <v>#REF!</v>
      </c>
      <c r="EX2" t="e">
        <f>IF(PublishedIn=0,"",PublishedIn)</f>
        <v>#REF!</v>
      </c>
      <c r="EY2" t="e">
        <f>IF(QuickLinks=0,"",QuickLinks)</f>
        <v>#REF!</v>
      </c>
      <c r="EZ2" t="e">
        <f>IF(References=0,"",References)</f>
        <v>#REF!</v>
      </c>
      <c r="FA2" t="str">
        <f>IF(PublishAccess=0,"",PublishAccess)</f>
        <v/>
      </c>
      <c r="FB2" t="str">
        <f>IF(EditAccess=0,"",EditAccess)</f>
        <v/>
      </c>
      <c r="FC2" t="str">
        <f>IF(EcoProjectTemplate=0,"",EcoProjectTemplate)</f>
        <v/>
      </c>
    </row>
  </sheetData>
  <sheetProtection password="D9F3" sheet="1" objects="1" scenarios="1"/>
  <phoneticPr fontId="4" type="noConversion"/>
  <pageMargins left="0.78740157499999996" right="0.78740157499999996" top="1" bottom="1" header="0.5" footer="0.5"/>
  <pageSetup orientation="portrait" verticalDpi="60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6 9 b e 9 0 f d - 0 0 6 b - 4 2 2 a - 8 2 8 0 - 5 7 c e a 0 9 0 d 5 7 8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6 9 b e 9 0 f d - 0 0 6 b - 4 2 2 a - 8 2 8 0 - 5 7 c e a 0 9 0 d 5 7 8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 8 b 1 3 5 f d 8 - 8 5 0 c - 4 3 d 8 - 9 f f 5 - 1 3 d a 1 f d 2 d b 1 b < / I D > < N a m e > M i c r o s o f t _ S Q L S e r v e r _ A n a l y s i s S e r v i c e s < / N a m e > < L a n g u a g e > 1 0 4 4 < / L a n g u a g e > < D i m e n s i o n s > < D i m e n s i o n > < I D > 6 9 b e 9 0 f d - 0 0 6 b - 4 2 2 a - 8 2 8 0 - 5 7 c e a 0 9 0 d 5 7 8 < / I D > < N a m e > E c o P r o j e c t s 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V a l u e > < / V a l u e > < / A n n o t a t i o n > < A n n o t a t i o n > < N a m e > T a b l e W i d g e t S e r i a l i z a t i o n < / N a m e > < V a l u e >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A t t r i b u t e R e l a t i o n s h i p s > < A t t r i b u t e R e l a t i o n s h i p > < A t t r i b u t e I D > I d < / A t t r i b u t e I D > < O v e r r i d e B e h a v i o r > N o n e < / O v e r r i d e B e h a v i o r > < N a m e > I d _ < / N a m e > < / A t t r i b u t e R e l a t i o n s h i p > < A t t r i b u t e R e l a t i o n s h i p > < A t t r i b u t e I D > L i s t O r d e r < / A t t r i b u t e I D > < O v e r r i d e B e h a v i o r > N o n e < / O v e r r i d e B e h a v i o r > < N a m e > L i s t O r d e r < / N a m e > < / A t t r i b u t e R e l a t i o n s h i p > < A t t r i b u t e R e l a t i o n s h i p > < A t t r i b u t e I D > I m a g e U r l < / A t t r i b u t e I D > < O v e r r i d e B e h a v i o r > N o n e < / O v e r r i d e B e h a v i o r > < N a m e > I m a g e U r l < / N a m e > < / A t t r i b u t e R e l a t i o n s h i p > < A t t r i b u t e R e l a t i o n s h i p > < A t t r i b u t e I D > T h u m b n a i l U r l < / A t t r i b u t e I D > < O v e r r i d e B e h a v i o r > N o n e < / O v e r r i d e B e h a v i o r > < N a m e > T h u m b n a i l U r l < / N a m e > < / A t t r i b u t e R e l a t i o n s h i p > < A t t r i b u t e R e l a t i o n s h i p > < A t t r i b u t e I D > N a m e < / A t t r i b u t e I D > < O v e r r i d e B e h a v i o r > N o n e < / O v e r r i d e B e h a v i o r > < N a m e > N a m e _ < / N a m e > < / A t t r i b u t e R e l a t i o n s h i p > < A t t r i b u t e R e l a t i o n s h i p > < A t t r i b u t e I D > A u t h o r < / A t t r i b u t e I D > < O v e r r i d e B e h a v i o r > N o n e < / O v e r r i d e B e h a v i o r > < N a m e > A u t h o r < / N a m e > < / A t t r i b u t e R e l a t i o n s h i p > < A t t r i b u t e R e l a t i o n s h i p > < A t t r i b u t e I D > U p d a t e d < / A t t r i b u t e I D > < O v e r r i d e B e h a v i o r > N o n e < / O v e r r i d e B e h a v i o r > < N a m e > U p d a t e d < / N a m e > < / A t t r i b u t e R e l a t i o n s h i p > < A t t r i b u t e R e l a t i o n s h i p > < A t t r i b u t e I D > S u b T i t l e < / A t t r i b u t e I D > < O v e r r i d e B e h a v i o r > N o n e < / O v e r r i d e B e h a v i o r > < N a m e > S u b T i t l e < / N a m e > < / A t t r i b u t e R e l a t i o n s h i p > < A t t r i b u t e R e l a t i o n s h i p > < A t t r i b u t e I D > A u t h o r S i g n a t u r e < / A t t r i b u t e I D > < O v e r r i d e B e h a v i o r > N o n e < / O v e r r i d e B e h a v i o r > < N a m e > A u t h o r S i g n a t u r e < / N a m e > < / A t t r i b u t e R e l a t i o n s h i p > < A t t r i b u t e R e l a t i o n s h i p > < A t t r i b u t e I D > P r o j e c t O w n e r N a m e < / A t t r i b u t e I D > < O v e r r i d e B e h a v i o r > N o n e < / O v e r r i d e B e h a v i o r > < N a m e > P r o j e c t O w n e r N a m e < / N a m e > < / A t t r i b u t e R e l a t i o n s h i p > < A t t r i b u t e R e l a t i o n s h i p > < A t t r i b u t e I D > P r o j e c t O w n e r I d < / A t t r i b u t e I D > < O v e r r i d e B e h a v i o r > N o n e < / O v e r r i d e B e h a v i o r > < N a m e > P r o j e c t O w n e r I d < / N a m e > < / A t t r i b u t e R e l a t i o n s h i p > < A t t r i b u t e R e l a t i o n s h i p > < A t t r i b u t e I D > E d i t o r i a l R e s p o n s i b i l i t y < / A t t r i b u t e I D > < O v e r r i d e B e h a v i o r > N o n e < / O v e r r i d e B e h a v i o r > < N a m e > E d i t o r i a l R e s p o n s i b i l i t y < / N a m e > < / A t t r i b u t e R e l a t i o n s h i p > < A t t r i b u t e R e l a t i o n s h i p > < A t t r i b u t e I D > S h o r t D e s c r i p t i o n < / A t t r i b u t e I D > < O v e r r i d e B e h a v i o r > N o n e < / O v e r r i d e B e h a v i o r > < N a m e > S h o r t D e s c r i p t i o n < / N a m e > < / A t t r i b u t e R e l a t i o n s h i p > < A t t r i b u t e R e l a t i o n s h i p > < A t t r i b u t e I D > G e n e r a l P r o j e c t T y p e < / A t t r i b u t e I D > < O v e r r i d e B e h a v i o r > N o n e < / O v e r r i d e B e h a v i o r > < N a m e > G e n e r a l P r o j e c t T y p e < / N a m e > < / A t t r i b u t e R e l a t i o n s h i p > < A t t r i b u t e R e l a t i o n s h i p > < A t t r i b u t e I D > P r o j e c t S t a t u s < / A t t r i b u t e I D > < O v e r r i d e B e h a v i o r > N o n e < / O v e r r i d e B e h a v i o r > < N a m e > P r o j e c t S t a t u s < / N a m e > < / A t t r i b u t e R e l a t i o n s h i p > < A t t r i b u t e R e l a t i o n s h i p > < A t t r i b u t e I D > F i n i s h e d P r o j e c t < / A t t r i b u t e I D > < O v e r r i d e B e h a v i o r > N o n e < / O v e r r i d e B e h a v i o r > < N a m e > F i n i s h e d P r o j e c t < / N a m e > < / A t t r i b u t e R e l a t i o n s h i p > < A t t r i b u t e R e l a t i o n s h i p > < A t t r i b u t e I D > E n g l i s h C o n t e n t < / A t t r i b u t e I D > < O v e r r i d e B e h a v i o r > N o n e < / O v e r r i d e B e h a v i o r > < N a m e > E n g l i s h C o n t e n t < / N a m e > < / A t t r i b u t e R e l a t i o n s h i p > < A t t r i b u t e R e l a t i o n s h i p > < A t t r i b u t e I D > H i d e O n E c o b o x < / A t t r i b u t e I D > < O v e r r i d e B e h a v i o r > N o n e < / O v e r r i d e B e h a v i o r > < N a m e > H i d e O n E c o b o x < / N a m e > < / A t t r i b u t e R e l a t i o n s h i p > < A t t r i b u t e R e l a t i o n s h i p > < A t t r i b u t e I D > H i d e F r o m P r o j e c t F r o n t P a g e < / A t t r i b u t e I D > < O v e r r i d e B e h a v i o r > N o n e < / O v e r r i d e B e h a v i o r > < N a m e > H i d e F r o m P r o j e c t F r o n t P a g e < / N a m e > < / A t t r i b u t e R e l a t i o n s h i p > < A t t r i b u t e R e l a t i o n s h i p > < A t t r i b u t e I D > C o n t a c t < / A t t r i b u t e I D > < O v e r r i d e B e h a v i o r > N o n e < / O v e r r i d e B e h a v i o r > < N a m e > C o n t a c t < / N a m e > < / A t t r i b u t e R e l a t i o n s h i p > < A t t r i b u t e R e l a t i o n s h i p > < A t t r i b u t e I D > C o n t a c t P h o n e < / A t t r i b u t e I D > < O v e r r i d e B e h a v i o r > N o n e < / O v e r r i d e B e h a v i o r > < N a m e > C o n t a c t P h o n e < / N a m e > < / A t t r i b u t e R e l a t i o n s h i p > < A t t r i b u t e R e l a t i o n s h i p > < A t t r i b u t e I D > C o n t a c t E m a i l < / A t t r i b u t e I D > < O v e r r i d e B e h a v i o r > N o n e < / O v e r r i d e B e h a v i o r > < N a m e > C o n t a c t E m a i l < / N a m e > < / A t t r i b u t e R e l a t i o n s h i p > < A t t r i b u t e R e l a t i o n s h i p > < A t t r i b u t e I D > F B y e r E x t e r n a l T a g s C o u n t < / A t t r i b u t e I D > < O v e r r i d e B e h a v i o r > N o n e < / O v e r r i d e B e h a v i o r > < N a m e > F B y e r E x t e r n a l T a g s C o u n t < / N a m e > < / A t t r i b u t e R e l a t i o n s h i p > < A t t r i b u t e R e l a t i o n s h i p > < A t t r i b u t e I D > E x t e r n a l T a g s C o u n t < / A t t r i b u t e I D > < O v e r r i d e B e h a v i o r > N o n e < / O v e r r i d e B e h a v i o r > < N a m e > E x t e r n a l T a g s C o u n t < / N a m e > < / A t t r i b u t e R e l a t i o n s h i p > < A t t r i b u t e R e l a t i o n s h i p > < A t t r i b u t e I D > E x t e r n a l P r o j e c t D B U s e r s C o u n t < / A t t r i b u t e I D > < O v e r r i d e B e h a v i o r > N o n e < / O v e r r i d e B e h a v i o r > < N a m e > E x t e r n a l P r o j e c t D B U s e r s C o u n t < / N a m e > < / A t t r i b u t e R e l a t i o n s h i p > < A t t r i b u t e R e l a t i o n s h i p > < A t t r i b u t e I D > E c o M e a s u r e s C o u n t < / A t t r i b u t e I D > < O v e r r i d e B e h a v i o r > N o n e < / O v e r r i d e B e h a v i o r > < N a m e > E c o M e a s u r e s C o u n t < / N a m e > < / A t t r i b u t e R e l a t i o n s h i p > < A t t r i b u t e R e l a t i o n s h i p > < A t t r i b u t e I D > E c o n o m y H e a d e r < / A t t r i b u t e I D > < O v e r r i d e B e h a v i o r > N o n e < / O v e r r i d e B e h a v i o r > < N a m e > E c o n o m y H e a d e r < / N a m e > < / A t t r i b u t e R e l a t i o n s h i p > < A t t r i b u t e R e l a t i o n s h i p > < A t t r i b u t e I D > E c o n o m y < / A t t r i b u t e I D > < O v e r r i d e B e h a v i o r > N o n e < / O v e r r i d e B e h a v i o r > < N a m e > E c o n o m y < / N a m e > < / A t t r i b u t e R e l a t i o n s h i p > < A t t r i b u t e R e l a t i o n s h i p > < A t t r i b u t e I D > C o s t B e n e f i t E v a l u a t i o n s C o u n t < / A t t r i b u t e I D > < O v e r r i d e B e h a v i o r > N o n e < / O v e r r i d e B e h a v i o r > < N a m e > C o s t B e n e f i t E v a l u a t i o n s C o u n t < / N a m e > < / A t t r i b u t e R e l a t i o n s h i p > < A t t r i b u t e R e l a t i o n s h i p > < A t t r i b u t e I D > C l o s i n g P a r a g r a p h H e a d e r < / A t t r i b u t e I D > < O v e r r i d e B e h a v i o r > N o n e < / O v e r r i d e B e h a v i o r > < N a m e > C l o s i n g P a r a g r a p h H e a d e r < / N a m e > < / A t t r i b u t e R e l a t i o n s h i p > < A t t r i b u t e R e l a t i o n s h i p > < A t t r i b u t e I D > C l o s i n g P a r a g r a p h < / A t t r i b u t e I D > < O v e r r i d e B e h a v i o r > N o n e < / O v e r r i d e B e h a v i o r > < N a m e > C l o s i n g P a r a g r a p h < / N a m e > < / A t t r i b u t e R e l a t i o n s h i p > < A t t r i b u t e R e l a t i o n s h i p > < A t t r i b u t e I D > P r o j e c t r e s p o n s i b l e F B N a m e < / A t t r i b u t e I D > < O v e r r i d e B e h a v i o r > N o n e < / O v e r r i d e B e h a v i o r > < N a m e > P r o j e c t r e s p o n s i b l e F B N a m e < / N a m e > < / A t t r i b u t e R e l a t i o n s h i p > < A t t r i b u t e R e l a t i o n s h i p > < A t t r i b u t e I D > P r o j e c t r e s p o n s i b l e F B I d < / A t t r i b u t e I D > < O v e r r i d e B e h a v i o r > N o n e < / O v e r r i d e B e h a v i o r > < N a m e > P r o j e c t r e s p o n s i b l e F B I d < / N a m e > < / A t t r i b u t e R e l a t i o n s h i p > < A t t r i b u t e R e l a t i o n s h i p > < A t t r i b u t e I D > R e s p o n s i b l e D e p a r t m e n t < / A t t r i b u t e I D > < O v e r r i d e B e h a v i o r > N o n e < / O v e r r i d e B e h a v i o r > < N a m e > R e s p o n s i b l e D e p a r t m e n t < / N a m e > < / A t t r i b u t e R e l a t i o n s h i p > < A t t r i b u t e R e l a t i o n s h i p > < A t t r i b u t e I D > P r o j e c t A d d r e s s < / A t t r i b u t e I D > < O v e r r i d e B e h a v i o r > N o n e < / O v e r r i d e B e h a v i o r > < N a m e > P r o j e c t A d d r e s s < / N a m e > < / A t t r i b u t e R e l a t i o n s h i p > < A t t r i b u t e R e l a t i o n s h i p > < A t t r i b u t e I D > L o c a t i o n < / A t t r i b u t e I D > < O v e r r i d e B e h a v i o r > N o n e < / O v e r r i d e B e h a v i o r > < N a m e > L o c a t i o n < / N a m e > < / A t t r i b u t e R e l a t i o n s h i p > < A t t r i b u t e R e l a t i o n s h i p > < A t t r i b u t e I D > M u n i c i p a l i t i e s C o u n t < / A t t r i b u t e I D > < O v e r r i d e B e h a v i o r > N o n e < / O v e r r i d e B e h a v i o r > < N a m e > M u n i c i p a l i t i e s C o u n t < / N a m e > < / A t t r i b u t e R e l a t i o n s h i p > < A t t r i b u t e R e l a t i o n s h i p > < A t t r i b u t e I D > M a p L a t i t u d e < / A t t r i b u t e I D > < O v e r r i d e B e h a v i o r > N o n e < / O v e r r i d e B e h a v i o r > < N a m e > M a p L a t i t u d e < / N a m e > < / A t t r i b u t e R e l a t i o n s h i p > < A t t r i b u t e R e l a t i o n s h i p > < A t t r i b u t e I D > M a p L o n g i t u d e < / A t t r i b u t e I D > < O v e r r i d e B e h a v i o r > N o n e < / O v e r r i d e B e h a v i o r > < N a m e > M a p L o n g i t u d e < / N a m e > < / A t t r i b u t e R e l a t i o n s h i p > < A t t r i b u t e R e l a t i o n s h i p > < A t t r i b u t e I D > M a p Z o o m L e v e l < / A t t r i b u t e I D > < O v e r r i d e B e h a v i o r > N o n e < / O v e r r i d e B e h a v i o r > < N a m e > M a p Z o o m L e v e l < / N a m e > < / A t t r i b u t e R e l a t i o n s h i p > < A t t r i b u t e R e l a t i o n s h i p > < A t t r i b u t e I D > P r o j e c t P e r i o d < / A t t r i b u t e I D > < O v e r r i d e B e h a v i o r > N o n e < / O v e r r i d e B e h a v i o r > < N a m e > P r o j e c t P e r i o d < / N a m e > < / A t t r i b u t e R e l a t i o n s h i p > < A t t r i b u t e R e l a t i o n s h i p > < A t t r i b u t e I D > C o n s t r u c t i o n S t a r t e d Y e a r < / A t t r i b u t e I D > < O v e r r i d e B e h a v i o r > N o n e < / O v e r r i d e B e h a v i o r > < N a m e > C o n s t r u c t i o n S t a r t e d Y e a r < / N a m e > < / A t t r i b u t e R e l a t i o n s h i p > < A t t r i b u t e R e l a t i o n s h i p > < A t t r i b u t e I D > C o n s t r u c t i o n C o m p l e t e d Y e a r < / A t t r i b u t e I D > < O v e r r i d e B e h a v i o r > N o n e < / O v e r r i d e B e h a v i o r > < N a m e > C o n s t r u c t i o n C o m p l e t e d Y e a r < / N a m e > < / A t t r i b u t e R e l a t i o n s h i p > < A t t r i b u t e R e l a t i o n s h i p > < A t t r i b u t e I D > P a r t n e r s C o u n t < / A t t r i b u t e I D > < O v e r r i d e B e h a v i o r > N o n e < / O v e r r i d e B e h a v i o r > < N a m e > P a r t n e r s C o u n t < / N a m e > < / A t t r i b u t e R e l a t i o n s h i p > < A t t r i b u t e R e l a t i o n s h i p > < A t t r i b u t e I D > O t h e r s I n v o l v e d < / A t t r i b u t e I D > < O v e r r i d e B e h a v i o r > N o n e < / O v e r r i d e B e h a v i o r > < N a m e > O t h e r s I n v o l v e d < / N a m e > < / A t t r i b u t e R e l a t i o n s h i p > < A t t r i b u t e R e l a t i o n s h i p > < A t t r i b u t e I D > K e y w o r d M e a s u r e s C o u n t < / A t t r i b u t e I D > < O v e r r i d e B e h a v i o r > N o n e < / O v e r r i d e B e h a v i o r > < N a m e > K e y w o r d M e a s u r e s C o u n t < / N a m e > < / A t t r i b u t e R e l a t i o n s h i p > < A t t r i b u t e R e l a t i o n s h i p > < A t t r i b u t e I D > C o l l a b o r a t i o n < / A t t r i b u t e I D > < O v e r r i d e B e h a v i o r > N o n e < / O v e r r i d e B e h a v i o r > < N a m e > C o l l a b o r a t i o n < / N a m e > < / A t t r i b u t e R e l a t i o n s h i p > < A t t r i b u t e R e l a t i o n s h i p > < A t t r i b u t e I D > M u n i c i p a l i t i e s C o l l a b o r a t i o n < / A t t r i b u t e I D > < O v e r r i d e B e h a v i o r > N o n e < / O v e r r i d e B e h a v i o r > < N a m e > M u n i c i p a l i t i e s C o l l a b o r a t i o n < / N a m e > < / A t t r i b u t e R e l a t i o n s h i p > < A t t r i b u t e R e l a t i o n s h i p > < A t t r i b u t e I D > P r i v a t e C o l l a b o r a t i o n < / A t t r i b u t e I D > < O v e r r i d e B e h a v i o r > N o n e < / O v e r r i d e B e h a v i o r > < N a m e > P r i v a t e C o l l a b o r a t i o n < / N a m e > < / A t t r i b u t e R e l a t i o n s h i p > < A t t r i b u t e R e l a t i o n s h i p > < A t t r i b u t e I D > O t h e r C o l l a b o r a t i o n < / A t t r i b u t e I D > < O v e r r i d e B e h a v i o r > N o n e < / O v e r r i d e B e h a v i o r > < N a m e > O t h e r C o l l a b o r a t i o n < / N a m e > < / A t t r i b u t e R e l a t i o n s h i p > < A t t r i b u t e R e l a t i o n s h i p > < A t t r i b u t e I D > P r o g r e s s D e s c r i p t i o n < / A t t r i b u t e I D > < O v e r r i d e B e h a v i o r > N o n e < / O v e r r i d e B e h a v i o r > < N a m e > P r o g r e s s D e s c r i p t i o n < / N a m e > < / A t t r i b u t e R e l a t i o n s h i p > < A t t r i b u t e R e l a t i o n s h i p > < A t t r i b u t e I D > P r o g r e s s S t a t u s < / A t t r i b u t e I D > < O v e r r i d e B e h a v i o r > N o n e < / O v e r r i d e B e h a v i o r > < N a m e > P r o g r e s s S t a t u s < / N a m e > < / A t t r i b u t e R e l a t i o n s h i p > < A t t r i b u t e R e l a t i o n s h i p > < A t t r i b u t e I D > F B y e r O t h e r R e s u l t s < / A t t r i b u t e I D > < O v e r r i d e B e h a v i o r > N o n e < / O v e r r i d e B e h a v i o r > < N a m e > F B y e r O t h e r R e s u l t s < / N a m e > < / A t t r i b u t e R e l a t i o n s h i p > < A t t r i b u t e R e l a t i o n s h i p > < A t t r i b u t e I D > F B y e r C o s t s < / A t t r i b u t e I D > < O v e r r i d e B e h a v i o r > N o n e < / O v e r r i d e B e h a v i o r > < N a m e > F B y e r C o s t s < / N a m e > < / A t t r i b u t e R e l a t i o n s h i p > < A t t r i b u t e R e l a t i o n s h i p > < A t t r i b u t e I D > F B y e r I m p o r t a n c e < / A t t r i b u t e I D > < O v e r r i d e B e h a v i o r > N o n e < / O v e r r i d e B e h a v i o r > < N a m e > F B y e r I m p o r t a n c e < / N a m e > < / A t t r i b u t e R e l a t i o n s h i p > < A t t r i b u t e R e l a t i o n s h i p > < A t t r i b u t e I D > F B y e r T i m e U s a g e < / A t t r i b u t e I D > < O v e r r i d e B e h a v i o r > N o n e < / O v e r r i d e B e h a v i o r > < N a m e > F B y e r T i m e U s a g e < / N a m e > < / A t t r i b u t e R e l a t i o n s h i p > < A t t r i b u t e R e l a t i o n s h i p > < A t t r i b u t e I D > F B y e r P e o p l e I n f o r m e d < / A t t r i b u t e I D > < O v e r r i d e B e h a v i o r > N o n e < / O v e r r i d e B e h a v i o r > < N a m e > F B y e r P e o p l e I n f o r m e d < / N a m e > < / A t t r i b u t e R e l a t i o n s h i p > < A t t r i b u t e R e l a t i o n s h i p > < A t t r i b u t e I D > F B y e r O t h e r R e m a r k s < / A t t r i b u t e I D > < O v e r r i d e B e h a v i o r > N o n e < / O v e r r i d e B e h a v i o r > < N a m e > F B y e r O t h e r R e m a r k s < / N a m e > < / A t t r i b u t e R e l a t i o n s h i p > < A t t r i b u t e R e l a t i o n s h i p > < A t t r i b u t e I D > P r o j e c t P h a s e C o u n t < / A t t r i b u t e I D > < O v e r r i d e B e h a v i o r > N o n e < / O v e r r i d e B e h a v i o r > < N a m e > P r o j e c t P h a s e C o u n t < / N a m e > < / A t t r i b u t e R e l a t i o n s h i p > < A t t r i b u t e R e l a t i o n s h i p > < A t t r i b u t e I D > P r o j e c t T y p e s C o u n t < / A t t r i b u t e I D > < O v e r r i d e B e h a v i o r > N o n e < / O v e r r i d e B e h a v i o r > < N a m e > P r o j e c t T y p e s C o u n t < / N a m e > < / A t t r i b u t e R e l a t i o n s h i p > < A t t r i b u t e R e l a t i o n s h i p > < A t t r i b u t e I D > F u n c t i o n B u i l d i n g C a t e g o r y C o u n t < / A t t r i b u t e I D > < O v e r r i d e B e h a v i o r > N o n e < / O v e r r i d e B e h a v i o r > < N a m e > F u n c t i o n B u i l d i n g C a t e g o r y C o u n t < / N a m e > < / A t t r i b u t e R e l a t i o n s h i p > < A t t r i b u t e R e l a t i o n s h i p > < A t t r i b u t e I D > P r o j e c t C o m p e t i t i o n F o r m C o u n t < / A t t r i b u t e I D > < O v e r r i d e B e h a v i o r > N o n e < / O v e r r i d e B e h a v i o r > < N a m e > P r o j e c t C o m p e t i t i o n F o r m C o u n t < / N a m e > < / A t t r i b u t e R e l a t i o n s h i p > < A t t r i b u t e R e l a t i o n s h i p > < A t t r i b u t e I D > P r o j e c t C o n t r a c t i n g F o r m C o u n t < / A t t r i b u t e I D > < O v e r r i d e B e h a v i o r > N o n e < / O v e r r i d e B e h a v i o r > < N a m e > P r o j e c t C o n t r a c t i n g F o r m C o u n t < / N a m e > < / A t t r i b u t e R e l a t i o n s h i p > < A t t r i b u t e R e l a t i o n s h i p > < A t t r i b u t e I D > P r o j e c t E n v i r o n m e n t a l S t a n d a r d C o u n t < / A t t r i b u t e I D > < O v e r r i d e B e h a v i o r > N o n e < / O v e r r i d e B e h a v i o r > < N a m e > P r o j e c t E n v i r o n m e n t a l S t a n d a r d C o u n t < / N a m e > < / A t t r i b u t e R e l a t i o n s h i p > < A t t r i b u t e R e l a t i o n s h i p > < A t t r i b u t e I D > P r o j e c t A w a r d s C o u n t < / A t t r i b u t e I D > < O v e r r i d e B e h a v i o r > N o n e < / O v e r r i d e B e h a v i o r > < N a m e > P r o j e c t A w a r d s C o u n t < / N a m e > < / A t t r i b u t e R e l a t i o n s h i p > < A t t r i b u t e R e l a t i o n s h i p > < A t t r i b u t e I D > P r o j e c t R o l e M o d e l C o u n t < / A t t r i b u t e I D > < O v e r r i d e B e h a v i o r > N o n e < / O v e r r i d e B e h a v i o r > < N a m e > P r o j e c t R o l e M o d e l C o u n t < / N a m e > < / A t t r i b u t e R e l a t i o n s h i p > < A t t r i b u t e R e l a t i o n s h i p > < A t t r i b u t e I D > P r o j e c t R e s e a r c h C o u n t < / A t t r i b u t e I D > < O v e r r i d e B e h a v i o r > N o n e < / O v e r r i d e B e h a v i o r > < N a m e > P r o j e c t R e s e a r c h C o u n t < / N a m e > < / A t t r i b u t e R e l a t i o n s h i p > < A t t r i b u t e R e l a t i o n s h i p > < A t t r i b u t e I D > P r o j e c t A r c h i t e c t u r e G u i d e C o u n t < / A t t r i b u t e I D > < O v e r r i d e B e h a v i o r > N o n e < / O v e r r i d e B e h a v i o r > < N a m e > P r o j e c t A r c h i t e c t u r e G u i d e C o u n t < / N a m e > < / A t t r i b u t e R e l a t i o n s h i p > < A t t r i b u t e R e l a t i o n s h i p > < A t t r i b u t e I D > B u i l d e r s C o u n t < / A t t r i b u t e I D > < O v e r r i d e B e h a v i o r > N o n e < / O v e r r i d e B e h a v i o r > < N a m e > B u i l d e r s C o u n t < / N a m e > < / A t t r i b u t e R e l a t i o n s h i p > < A t t r i b u t e R e l a t i o n s h i p > < A t t r i b u t e I D > A r c h i t e c t A R K C o u n t < / A t t r i b u t e I D > < O v e r r i d e B e h a v i o r > N o n e < / O v e r r i d e B e h a v i o r > < N a m e > A r c h i t e c t A R K C o u n t < / N a m e > < / A t t r i b u t e R e l a t i o n s h i p > < A t t r i b u t e R e l a t i o n s h i p > < A t t r i b u t e I D > A r c h i t e c t L A R K C o u n t < / A t t r i b u t e I D > < O v e r r i d e B e h a v i o r > N o n e < / O v e r r i d e B e h a v i o r > < N a m e > A r c h i t e c t L A R K C o u n t < / N a m e > < / A t t r i b u t e R e l a t i o n s h i p > < A t t r i b u t e R e l a t i o n s h i p > < A t t r i b u t e I D > A r c h i t e c t I A R K C o u n t < / A t t r i b u t e I D > < O v e r r i d e B e h a v i o r > N o n e < / O v e r r i d e B e h a v i o r > < N a m e > A r c h i t e c t I A R K C o u n t < / N a m e > < / A t t r i b u t e R e l a t i o n s h i p > < A t t r i b u t e R e l a t i o n s h i p > < A t t r i b u t e I D > O r i g i n a l A r c h i t e c t C o u n t < / A t t r i b u t e I D > < O v e r r i d e B e h a v i o r > N o n e < / O v e r r i d e B e h a v i o r > < N a m e > O r i g i n a l A r c h i t e c t C o u n t < / N a m e > < / A t t r i b u t e R e l a t i o n s h i p > < A t t r i b u t e R e l a t i o n s h i p > < A t t r i b u t e I D > P r o j e c t M a n a g a g e r s C o u n t < / A t t r i b u t e I D > < O v e r r i d e B e h a v i o r > N o n e < / O v e r r i d e B e h a v i o r > < N a m e > P r o j e c t M a n a g a g e r s C o u n t < / N a m e > < / A t t r i b u t e R e l a t i o n s h i p > < A t t r i b u t e R e l a t i o n s h i p > < A t t r i b u t e I D > E n v i r o n m e n t C o n s u l t a n t s C o u n t < / A t t r i b u t e I D > < O v e r r i d e B e h a v i o r > N o n e < / O v e r r i d e B e h a v i o r > < N a m e > E n v i r o n m e n t C o n s u l t a n t s C o u n t < / N a m e > < / A t t r i b u t e R e l a t i o n s h i p > < A t t r i b u t e R e l a t i o n s h i p > < A t t r i b u t e I D > E n e r g y C o n s u l t a n t s C o u n t < / A t t r i b u t e I D > < O v e r r i d e B e h a v i o r > N o n e < / O v e r r i d e B e h a v i o r > < N a m e > E n e r g y C o n s u l t a n t s C o u n t < / N a m e > < / A t t r i b u t e R e l a t i o n s h i p > < A t t r i b u t e R e l a t i o n s h i p > < A t t r i b u t e I D > U n i v e r s a l D e s i g n C o n s u l t a n t s C o u n t < / A t t r i b u t e I D > < O v e r r i d e B e h a v i o r > N o n e < / O v e r r i d e B e h a v i o r > < N a m e > U n i v e r s a l D e s i g n C o n s u l t a n t s C o u n t < / N a m e > < / A t t r i b u t e R e l a t i o n s h i p > < A t t r i b u t e R e l a t i o n s h i p > < A t t r i b u t e I D > A d v i s o r I n g B y g g N a m e < / A t t r i b u t e I D > < O v e r r i d e B e h a v i o r > N o n e < / O v e r r i d e B e h a v i o r > < N a m e > A d v i s o r I n g B y g g N a m e < / N a m e > < / A t t r i b u t e R e l a t i o n s h i p > < A t t r i b u t e R e l a t i o n s h i p > < A t t r i b u t e I D > A d v i s o r I n g B y g g I d < / A t t r i b u t e I D > < O v e r r i d e B e h a v i o r > N o n e < / O v e r r i d e B e h a v i o r > < N a m e > A d v i s o r I n g B y g g I d < / N a m e > < / A t t r i b u t e R e l a t i o n s h i p > < A t t r i b u t e R e l a t i o n s h i p > < A t t r i b u t e I D > A d v i s o r I n g V V S N a m e < / A t t r i b u t e I D > < O v e r r i d e B e h a v i o r > N o n e < / O v e r r i d e B e h a v i o r > < N a m e > A d v i s o r I n g V V S N a m e < / N a m e > < / A t t r i b u t e R e l a t i o n s h i p > < A t t r i b u t e R e l a t i o n s h i p > < A t t r i b u t e I D > A d v i s o r I n g V V S I d < / A t t r i b u t e I D > < O v e r r i d e B e h a v i o r > N o n e < / O v e r r i d e B e h a v i o r > < N a m e > A d v i s o r I n g V V S I d < / N a m e > < / A t t r i b u t e R e l a t i o n s h i p > < A t t r i b u t e R e l a t i o n s h i p > < A t t r i b u t e I D > A d v i s o r I n g E l e k t r o N a m e < / A t t r i b u t e I D > < O v e r r i d e B e h a v i o r > N o n e < / O v e r r i d e B e h a v i o r > < N a m e > A d v i s o r I n g E l e k t r o N a m e < / N a m e > < / A t t r i b u t e R e l a t i o n s h i p > < A t t r i b u t e R e l a t i o n s h i p > < A t t r i b u t e I D > A d v i s o r I n g E l e k t r o I d < / A t t r i b u t e I D > < O v e r r i d e B e h a v i o r > N o n e < / O v e r r i d e B e h a v i o r > < N a m e > A d v i s o r I n g E l e k t r o I d < / N a m e > < / A t t r i b u t e R e l a t i o n s h i p > < A t t r i b u t e R e l a t i o n s h i p > < A t t r i b u t e I D > A d v i s o r i n g B u i l d i n g P h y s i c s N a m e < / A t t r i b u t e I D > < O v e r r i d e B e h a v i o r > N o n e < / O v e r r i d e B e h a v i o r > < N a m e > A d v i s o r i n g B u i l d i n g P h y s i c s N a m e < / N a m e > < / A t t r i b u t e R e l a t i o n s h i p > < A t t r i b u t e R e l a t i o n s h i p > < A t t r i b u t e I D > A d v i s o r i n g B u i l d i n g P h y s i c s I d < / A t t r i b u t e I D > < O v e r r i d e B e h a v i o r > N o n e < / O v e r r i d e B e h a v i o r > < N a m e > A d v i s o r i n g B u i l d i n g P h y s i c s I d < / N a m e > < / A t t r i b u t e R e l a t i o n s h i p > < A t t r i b u t e R e l a t i o n s h i p > < A t t r i b u t e I D > A d v i s o r I n g F i r e S a f e t y N a m e < / A t t r i b u t e I D > < O v e r r i d e B e h a v i o r > N o n e < / O v e r r i d e B e h a v i o r > < N a m e > A d v i s o r I n g F i r e S a f e t y N a m e < / N a m e > < / A t t r i b u t e R e l a t i o n s h i p > < A t t r i b u t e R e l a t i o n s h i p > < A t t r i b u t e I D > A d v i s o r I n g F i r e S a f e t y I d < / A t t r i b u t e I D > < O v e r r i d e B e h a v i o r > N o n e < / O v e r r i d e B e h a v i o r > < N a m e > A d v i s o r I n g F i r e S a f e t y I d < / N a m e > < / A t t r i b u t e R e l a t i o n s h i p > < A t t r i b u t e R e l a t i o n s h i p > < A t t r i b u t e I D > A d v i s o r I n g A c o u s t i c s N a m e < / A t t r i b u t e I D > < O v e r r i d e B e h a v i o r > N o n e < / O v e r r i d e B e h a v i o r > < N a m e > A d v i s o r I n g A c o u s t i c s N a m e < / N a m e > < / A t t r i b u t e R e l a t i o n s h i p > < A t t r i b u t e R e l a t i o n s h i p > < A t t r i b u t e I D > A d v i s o r I n g A c o u s t i c s I d < / A t t r i b u t e I D > < O v e r r i d e B e h a v i o r > N o n e < / O v e r r i d e B e h a v i o r > < N a m e > A d v i s o r I n g A c o u s t i c s I d < / N a m e > < / A t t r i b u t e R e l a t i o n s h i p > < A t t r i b u t e R e l a t i o n s h i p > < A t t r i b u t e I D > O t h e r A d v i s o r s < / A t t r i b u t e I D > < O v e r r i d e B e h a v i o r > N o n e < / O v e r r i d e B e h a v i o r > < N a m e > O t h e r A d v i s o r s < / N a m e > < / A t t r i b u t e R e l a t i o n s h i p > < A t t r i b u t e R e l a t i o n s h i p > < A t t r i b u t e I D > C o n t r a c t o r s C o u n t < / A t t r i b u t e I D > < O v e r r i d e B e h a v i o r > N o n e < / O v e r r i d e B e h a v i o r > < N a m e > C o n t r a c t o r s C o u n t < / N a m e > < / A t t r i b u t e R e l a t i o n s h i p > < A t t r i b u t e R e l a t i o n s h i p > < A t t r i b u t e I D > C o n s t r u c t i o n M a n a g e m e n t C o u n t < / A t t r i b u t e I D > < O v e r r i d e B e h a v i o r > N o n e < / O v e r r i d e B e h a v i o r > < N a m e > C o n s t r u c t i o n M a n a g e m e n t C o u n t < / N a m e > < / A t t r i b u t e R e l a t i o n s h i p > < A t t r i b u t e R e l a t i o n s h i p > < A t t r i b u t e I D > S u p p l i e r s C o u n t < / A t t r i b u t e I D > < O v e r r i d e B e h a v i o r > N o n e < / O v e r r i d e B e h a v i o r > < N a m e > S u p p l i e r s C o u n t < / N a m e > < / A t t r i b u t e R e l a t i o n s h i p > < A t t r i b u t e R e l a t i o n s h i p > < A t t r i b u t e I D > S u b C o n t r a c t o r s < / A t t r i b u t e I D > < O v e r r i d e B e h a v i o r > N o n e < / O v e r r i d e B e h a v i o r > < N a m e > S u b C o n t r a c t o r s < / N a m e > < / A t t r i b u t e R e l a t i o n s h i p > < A t t r i b u t e R e l a t i o n s h i p > < A t t r i b u t e I D > S h o w K e y F i g u r e s < / A t t r i b u t e I D > < O v e r r i d e B e h a v i o r > N o n e < / O v e r r i d e B e h a v i o r > < N a m e > S h o w K e y F i g u r e s < / N a m e > < / A t t r i b u t e R e l a t i o n s h i p > < A t t r i b u t e R e l a t i o n s h i p > < A t t r i b u t e I D > A r e a U s e d < / A t t r i b u t e I D > < O v e r r i d e B e h a v i o r > N o n e < / O v e r r i d e B e h a v i o r > < N a m e > A r e a U s e d < / N a m e > < / A t t r i b u t e R e l a t i o n s h i p > < A t t r i b u t e R e l a t i o n s h i p > < A t t r i b u t e I D > N u m b e r O f R e s i d e n t s < / A t t r i b u t e I D > < O v e r r i d e B e h a v i o r > N o n e < / O v e r r i d e B e h a v i o r > < N a m e > N u m b e r O f R e s i d e n t s < / N a m e > < / A t t r i b u t e R e l a t i o n s h i p > < A t t r i b u t e R e l a t i o n s h i p > < A t t r i b u t e I D > S q u a r e F o o t B T A < / A t t r i b u t e I D > < O v e r r i d e B e h a v i o r > N o n e < / O v e r r i d e B e h a v i o r > < N a m e > S q u a r e F o o t B T A < / N a m e > < / A t t r i b u t e R e l a t i o n s h i p > < A t t r i b u t e R e l a t i o n s h i p > < A t t r i b u t e I D > G r o s s S q u a r e F o o t B T A < / A t t r i b u t e I D > < O v e r r i d e B e h a v i o r > N o n e < / O v e r r i d e B e h a v i o r > < N a m e > G r o s s S q u a r e F o o t B T A < / N a m e > < / A t t r i b u t e R e l a t i o n s h i p > < A t t r i b u t e R e l a t i o n s h i p > < A t t r i b u t e I D > G r o s s S q u a r e F o o t < / A t t r i b u t e I D > < O v e r r i d e B e h a v i o r > N o n e < / O v e r r i d e B e h a v i o r > < N a m e > G r o s s S q u a r e F o o t < / N a m e > < / A t t r i b u t e R e l a t i o n s h i p > < A t t r i b u t e R e l a t i o n s h i p > < A t t r i b u t e I D > G r o s s S q u a r e F o o t H e a t e d < / A t t r i b u t e I D > < O v e r r i d e B e h a v i o r > N o n e < / O v e r r i d e B e h a v i o r > < N a m e > G r o s s S q u a r e F o o t H e a t e d < / N a m e > < / A t t r i b u t e R e l a t i o n s h i p > < A t t r i b u t e R e l a t i o n s h i p > < A t t r i b u t e I D > S q u a r e F o o t G l a s s < / A t t r i b u t e I D > < O v e r r i d e B e h a v i o r > N o n e < / O v e r r i d e B e h a v i o r > < N a m e > S q u a r e F o o t G l a s s < / N a m e > < / A t t r i b u t e R e l a t i o n s h i p > < A t t r i b u t e R e l a t i o n s h i p > < A t t r i b u t e I D > C o m p a c t n e s s F a c t o r < / A t t r i b u t e I D > < O v e r r i d e B e h a v i o r > N o n e < / O v e r r i d e B e h a v i o r > < N a m e > C o m p a c t n e s s F a c t o r < / N a m e > < / A t t r i b u t e R e l a t i o n s h i p > < A t t r i b u t e R e l a t i o n s h i p > < A t t r i b u t e I D > G r e e n A r e a I n c e a s e < / A t t r i b u t e I D > < O v e r r i d e B e h a v i o r > N o n e < / O v e r r i d e B e h a v i o r > < N a m e > G r e e n A r e a I n c e a s e < / N a m e > < / A t t r i b u t e R e l a t i o n s h i p > < A t t r i b u t e R e l a t i o n s h i p > < A t t r i b u t e I D > H a r d A r e a R e d u c t i o n < / A t t r i b u t e I D > < O v e r r i d e B e h a v i o r > N o n e < / O v e r r i d e B e h a v i o r > < N a m e > H a r d A r e a R e d u c t i o n < / N a m e > < / A t t r i b u t e R e l a t i o n s h i p > < A t t r i b u t e R e l a t i o n s h i p > < A t t r i b u t e I D > W a l k w a y s L e n g t h < / A t t r i b u t e I D > < O v e r r i d e B e h a v i o r > N o n e < / O v e r r i d e B e h a v i o r > < N a m e > W a l k w a y s L e n g t h < / N a m e > < / A t t r i b u t e R e l a t i o n s h i p > < A t t r i b u t e R e l a t i o n s h i p > < A t t r i b u t e I D > D i s t a n c e T o C o l l e c t i v e P o i n t < / A t t r i b u t e I D > < O v e r r i d e B e h a v i o r > N o n e < / O v e r r i d e B e h a v i o r > < N a m e > D i s t a n c e T o C o l l e c t i v e P o i n t < / N a m e > < / A t t r i b u t e R e l a t i o n s h i p > < A t t r i b u t e R e l a t i o n s h i p > < A t t r i b u t e I D > D i s t a n c e T o C i t y C e n t e r < / A t t r i b u t e I D > < O v e r r i d e B e h a v i o r > N o n e < / O v e r r i d e B e h a v i o r > < N a m e > D i s t a n c e T o C i t y C e n t e r < / N a m e > < / A t t r i b u t e R e l a t i o n s h i p > < A t t r i b u t e R e l a t i o n s h i p > < A t t r i b u t e I D > P a r k i n g A r e a < / A t t r i b u t e I D > < O v e r r i d e B e h a v i o r > N o n e < / O v e r r i d e B e h a v i o r > < N a m e > P a r k i n g A r e a < / N a m e > < / A t t r i b u t e R e l a t i o n s h i p > < A t t r i b u t e R e l a t i o n s h i p > < A t t r i b u t e I D > P a r k i n g S p o t s P e r U n i t < / A t t r i b u t e I D > < O v e r r i d e B e h a v i o r > N o n e < / O v e r r i d e B e h a v i o r > < N a m e > P a r k i n g S p o t s P e r U n i t < / N a m e > < / A t t r i b u t e R e l a t i o n s h i p > < A t t r i b u t e R e l a t i o n s h i p > < A t t r i b u t e I D > B i k e P a r k i n g A r e a < / A t t r i b u t e I D > < O v e r r i d e B e h a v i o r > N o n e < / O v e r r i d e B e h a v i o r > < N a m e > B i k e P a r k i n g A r e a < / N a m e > < / A t t r i b u t e R e l a t i o n s h i p > < A t t r i b u t e R e l a t i o n s h i p > < A t t r i b u t e I D > B i k e P a r k i n g S p o t s P e r U n i t < / A t t r i b u t e I D > < O v e r r i d e B e h a v i o r > N o n e < / O v e r r i d e B e h a v i o r > < N a m e > B i k e P a r k i n g S p o t s P e r U n i t < / N a m e > < / A t t r i b u t e R e l a t i o n s h i p > < A t t r i b u t e R e l a t i o n s h i p > < A t t r i b u t e I D > F B y e r C O 2 < / A t t r i b u t e I D > < O v e r r i d e B e h a v i o r > N o n e < / O v e r r i d e B e h a v i o r > < N a m e > F B y e r C O 2 < / N a m e > < / A t t r i b u t e R e l a t i o n s h i p > < A t t r i b u t e R e l a t i o n s h i p > < A t t r i b u t e I D > C O 2 M e t h o d < / A t t r i b u t e I D > < O v e r r i d e B e h a v i o r > N o n e < / O v e r r i d e B e h a v i o r > < N a m e > C O 2 M e t h o d < / N a m e > < / A t t r i b u t e R e l a t i o n s h i p > < A t t r i b u t e R e l a t i o n s h i p > < A t t r i b u t e I D > C O 2 R e f e r e n c e E n e r g y < / A t t r i b u t e I D > < O v e r r i d e B e h a v i o r > N o n e < / O v e r r i d e B e h a v i o r > < N a m e > C O 2 R e f e r e n c e E n e r g y < / N a m e > < / A t t r i b u t e R e l a t i o n s h i p > < A t t r i b u t e R e l a t i o n s h i p > < A t t r i b u t e I D > C O 2 R e f e r e n c e M a t e r i a l s < / A t t r i b u t e I D > < O v e r r i d e B e h a v i o r > N o n e < / O v e r r i d e B e h a v i o r > < N a m e > C O 2 R e f e r e n c e M a t e r i a l s < / N a m e > < / A t t r i b u t e R e l a t i o n s h i p > < A t t r i b u t e R e l a t i o n s h i p > < A t t r i b u t e I D > C O 2 R e f e r e n c e T r a n s p o r t < / A t t r i b u t e I D > < O v e r r i d e B e h a v i o r > N o n e < / O v e r r i d e B e h a v i o r > < N a m e > C O 2 R e f e r e n c e T r a n s p o r t < / N a m e > < / A t t r i b u t e R e l a t i o n s h i p > < A t t r i b u t e R e l a t i o n s h i p > < A t t r i b u t e I D > C O 2 D e s i g n e d E n e r g y < / A t t r i b u t e I D > < O v e r r i d e B e h a v i o r > N o n e < / O v e r r i d e B e h a v i o r > < N a m e > C O 2 D e s i g n e d E n e r g y < / N a m e > < / A t t r i b u t e R e l a t i o n s h i p > < A t t r i b u t e R e l a t i o n s h i p > < A t t r i b u t e I D > C O 2 D e s i g n e d M a t e r i a l s < / A t t r i b u t e I D > < O v e r r i d e B e h a v i o r > N o n e < / O v e r r i d e B e h a v i o r > < N a m e > C O 2 D e s i g n e d M a t e r i a l s < / N a m e > < / A t t r i b u t e R e l a t i o n s h i p > < A t t r i b u t e R e l a t i o n s h i p > < A t t r i b u t e I D > C O 2 D e s i g n e d T r a n s p o r t < / A t t r i b u t e I D > < O v e r r i d e B e h a v i o r > N o n e < / O v e r r i d e B e h a v i o r > < N a m e > C O 2 D e s i g n e d T r a n s p o r t < / N a m e > < / A t t r i b u t e R e l a t i o n s h i p > < A t t r i b u t e R e l a t i o n s h i p > < A t t r i b u t e I D > C O 2 F i n i s h e d E n e r g y < / A t t r i b u t e I D > < O v e r r i d e B e h a v i o r > N o n e < / O v e r r i d e B e h a v i o r > < N a m e > C O 2 F i n i s h e d E n e r g y < / N a m e > < / A t t r i b u t e R e l a t i o n s h i p > < A t t r i b u t e R e l a t i o n s h i p > < A t t r i b u t e I D > C O 2 F i n i s h e d M a t e r i a l s < / A t t r i b u t e I D > < O v e r r i d e B e h a v i o r > N o n e < / O v e r r i d e B e h a v i o r > < N a m e > C O 2 F i n i s h e d M a t e r i a l s < / N a m e > < / A t t r i b u t e R e l a t i o n s h i p > < A t t r i b u t e R e l a t i o n s h i p > < A t t r i b u t e I D > C O 2 F i n i s h e d T r a n s p o r t < / A t t r i b u t e I D > < O v e r r i d e B e h a v i o r > N o n e < / O v e r r i d e B e h a v i o r > < N a m e > C O 2 F i n i s h e d T r a n s p o r t < / N a m e > < / A t t r i b u t e R e l a t i o n s h i p > < A t t r i b u t e R e l a t i o n s h i p > < A t t r i b u t e I D > C O 2 I n U s e E n e r g y < / A t t r i b u t e I D > < O v e r r i d e B e h a v i o r > N o n e < / O v e r r i d e B e h a v i o r > < N a m e > C O 2 I n U s e E n e r g y < / N a m e > < / A t t r i b u t e R e l a t i o n s h i p > < A t t r i b u t e R e l a t i o n s h i p > < A t t r i b u t e I D > C O 2 I n U s e M a t e r i a l s < / A t t r i b u t e I D > < O v e r r i d e B e h a v i o r > N o n e < / O v e r r i d e B e h a v i o r > < N a m e > C O 2 I n U s e M a t e r i a l s < / N a m e > < / A t t r i b u t e R e l a t i o n s h i p > < A t t r i b u t e R e l a t i o n s h i p > < A t t r i b u t e I D > C O 2 I n U s e T r a n s p o r t < / A t t r i b u t e I D > < O v e r r i d e B e h a v i o r > N o n e < / O v e r r i d e B e h a v i o r > < N a m e > C O 2 I n U s e T r a n s p o r t < / N a m e > < / A t t r i b u t e R e l a t i o n s h i p > < A t t r i b u t e R e l a t i o n s h i p > < A t t r i b u t e I D > E n e r g y L a b e l < / A t t r i b u t e I D > < O v e r r i d e B e h a v i o r > N o n e < / O v e r r i d e B e h a v i o r > < N a m e > E n e r g y L a b e l < / N a m e > < / A t t r i b u t e R e l a t i o n s h i p > < A t t r i b u t e R e l a t i o n s h i p > < A t t r i b u t e I D > H e a t R a t i n g < / A t t r i b u t e I D > < O v e r r i d e B e h a v i o r > N o n e < / O v e r r i d e B e h a v i o r > < N a m e > H e a t R a t i n g < / N a m e > < / A t t r i b u t e R e l a t i o n s h i p > < A t t r i b u t e R e l a t i o n s h i p > < A t t r i b u t e I D > E n e r g y C o n s u m p t i o n < / A t t r i b u t e I D > < O v e r r i d e B e h a v i o r > N o n e < / O v e r r i d e B e h a v i o r > < N a m e > E n e r g y C o n s u m p t i o n < / N a m e > < / A t t r i b u t e R e l a t i o n s h i p > < A t t r i b u t e R e l a t i o n s h i p > < A t t r i b u t e I D > E n e r g y S o u r c e s < / A t t r i b u t e I D > < O v e r r i d e B e h a v i o r > N o n e < / O v e r r i d e B e h a v i o r > < N a m e > E n e r g y S o u r c e s < / N a m e > < / A t t r i b u t e R e l a t i o n s h i p > < A t t r i b u t e R e l a t i o n s h i p > < A t t r i b u t e I D > N e t E n e r g y 3 7 0 0 < / A t t r i b u t e I D > < O v e r r i d e B e h a v i o r > N o n e < / O v e r r i d e B e h a v i o r > < N a m e > N e t E n e r g y 3 7 0 0 < / N a m e > < / A t t r i b u t e R e l a t i o n s h i p > < A t t r i b u t e R e l a t i o n s h i p > < A t t r i b u t e I D > E s t i m a t e d D e l i v e r e d E n e r g y 3 7 0 0 < / A t t r i b u t e I D > < O v e r r i d e B e h a v i o r > N o n e < / O v e r r i d e B e h a v i o r > < N a m e > E s t i m a t e d D e l i v e r e d E n e r g y 3 7 0 0 < / N a m e > < / A t t r i b u t e R e l a t i o n s h i p > < A t t r i b u t e R e l a t i o n s h i p > < A t t r i b u t e I D > N e t E n e r g y < / A t t r i b u t e I D > < O v e r r i d e B e h a v i o r > N o n e < / O v e r r i d e B e h a v i o r > < N a m e > N e t E n e r g y < / N a m e > < / A t t r i b u t e R e l a t i o n s h i p > < A t t r i b u t e R e l a t i o n s h i p > < A t t r i b u t e I D > E s t i m a t e d D e l i v e r e d E n e r g y < / A t t r i b u t e I D > < O v e r r i d e B e h a v i o r > N o n e < / O v e r r i d e B e h a v i o r > < N a m e > E s t i m a t e d D e l i v e r e d E n e r g y < / N a m e > < / A t t r i b u t e R e l a t i o n s h i p > < A t t r i b u t e R e l a t i o n s h i p > < A t t r i b u t e I D > E n e r g y S a v i n g s < / A t t r i b u t e I D > < O v e r r i d e B e h a v i o r > N o n e < / O v e r r i d e B e h a v i o r > < N a m e > E n e r g y S a v i n g s < / N a m e > < / A t t r i b u t e R e l a t i o n s h i p > < A t t r i b u t e R e l a t i o n s h i p > < A t t r i b u t e I D > E n e r g y C o n v e r t e d F r o m E l e c t r i c i t y T o R e n e w a b l e < / A t t r i b u t e I D > < O v e r r i d e B e h a v i o r > N o n e < / O v e r r i d e B e h a v i o r > < N a m e > E n e r g y C o n v e r t e d F r o m E l e c t r i c i t y T o R e n e w a b l e < / N a m e > < / A t t r i b u t e R e l a t i o n s h i p > < A t t r i b u t e R e l a t i o n s h i p > < A t t r i b u t e I D > E n e r g y C o n v e r t e d F r o m F o s s i l T o R e n e w a b l e < / A t t r i b u t e I D > < O v e r r i d e B e h a v i o r > N o n e < / O v e r r i d e B e h a v i o r > < N a m e > E n e r g y C o n v e r t e d F r o m F o s s i l T o R e n e w a b l e < / N a m e > < / A t t r i b u t e R e l a t i o n s h i p > < A t t r i b u t e R e l a t i o n s h i p > < A t t r i b u t e I D > E n e r g y D e l i v e r e d < / A t t r i b u t e I D > < O v e r r i d e B e h a v i o r > N o n e < / O v e r r i d e B e h a v i o r > < N a m e > E n e r g y D e l i v e r e d < / N a m e > < / A t t r i b u t e R e l a t i o n s h i p > < A t t r i b u t e R e l a t i o n s h i p > < A t t r i b u t e I D > E n o v a F a c t s E n e r g y < / A t t r i b u t e I D > < O v e r r i d e B e h a v i o r > N o n e < / O v e r r i d e B e h a v i o r > < N a m e > E n o v a F a c t s E n e r g y < / N a m e > < / A t t r i b u t e R e l a t i o n s h i p > < A t t r i b u t e R e l a t i o n s h i p > < A t t r i b u t e I D > E n o v a F a c t s C o m f o r t < / A t t r i b u t e I D > < O v e r r i d e B e h a v i o r > N o n e < / O v e r r i d e B e h a v i o r > < N a m e > E n o v a F a c t s C o m f o r t < / N a m e > < / A t t r i b u t e R e l a t i o n s h i p > < A t t r i b u t e R e l a t i o n s h i p > < A t t r i b u t e I D > U V a l u e R o o f < / A t t r i b u t e I D > < O v e r r i d e B e h a v i o r > N o n e < / O v e r r i d e B e h a v i o r > < N a m e > U V a l u e R o o f < / N a m e > < / A t t r i b u t e R e l a t i o n s h i p > < A t t r i b u t e R e l a t i o n s h i p > < A t t r i b u t e I D > U V a l u e F l o o r < / A t t r i b u t e I D > < O v e r r i d e B e h a v i o r > N o n e < / O v e r r i d e B e h a v i o r > < N a m e > U V a l u e F l o o r < / N a m e > < / A t t r i b u t e R e l a t i o n s h i p > < A t t r i b u t e R e l a t i o n s h i p > < A t t r i b u t e I D > U V a l u e W a l l < / A t t r i b u t e I D > < O v e r r i d e B e h a v i o r > N o n e < / O v e r r i d e B e h a v i o r > < N a m e > U V a l u e W a l l < / N a m e > < / A t t r i b u t e R e l a t i o n s h i p > < A t t r i b u t e R e l a t i o n s h i p > < A t t r i b u t e I D > U V a l u e W i n d o w < / A t t r i b u t e I D > < O v e r r i d e B e h a v i o r > N o n e < / O v e r r i d e B e h a v i o r > < N a m e > U V a l u e W i n d o w < / N a m e > < / A t t r i b u t e R e l a t i o n s h i p > < A t t r i b u t e R e l a t i o n s h i p > < A t t r i b u t e I D > M e a s u r e d A i r T i g h t n e s s < / A t t r i b u t e I D > < O v e r r i d e B e h a v i o r > N o n e < / O v e r r i d e B e h a v i o r > < N a m e > M e a s u r e d A i r T i g h t n e s s < / N a m e > < / A t t r i b u t e R e l a t i o n s h i p > < A t t r i b u t e R e l a t i o n s h i p > < A t t r i b u t e I D > S p e c i f i c F a n P o w e r < / A t t r i b u t e I D > < O v e r r i d e B e h a v i o r > N o n e < / O v e r r i d e B e h a v i o r > < N a m e > S p e c i f i c F a n P o w e r < / N a m e > < / A t t r i b u t e R e l a t i o n s h i p > < A t t r i b u t e R e l a t i o n s h i p > < A t t r i b u t e I D > H e a t R e c o v e r y E f f i c i e n c y < / A t t r i b u t e I D > < O v e r r i d e B e h a v i o r > N o n e < / O v e r r i d e B e h a v i o r > < N a m e > H e a t R e c o v e r y E f f i c i e n c y < / N a m e > < / A t t r i b u t e R e l a t i o n s h i p > < A t t r i b u t e R e l a t i o n s h i p > < A t t r i b u t e I D > R o o m H e a t i n g < / A t t r i b u t e I D > < O v e r r i d e B e h a v i o r > N o n e < / O v e r r i d e B e h a v i o r > < N a m e > R o o m H e a t i n g < / N a m e > < / A t t r i b u t e R e l a t i o n s h i p > < A t t r i b u t e R e l a t i o n s h i p > < A t t r i b u t e I D > V e n t i l a t i o n H e a t i n g < / A t t r i b u t e I D > < O v e r r i d e B e h a v i o r > N o n e < / O v e r r i d e B e h a v i o r > < N a m e > V e n t i l a t i o n H e a t i n g < / N a m e > < / A t t r i b u t e R e l a t i o n s h i p > < A t t r i b u t e R e l a t i o n s h i p > < A t t r i b u t e I D > D o m e s t i c H o t W a t e r < / A t t r i b u t e I D > < O v e r r i d e B e h a v i o r > N o n e < / O v e r r i d e B e h a v i o r > < N a m e > D o m e s t i c H o t W a t e r < / N a m e > < / A t t r i b u t e R e l a t i o n s h i p > < A t t r i b u t e R e l a t i o n s h i p > < A t t r i b u t e I D > F a n A d m i n i s t r a t i o n < / A t t r i b u t e I D > < O v e r r i d e B e h a v i o r > N o n e < / O v e r r i d e B e h a v i o r > < N a m e > F a n A d m i n i s t r a t i o n < / N a m e > < / A t t r i b u t e R e l a t i o n s h i p > < A t t r i b u t e R e l a t i o n s h i p > < A t t r i b u t e I D > P u m p A d m i n i s t r a t i o n < / A t t r i b u t e I D > < O v e r r i d e B e h a v i o r > N o n e < / O v e r r i d e B e h a v i o r > < N a m e > P u m p A d m i n i s t r a t i o n < / N a m e > < / A t t r i b u t e R e l a t i o n s h i p > < A t t r i b u t e R e l a t i o n s h i p > < A t t r i b u t e I D > L i g h t i n g < / A t t r i b u t e I D > < O v e r r i d e B e h a v i o r > N o n e < / O v e r r i d e B e h a v i o r > < N a m e > L i g h t i n g < / N a m e > < / A t t r i b u t e R e l a t i o n s h i p > < A t t r i b u t e R e l a t i o n s h i p > < A t t r i b u t e I D > T e c h n i c a l E q u i p m e n t < / A t t r i b u t e I D > < O v e r r i d e B e h a v i o r > N o n e < / O v e r r i d e B e h a v i o r > < N a m e > T e c h n i c a l E q u i p m e n t < / N a m e > < / A t t r i b u t e R e l a t i o n s h i p > < A t t r i b u t e R e l a t i o n s h i p > < A t t r i b u t e I D > R o o m C o o l i n g < / A t t r i b u t e I D > < O v e r r i d e B e h a v i o r > N o n e < / O v e r r i d e B e h a v i o r > < N a m e > R o o m C o o l i n g < / N a m e > < / A t t r i b u t e R e l a t i o n s h i p > < A t t r i b u t e R e l a t i o n s h i p > < A t t r i b u t e I D > V e n t i l a t i o n C o o l i n g < / A t t r i b u t e I D > < O v e r r i d e B e h a v i o r > N o n e < / O v e r r i d e B e h a v i o r > < N a m e > V e n t i l a t i o n C o o l i n g < / N a m e > < / A t t r i b u t e R e l a t i o n s h i p > < A t t r i b u t e R e l a t i o n s h i p > < A t t r i b u t e I D > O t h e r E n e r g y P o s t s < / A t t r i b u t e I D > < O v e r r i d e B e h a v i o r > N o n e < / O v e r r i d e B e h a v i o r > < N a m e > O t h e r E n e r g y P o s t s < / N a m e > < / A t t r i b u t e R e l a t i o n s h i p > < A t t r i b u t e R e l a t i o n s h i p > < A t t r i b u t e I D > E n e r g y E f f i c i e n c y M e t h o d < / A t t r i b u t e I D > < O v e r r i d e B e h a v i o r > N o n e < / O v e r r i d e B e h a v i o r > < N a m e > E n e r g y E f f i c i e n c y M e t h o d < / N a m e > < / A t t r i b u t e R e l a t i o n s h i p > < A t t r i b u t e R e l a t i o n s h i p > < A t t r i b u t e I D > M a n u f a c t u r e r s < / A t t r i b u t e I D > < O v e r r i d e B e h a v i o r > N o n e < / O v e r r i d e B e h a v i o r > < N a m e > M a n u f a c t u r e r s < / N a m e > < / A t t r i b u t e R e l a t i o n s h i p > < A t t r i b u t e R e l a t i o n s h i p > < A t t r i b u t e I D > B u i l d i n g C o s t s < / A t t r i b u t e I D > < O v e r r i d e B e h a v i o r > N o n e < / O v e r r i d e B e h a v i o r > < N a m e > B u i l d i n g C o s t s < / N a m e > < / A t t r i b u t e R e l a t i o n s h i p > < A t t r i b u t e R e l a t i o n s h i p > < A t t r i b u t e I D > M e r k o s t n a d M 2 < / A t t r i b u t e I D > < O v e r r i d e B e h a v i o r > N o n e < / O v e r r i d e B e h a v i o r > < N a m e > M e r k o s t n a d M 2 < / N a m e > < / A t t r i b u t e R e l a t i o n s h i p > < A t t r i b u t e R e l a t i o n s h i p > < A t t r i b u t e I D > M e r k o s t n a d E n e r g i M 2 E n o v a < / A t t r i b u t e I D > < O v e r r i d e B e h a v i o r > N o n e < / O v e r r i d e B e h a v i o r > < N a m e > M e r k o s t n a d E n e r g i M 2 E n o v a < / N a m e > < / A t t r i b u t e R e l a t i o n s h i p > < A t t r i b u t e R e l a t i o n s h i p > < A t t r i b u t e I D > M e r k o s t n a d U n i v e r s e l l U t f o r m i n g M 2 < / A t t r i b u t e I D > < O v e r r i d e B e h a v i o r > N o n e < / O v e r r i d e B e h a v i o r > < N a m e > M e r k o s t n a d U n i v e r s e l l U t f o r m i n g M 2 < / N a m e > < / A t t r i b u t e R e l a t i o n s h i p > < A t t r i b u t e R e l a t i o n s h i p > < A t t r i b u t e I D > P r o j e c t S u p p o r t E n o v a < / A t t r i b u t e I D > < O v e r r i d e B e h a v i o r > N o n e < / O v e r r i d e B e h a v i o r > < N a m e > P r o j e c t S u p p o r t E n o v a < / N a m e > < / A t t r i b u t e R e l a t i o n s h i p > < A t t r i b u t e R e l a t i o n s h i p > < A t t r i b u t e I D > P r o j e c t S u p p o r t H u s b a n k e n < / A t t r i b u t e I D > < O v e r r i d e B e h a v i o r > N o n e < / O v e r r i d e B e h a v i o r > < N a m e > P r o j e c t S u p p o r t H u s b a n k e n < / N a m e > < / A t t r i b u t e R e l a t i o n s h i p > < A t t r i b u t e R e l a t i o n s h i p > < A t t r i b u t e I D > P u b l i s h e d I n < / A t t r i b u t e I D > < O v e r r i d e B e h a v i o r > N o n e < / O v e r r i d e B e h a v i o r > < N a m e > P u b l i s h e d I n < / N a m e > < / A t t r i b u t e R e l a t i o n s h i p > < A t t r i b u t e R e l a t i o n s h i p > < A t t r i b u t e I D > R e f e r e n c e s < / A t t r i b u t e I D > < O v e r r i d e B e h a v i o r > N o n e < / O v e r r i d e B e h a v i o r > < N a m e > R e f e r e n c e s < / N a m e > < / A t t r i b u t e R e l a t i o n s h i p > < A t t r i b u t e R e l a t i o n s h i p > < A t t r i b u t e I D > S e a r c h S u m m a r y < / A t t r i b u t e I D > < O v e r r i d e B e h a v i o r > N o n e < / O v e r r i d e B e h a v i o r > < N a m e > S e a r c h S u m m a r y 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 I d < / C o l u m n I D > < / S o u r c e > < / K e y C o l u m n > < / K e y C o l u m n s > < O r d e r B y > K e y < / O r d e r B y > < / A t t r i b u t e > < A t t r i b u t e > < I D > L i s t O r d e r < / I D > < N a m e > L i s t O r d e r 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 L i s t O r d e r < / C o l u m n I D > < / S o u r c e > < / K e y C o l u m n > < / K e y C o l u m n s > < O r d e r B y > K e y < / O r d e r B y > < / A t t r i b u t e > < A t t r i b u t e > < I D > I m a g e U r l < / I D > < N a m e > I m a g e U r l 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 I m a g e U r l < / C o l u m n I D > < / S o u r c e > < / K e y C o l u m n > < / K e y C o l u m n s > < O r d e r B y > K e y < / O r d e r B y > < / A t t r i b u t e > < A t t r i b u t e > < I D > T h u m b n a i l U r l < / I D > < N a m e > T h u m b n a i l U r l 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 T h u m b n a i l U r l < / C o l u m n I D > < / S o u r c e > < / K e y C o l u m n > < / K e y C o l u m n s > < O r d e r B y > K e y < / O r d e r B y > < / A t t r i b u t e > < A t t r i b u t e > < I D > N a m e < / I D > < N a m e >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 N a m e < / C o l u m n I D > < / S o u r c e > < / K e y C o l u m n > < / K e y C o l u m n s > < O r d e r B y > K e y < / O r d e r B y > < / A t t r i b u t e > < A t t r i b u t e > < I D > A u t h o r < / I D > < N a m e > A u t h o r 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 A u t h o r < / C o l u m n I D > < / S o u r c e > < / K e y C o l u m n > < / K e y C o l u m n s > < O r d e r B y > K e y < / O r d e r B y > < / A t t r i b u t e > < A t t r i b u t e > < I D > U p d a t e d < / I D > < N a m e > U p d a t e d < / N a m e > < K e y C o l u m n s > < K e y C o l u m n > < D a t a T y p e > D a t e 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 U p d a t e d < / C o l u m n I D > < / S o u r c e > < / K e y C o l u m n > < / K e y C o l u m n s > < O r d e r B y > K e y < / O r d e r B y > < / A t t r i b u t e > < A t t r i b u t e > < I D > S u b T i t l e < / I D > < N a m e > S u b T i t l e 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 S u b T i t l e < / C o l u m n I D > < / S o u r c e > < / K e y C o l u m n > < / K e y C o l u m n s > < O r d e r B y > K e y < / O r d e r B y > < / A t t r i b u t e > < A t t r i b u t e > < I D > A u t h o r S i g n a t u r e < / I D > < N a m e > A u t h o r S i g n a t u r e 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 A u t h o r S i g n a t u r e < / C o l u m n I D > < / S o u r c e > < / K e y C o l u m n > < / K e y C o l u m n s > < O r d e r B y > K e y < / O r d e r B y > < / A t t r i b u t e > < A t t r i b u t e > < I D > P r o j e c t O w n e r N a m e < / I D > < N a m e > P r o j e c t O w n e r N a m e 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 P r o j e c t O w n e r N a m e < / C o l u m n I D > < / S o u r c e > < / K e y C o l u m n > < / K e y C o l u m n s > < O r d e r B y > K e y < / O r d e r B y > < / A t t r i b u t e > < A t t r i b u t e > < I D > P r o j e c t O w n e r I d < / I D > < N a m e > P r o j e c t O w n e r I d 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 P r o j e c t O w n e r I d < / C o l u m n I D > < / S o u r c e > < / K e y C o l u m n > < / K e y C o l u m n s > < O r d e r B y > K e y < / O r d e r B y > < / A t t r i b u t e > < A t t r i b u t e > < I D > E d i t o r i a l R e s p o n s i b i l i t y < / I D > < N a m e > E d i t o r i a l R e s p o n s i b i l i t y 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 E d i t o r i a l R e s p o n s i b i l i t y < / C o l u m n I D > < / S o u r c e > < / K e y C o l u m n > < / K e y C o l u m n s > < O r d e r B y > K e y < / O r d e r B y > < / A t t r i b u t e > < A t t r i b u t e > < I D > S h o r t D e s c r i p t i o n < / I D > < N a m e > S h o r t D e s c r i p t i o n 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 S h o r t D e s c r i p t i o n < / C o l u m n I D > < / S o u r c e > < / K e y C o l u m n > < / K e y C o l u m n s > < O r d e r B y > K e y < / O r d e r B y > < / A t t r i b u t e > < A t t r i b u t e > < I D > G e n e r a l P r o j e c t T y p e < / I D > < N a m e > G e n e r a l P r o j e c t T y p e 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 G e n e r a l P r o j e c t T y p e < / C o l u m n I D > < / S o u r c e > < / K e y C o l u m n > < / K e y C o l u m n s > < O r d e r B y > K e y < / O r d e r B y > < / A t t r i b u t e > < A t t r i b u t e > < I D > P r o j e c t S t a t u s < / I D > < N a m e > P r o j e c t S t a t u s 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 P r o j e c t S t a t u s < / C o l u m n I D > < / S o u r c e > < / K e y C o l u m n > < / K e y C o l u m n s > < O r d e r B y > K e y < / O r d e r B y > < / A t t r i b u t e > < A t t r i b u t e > < I D > F i n i s h e d P r o j e c t < / I D > < N a m e > F i n i s h e d P r o j e c t 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 F i n i s h e d P r o j e c t < / C o l u m n I D > < / S o u r c e > < / K e y C o l u m n > < / K e y C o l u m n s > < O r d e r B y > K e y < / O r d e r B y > < / A t t r i b u t e > < A t t r i b u t e > < I D > E n g l i s h C o n t e n t < / I D > < N a m e > E n g l i s h C o n t e n t 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 E n g l i s h C o n t e n t < / C o l u m n I D > < / S o u r c e > < / K e y C o l u m n > < / K e y C o l u m n s > < O r d e r B y > K e y < / O r d e r B y > < / A t t r i b u t e > < A t t r i b u t e > < I D > H i d e O n E c o b o x < / I D > < N a m e > H i d e O n E c o b o x 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 H i d e O n E c o b o x < / C o l u m n I D > < / S o u r c e > < / K e y C o l u m n > < / K e y C o l u m n s > < O r d e r B y > K e y < / O r d e r B y > < / A t t r i b u t e > < A t t r i b u t e > < I D > H i d e F r o m P r o j e c t F r o n t P a g e < / I D > < N a m e > H i d e F r o m P r o j e c t F r o n t P a g e 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 H i d e F r o m P r o j e c t F r o n t P a g e < / C o l u m n I D > < / S o u r c e > < / K e y C o l u m n > < / K e y C o l u m n s > < O r d e r B y > K e y < / O r d e r B y > < / A t t r i b u t e > < A t t r i b u t e > < I D > C o n t a c t < / I D > < N a m e > C o n t a c t 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 C o n t a c t < / C o l u m n I D > < / S o u r c e > < / K e y C o l u m n > < / K e y C o l u m n s > < O r d e r B y > K e y < / O r d e r B y > < / A t t r i b u t e > < A t t r i b u t e > < I D > C o n t a c t P h o n e < / I D > < N a m e > C o n t a c t P h o n e 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 C o n t a c t P h o n e < / C o l u m n I D > < / S o u r c e > < / K e y C o l u m n > < / K e y C o l u m n s > < O r d e r B y > K e y < / O r d e r B y > < / A t t r i b u t e > < A t t r i b u t e > < I D > C o n t a c t E m a i l < / I D > < N a m e > C o n t a c t E m a i l 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 C o n t a c t E m a i l < / C o l u m n I D > < / S o u r c e > < / K e y C o l u m n > < / K e y C o l u m n s > < O r d e r B y > K e y < / O r d e r B y > < / A t t r i b u t e > < A t t r i b u t e > < I D > F B y e r E x t e r n a l T a g s C o u n t < / I D > < N a m e > F B y e r E x t e r n a l T a g s C o u n t 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 F B y e r E x t e r n a l T a g s C o u n t < / C o l u m n I D > < / S o u r c e > < / K e y C o l u m n > < / K e y C o l u m n s > < O r d e r B y > K e y < / O r d e r B y > < / A t t r i b u t e > < A t t r i b u t e > < I D > E x t e r n a l T a g s C o u n t < / I D > < N a m e > E x t e r n a l T a g s C o u n t 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 E x t e r n a l T a g s C o u n t < / C o l u m n I D > < / S o u r c e > < / K e y C o l u m n > < / K e y C o l u m n s > < O r d e r B y > K e y < / O r d e r B y > < / A t t r i b u t e > < A t t r i b u t e > < I D > E x t e r n a l P r o j e c t D B U s e r s C o u n t < / I D > < N a m e > E x t e r n a l P r o j e c t D B U s e r s C o u n t 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 E x t e r n a l P r o j e c t D B U s e r s C o u n t < / C o l u m n I D > < / S o u r c e > < / K e y C o l u m n > < / K e y C o l u m n s > < O r d e r B y > K e y < / O r d e r B y > < / A t t r i b u t e > < A t t r i b u t e > < I D > E c o M e a s u r e s C o u n t < / I D > < N a m e > E c o M e a s u r e s C o u n t 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 E c o M e a s u r e s C o u n t < / C o l u m n I D > < / S o u r c e > < / K e y C o l u m n > < / K e y C o l u m n s > < O r d e r B y > K e y < / O r d e r B y > < / A t t r i b u t e > < A t t r i b u t e > < I D > E c o n o m y H e a d e r < / I D > < N a m e > E c o n o m y H e a d e r 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 E c o n o m y H e a d e r < / C o l u m n I D > < / S o u r c e > < / K e y C o l u m n > < / K e y C o l u m n s > < O r d e r B y > K e y < / O r d e r B y > < / A t t r i b u t e > < A t t r i b u t e > < I D > E c o n o m y < / I D > < N a m e > E c o n o m y 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 E c o n o m y < / C o l u m n I D > < / S o u r c e > < / K e y C o l u m n > < / K e y C o l u m n s > < O r d e r B y > K e y < / O r d e r B y > < / A t t r i b u t e > < A t t r i b u t e > < I D > C o s t B e n e f i t E v a l u a t i o n s C o u n t < / I D > < N a m e > C o s t B e n e f i t E v a l u a t i o n s C o u n t 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 C o s t B e n e f i t E v a l u a t i o n s C o u n t < / C o l u m n I D > < / S o u r c e > < / K e y C o l u m n > < / K e y C o l u m n s > < O r d e r B y > K e y < / O r d e r B y > < / A t t r i b u t e > < A t t r i b u t e > < I D > C l o s i n g P a r a g r a p h H e a d e r < / I D > < N a m e > C l o s i n g P a r a g r a p h H e a d e r 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 C l o s i n g P a r a g r a p h H e a d e r < / C o l u m n I D > < / S o u r c e > < / K e y C o l u m n > < / K e y C o l u m n s > < O r d e r B y > K e y < / O r d e r B y > < / A t t r i b u t e > < A t t r i b u t e > < I D > C l o s i n g P a r a g r a p h < / I D > < N a m e > C l o s i n g P a r a g r a p h 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 C l o s i n g P a r a g r a p h < / C o l u m n I D > < / S o u r c e > < / K e y C o l u m n > < / K e y C o l u m n s > < O r d e r B y > K e y < / O r d e r B y > < / A t t r i b u t e > < A t t r i b u t e > < I D > P r o j e c t r e s p o n s i b l e F B N a m e < / I D > < N a m e > P r o j e c t r e s p o n s i b l e F B N a m e 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 P r o j e c t r e s p o n s i b l e F B N a m e < / C o l u m n I D > < / S o u r c e > < / K e y C o l u m n > < / K e y C o l u m n s > < O r d e r B y > K e y < / O r d e r B y > < / A t t r i b u t e > < A t t r i b u t e > < I D > P r o j e c t r e s p o n s i b l e F B I d < / I D > < N a m e > P r o j e c t r e s p o n s i b l e F B I d 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 P r o j e c t r e s p o n s i b l e F B I d < / C o l u m n I D > < / S o u r c e > < / K e y C o l u m n > < / K e y C o l u m n s > < O r d e r B y > K e y < / O r d e r B y > < / A t t r i b u t e > < A t t r i b u t e > < I D > R e s p o n s i b l e D e p a r t m e n t < / I D > < N a m e > R e s p o n s i b l e D e p a r t m e n t 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 R e s p o n s i b l e D e p a r t m e n t < / C o l u m n I D > < / S o u r c e > < / K e y C o l u m n > < / K e y C o l u m n s > < O r d e r B y > K e y < / O r d e r B y > < / A t t r i b u t e > < A t t r i b u t e > < I D > P r o j e c t A d d r e s s < / I D > < N a m e > P r o j e c t A d d r e s s 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 P r o j e c t A d d r e s s < / C o l u m n I D > < / S o u r c e > < / K e y C o l u m n > < / K e y C o l u m n s > < O r d e r B y > K e y < / O r d e r B y > < / A t t r i b u t e > < A t t r i b u t e > < I D > L o c a t i o n < / I D > < N a m e > L o c a t i o n 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 L o c a t i o n < / C o l u m n I D > < / S o u r c e > < / K e y C o l u m n > < / K e y C o l u m n s > < O r d e r B y > K e y < / O r d e r B y > < / A t t r i b u t e > < A t t r i b u t e > < I D > M u n i c i p a l i t i e s C o u n t < / I D > < N a m e > M u n i c i p a l i t i e s C o u n t 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 M u n i c i p a l i t i e s C o u n t < / C o l u m n I D > < / S o u r c e > < / K e y C o l u m n > < / K e y C o l u m n s > < O r d e r B y > K e y < / O r d e r B y > < / A t t r i b u t e > < A t t r i b u t e > < I D > M a p L a t i t u d e < / I D > < N a m e > M a p L a t i t u d e 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 M a p L a t i t u d e < / C o l u m n I D > < / S o u r c e > < / K e y C o l u m n > < / K e y C o l u m n s > < O r d e r B y > K e y < / O r d e r B y > < / A t t r i b u t e > < A t t r i b u t e > < I D > M a p L o n g i t u d e < / I D > < N a m e > M a p L o n g i t u d e 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 M a p L o n g i t u d e < / C o l u m n I D > < / S o u r c e > < / K e y C o l u m n > < / K e y C o l u m n s > < O r d e r B y > K e y < / O r d e r B y > < / A t t r i b u t e > < A t t r i b u t e > < I D > M a p Z o o m L e v e l < / I D > < N a m e > M a p Z o o m L e v e l 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 M a p Z o o m L e v e l < / C o l u m n I D > < / S o u r c e > < / K e y C o l u m n > < / K e y C o l u m n s > < O r d e r B y > K e y < / O r d e r B y > < / A t t r i b u t e > < A t t r i b u t e > < I D > P r o j e c t P e r i o d < / I D > < N a m e > P r o j e c t P e r i o d 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 P r o j e c t P e r i o d < / C o l u m n I D > < / S o u r c e > < / K e y C o l u m n > < / K e y C o l u m n s > < O r d e r B y > K e y < / O r d e r B y > < / A t t r i b u t e > < A t t r i b u t e > < I D > C o n s t r u c t i o n S t a r t e d Y e a r < / I D > < N a m e > C o n s t r u c t i o n S t a r t e d Y e a r 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 C o n s t r u c t i o n S t a r t e d Y e a r < / C o l u m n I D > < / S o u r c e > < / K e y C o l u m n > < / K e y C o l u m n s > < O r d e r B y > K e y < / O r d e r B y > < / A t t r i b u t e > < A t t r i b u t e > < I D > C o n s t r u c t i o n C o m p l e t e d Y e a r < / I D > < N a m e > C o n s t r u c t i o n C o m p l e t e d Y e a r 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 C o n s t r u c t i o n C o m p l e t e d Y e a r < / C o l u m n I D > < / S o u r c e > < / K e y C o l u m n > < / K e y C o l u m n s > < O r d e r B y > K e y < / O r d e r B y > < / A t t r i b u t e > < A t t r i b u t e > < I D > P a r t n e r s C o u n t < / I D > < N a m e > P a r t n e r s C o u n t 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 P a r t n e r s C o u n t < / C o l u m n I D > < / S o u r c e > < / K e y C o l u m n > < / K e y C o l u m n s > < O r d e r B y > K e y < / O r d e r B y > < / A t t r i b u t e > < A t t r i b u t e > < I D > O t h e r s I n v o l v e d < / I D > < N a m e > O t h e r s I n v o l v e d 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 O t h e r s I n v o l v e d < / C o l u m n I D > < / S o u r c e > < / K e y C o l u m n > < / K e y C o l u m n s > < O r d e r B y > K e y < / O r d e r B y > < / A t t r i b u t e > < A t t r i b u t e > < I D > K e y w o r d M e a s u r e s C o u n t < / I D > < N a m e > K e y w o r d M e a s u r e s C o u n t 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 K e y w o r d M e a s u r e s C o u n t < / C o l u m n I D > < / S o u r c e > < / K e y C o l u m n > < / K e y C o l u m n s > < O r d e r B y > K e y < / O r d e r B y > < / A t t r i b u t e > < A t t r i b u t e > < I D > C o l l a b o r a t i o n < / I D > < N a m e > C o l l a b o r a t i o n 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 C o l l a b o r a t i o n < / C o l u m n I D > < / S o u r c e > < / K e y C o l u m n > < / K e y C o l u m n s > < O r d e r B y > K e y < / O r d e r B y > < / A t t r i b u t e > < A t t r i b u t e > < I D > M u n i c i p a l i t i e s C o l l a b o r a t i o n < / I D > < N a m e > M u n i c i p a l i t i e s C o l l a b o r a t i o n 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 M u n i c i p a l i t i e s C o l l a b o r a t i o n < / C o l u m n I D > < / S o u r c e > < / K e y C o l u m n > < / K e y C o l u m n s > < O r d e r B y > K e y < / O r d e r B y > < / A t t r i b u t e > < A t t r i b u t e > < I D > P r i v a t e C o l l a b o r a t i o n < / I D > < N a m e > P r i v a t e C o l l a b o r a t i o n 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 P r i v a t e C o l l a b o r a t i o n < / C o l u m n I D > < / S o u r c e > < / K e y C o l u m n > < / K e y C o l u m n s > < O r d e r B y > K e y < / O r d e r B y > < / A t t r i b u t e > < A t t r i b u t e > < I D > O t h e r C o l l a b o r a t i o n < / I D > < N a m e > O t h e r C o l l a b o r a t i o n 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 O t h e r C o l l a b o r a t i o n < / C o l u m n I D > < / S o u r c e > < / K e y C o l u m n > < / K e y C o l u m n s > < O r d e r B y > K e y < / O r d e r B y > < / A t t r i b u t e > < A t t r i b u t e > < I D > P r o g r e s s D e s c r i p t i o n < / I D > < N a m e > P r o g r e s s D e s c r i p t i o n 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 P r o g r e s s D e s c r i p t i o n < / C o l u m n I D > < / S o u r c e > < / K e y C o l u m n > < / K e y C o l u m n s > < O r d e r B y > K e y < / O r d e r B y > < / A t t r i b u t e > < A t t r i b u t e > < I D > P r o g r e s s S t a t u s < / I D > < N a m e > P r o g r e s s S t a t u s 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 P r o g r e s s S t a t u s < / C o l u m n I D > < / S o u r c e > < / K e y C o l u m n > < / K e y C o l u m n s > < O r d e r B y > K e y < / O r d e r B y > < / A t t r i b u t e > < A t t r i b u t e > < I D > F B y e r O t h e r R e s u l t s < / I D > < N a m e > F B y e r O t h e r R e s u l t s 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 F B y e r O t h e r R e s u l t s < / C o l u m n I D > < / S o u r c e > < / K e y C o l u m n > < / K e y C o l u m n s > < O r d e r B y > K e y < / O r d e r B y > < / A t t r i b u t e > < A t t r i b u t e > < I D > F B y e r C o s t s < / I D > < N a m e > F B y e r C o s t s 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 F B y e r C o s t s < / C o l u m n I D > < / S o u r c e > < / K e y C o l u m n > < / K e y C o l u m n s > < O r d e r B y > K e y < / O r d e r B y > < / A t t r i b u t e > < A t t r i b u t e > < I D > F B y e r I m p o r t a n c e < / I D > < N a m e > F B y e r I m p o r t a n c e 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 F B y e r I m p o r t a n c e < / C o l u m n I D > < / S o u r c e > < / K e y C o l u m n > < / K e y C o l u m n s > < O r d e r B y > K e y < / O r d e r B y > < / A t t r i b u t e > < A t t r i b u t e > < I D > F B y e r T i m e U s a g e < / I D > < N a m e > F B y e r T i m e U s a g e 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 F B y e r T i m e U s a g e < / C o l u m n I D > < / S o u r c e > < / K e y C o l u m n > < / K e y C o l u m n s > < O r d e r B y > K e y < / O r d e r B y > < / A t t r i b u t e > < A t t r i b u t e > < I D > F B y e r P e o p l e I n f o r m e d < / I D > < N a m e > F B y e r P e o p l e I n f o r m e d 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 F B y e r P e o p l e I n f o r m e d < / C o l u m n I D > < / S o u r c e > < / K e y C o l u m n > < / K e y C o l u m n s > < O r d e r B y > K e y < / O r d e r B y > < / A t t r i b u t e > < A t t r i b u t e > < I D > F B y e r O t h e r R e m a r k s < / I D > < N a m e > F B y e r O t h e r R e m a r k s 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 F B y e r O t h e r R e m a r k s < / C o l u m n I D > < / S o u r c e > < / K e y C o l u m n > < / K e y C o l u m n s > < O r d e r B y > K e y < / O r d e r B y > < / A t t r i b u t e > < A t t r i b u t e > < I D > P r o j e c t P h a s e C o u n t < / I D > < N a m e > P r o j e c t P h a s e C o u n t 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 P r o j e c t P h a s e C o u n t < / C o l u m n I D > < / S o u r c e > < / K e y C o l u m n > < / K e y C o l u m n s > < O r d e r B y > K e y < / O r d e r B y > < / A t t r i b u t e > < A t t r i b u t e > < I D > P r o j e c t T y p e s C o u n t < / I D > < N a m e > P r o j e c t T y p e s C o u n t 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 P r o j e c t T y p e s C o u n t < / C o l u m n I D > < / S o u r c e > < / K e y C o l u m n > < / K e y C o l u m n s > < O r d e r B y > K e y < / O r d e r B y > < / A t t r i b u t e > < A t t r i b u t e > < I D > F u n c t i o n B u i l d i n g C a t e g o r y C o u n t < / I D > < N a m e > F u n c t i o n B u i l d i n g C a t e g o r y C o u n t 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 F u n c t i o n B u i l d i n g C a t e g o r y C o u n t < / C o l u m n I D > < / S o u r c e > < / K e y C o l u m n > < / K e y C o l u m n s > < O r d e r B y > K e y < / O r d e r B y > < / A t t r i b u t e > < A t t r i b u t e > < I D > P r o j e c t C o m p e t i t i o n F o r m C o u n t < / I D > < N a m e > P r o j e c t C o m p e t i t i o n F o r m C o u n t 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 P r o j e c t C o m p e t i t i o n F o r m C o u n t < / C o l u m n I D > < / S o u r c e > < / K e y C o l u m n > < / K e y C o l u m n s > < O r d e r B y > K e y < / O r d e r B y > < / A t t r i b u t e > < A t t r i b u t e > < I D > P r o j e c t C o n t r a c t i n g F o r m C o u n t < / I D > < N a m e > P r o j e c t C o n t r a c t i n g F o r m C o u n t 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 P r o j e c t C o n t r a c t i n g F o r m C o u n t < / C o l u m n I D > < / S o u r c e > < / K e y C o l u m n > < / K e y C o l u m n s > < O r d e r B y > K e y < / O r d e r B y > < / A t t r i b u t e > < A t t r i b u t e > < I D > P r o j e c t E n v i r o n m e n t a l S t a n d a r d C o u n t < / I D > < N a m e > P r o j e c t E n v i r o n m e n t a l S t a n d a r d C o u n t 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 P r o j e c t E n v i r o n m e n t a l S t a n d a r d C o u n t < / C o l u m n I D > < / S o u r c e > < / K e y C o l u m n > < / K e y C o l u m n s > < O r d e r B y > K e y < / O r d e r B y > < / A t t r i b u t e > < A t t r i b u t e > < I D > P r o j e c t A w a r d s C o u n t < / I D > < N a m e > P r o j e c t A w a r d s C o u n t 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 P r o j e c t A w a r d s C o u n t < / C o l u m n I D > < / S o u r c e > < / K e y C o l u m n > < / K e y C o l u m n s > < O r d e r B y > K e y < / O r d e r B y > < / A t t r i b u t e > < A t t r i b u t e > < I D > P r o j e c t R o l e M o d e l C o u n t < / I D > < N a m e > P r o j e c t R o l e M o d e l C o u n t 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 P r o j e c t R o l e M o d e l C o u n t < / C o l u m n I D > < / S o u r c e > < / K e y C o l u m n > < / K e y C o l u m n s > < O r d e r B y > K e y < / O r d e r B y > < / A t t r i b u t e > < A t t r i b u t e > < I D > P r o j e c t R e s e a r c h C o u n t < / I D > < N a m e > P r o j e c t R e s e a r c h C o u n t 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 P r o j e c t R e s e a r c h C o u n t < / C o l u m n I D > < / S o u r c e > < / K e y C o l u m n > < / K e y C o l u m n s > < O r d e r B y > K e y < / O r d e r B y > < / A t t r i b u t e > < A t t r i b u t e > < I D > P r o j e c t A r c h i t e c t u r e G u i d e C o u n t < / I D > < N a m e > P r o j e c t A r c h i t e c t u r e G u i d e C o u n t 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 P r o j e c t A r c h i t e c t u r e G u i d e C o u n t < / C o l u m n I D > < / S o u r c e > < / K e y C o l u m n > < / K e y C o l u m n s > < O r d e r B y > K e y < / O r d e r B y > < / A t t r i b u t e > < A t t r i b u t e > < I D > B u i l d e r s C o u n t < / I D > < N a m e > B u i l d e r s C o u n t 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 B u i l d e r s C o u n t < / C o l u m n I D > < / S o u r c e > < / K e y C o l u m n > < / K e y C o l u m n s > < O r d e r B y > K e y < / O r d e r B y > < / A t t r i b u t e > < A t t r i b u t e > < I D > A r c h i t e c t A R K C o u n t < / I D > < N a m e > A r c h i t e c t A R K C o u n t 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 A r c h i t e c t A R K C o u n t < / C o l u m n I D > < / S o u r c e > < / K e y C o l u m n > < / K e y C o l u m n s > < O r d e r B y > K e y < / O r d e r B y > < / A t t r i b u t e > < A t t r i b u t e > < I D > A r c h i t e c t L A R K C o u n t < / I D > < N a m e > A r c h i t e c t L A R K C o u n t 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 A r c h i t e c t L A R K C o u n t < / C o l u m n I D > < / S o u r c e > < / K e y C o l u m n > < / K e y C o l u m n s > < O r d e r B y > K e y < / O r d e r B y > < / A t t r i b u t e > < A t t r i b u t e > < I D > A r c h i t e c t I A R K C o u n t < / I D > < N a m e > A r c h i t e c t I A R K C o u n t 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 A r c h i t e c t I A R K C o u n t < / C o l u m n I D > < / S o u r c e > < / K e y C o l u m n > < / K e y C o l u m n s > < O r d e r B y > K e y < / O r d e r B y > < / A t t r i b u t e > < A t t r i b u t e > < I D > O r i g i n a l A r c h i t e c t C o u n t < / I D > < N a m e > O r i g i n a l A r c h i t e c t C o u n t 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 O r i g i n a l A r c h i t e c t C o u n t < / C o l u m n I D > < / S o u r c e > < / K e y C o l u m n > < / K e y C o l u m n s > < O r d e r B y > K e y < / O r d e r B y > < / A t t r i b u t e > < A t t r i b u t e > < I D > P r o j e c t M a n a g a g e r s C o u n t < / I D > < N a m e > P r o j e c t M a n a g a g e r s C o u n t 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 P r o j e c t M a n a g a g e r s C o u n t < / C o l u m n I D > < / S o u r c e > < / K e y C o l u m n > < / K e y C o l u m n s > < O r d e r B y > K e y < / O r d e r B y > < / A t t r i b u t e > < A t t r i b u t e > < I D > E n v i r o n m e n t C o n s u l t a n t s C o u n t < / I D > < N a m e > E n v i r o n m e n t C o n s u l t a n t s C o u n t 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 E n v i r o n m e n t C o n s u l t a n t s C o u n t < / C o l u m n I D > < / S o u r c e > < / K e y C o l u m n > < / K e y C o l u m n s > < O r d e r B y > K e y < / O r d e r B y > < / A t t r i b u t e > < A t t r i b u t e > < I D > E n e r g y C o n s u l t a n t s C o u n t < / I D > < N a m e > E n e r g y C o n s u l t a n t s C o u n t 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 E n e r g y C o n s u l t a n t s C o u n t < / C o l u m n I D > < / S o u r c e > < / K e y C o l u m n > < / K e y C o l u m n s > < O r d e r B y > K e y < / O r d e r B y > < / A t t r i b u t e > < A t t r i b u t e > < I D > U n i v e r s a l D e s i g n C o n s u l t a n t s C o u n t < / I D > < N a m e > U n i v e r s a l D e s i g n C o n s u l t a n t s C o u n t 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 U n i v e r s a l D e s i g n C o n s u l t a n t s C o u n t < / C o l u m n I D > < / S o u r c e > < / K e y C o l u m n > < / K e y C o l u m n s > < O r d e r B y > K e y < / O r d e r B y > < / A t t r i b u t e > < A t t r i b u t e > < I D > A d v i s o r I n g B y g g N a m e < / I D > < N a m e > A d v i s o r I n g B y g g N a m e 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 A d v i s o r I n g B y g g N a m e < / C o l u m n I D > < / S o u r c e > < / K e y C o l u m n > < / K e y C o l u m n s > < O r d e r B y > K e y < / O r d e r B y > < / A t t r i b u t e > < A t t r i b u t e > < I D > A d v i s o r I n g B y g g I d < / I D > < N a m e > A d v i s o r I n g B y g g I d 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 A d v i s o r I n g B y g g I d < / C o l u m n I D > < / S o u r c e > < / K e y C o l u m n > < / K e y C o l u m n s > < O r d e r B y > K e y < / O r d e r B y > < / A t t r i b u t e > < A t t r i b u t e > < I D > A d v i s o r I n g V V S N a m e < / I D > < N a m e > A d v i s o r I n g V V S N a m e 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 A d v i s o r I n g V V S N a m e < / C o l u m n I D > < / S o u r c e > < / K e y C o l u m n > < / K e y C o l u m n s > < O r d e r B y > K e y < / O r d e r B y > < / A t t r i b u t e > < A t t r i b u t e > < I D > A d v i s o r I n g V V S I d < / I D > < N a m e > A d v i s o r I n g V V S I d 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 A d v i s o r I n g V V S I d < / C o l u m n I D > < / S o u r c e > < / K e y C o l u m n > < / K e y C o l u m n s > < O r d e r B y > K e y < / O r d e r B y > < / A t t r i b u t e > < A t t r i b u t e > < I D > A d v i s o r I n g E l e k t r o N a m e < / I D > < N a m e > A d v i s o r I n g E l e k t r o N a m e 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 A d v i s o r I n g E l e k t r o N a m e < / C o l u m n I D > < / S o u r c e > < / K e y C o l u m n > < / K e y C o l u m n s > < O r d e r B y > K e y < / O r d e r B y > < / A t t r i b u t e > < A t t r i b u t e > < I D > A d v i s o r I n g E l e k t r o I d < / I D > < N a m e > A d v i s o r I n g E l e k t r o I d 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 A d v i s o r I n g E l e k t r o I d < / C o l u m n I D > < / S o u r c e > < / K e y C o l u m n > < / K e y C o l u m n s > < O r d e r B y > K e y < / O r d e r B y > < / A t t r i b u t e > < A t t r i b u t e > < I D > A d v i s o r i n g B u i l d i n g P h y s i c s N a m e < / I D > < N a m e > A d v i s o r i n g B u i l d i n g P h y s i c s N a m e 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 A d v i s o r i n g B u i l d i n g P h y s i c s N a m e < / C o l u m n I D > < / S o u r c e > < / K e y C o l u m n > < / K e y C o l u m n s > < O r d e r B y > K e y < / O r d e r B y > < / A t t r i b u t e > < A t t r i b u t e > < I D > A d v i s o r i n g B u i l d i n g P h y s i c s I d < / I D > < N a m e > A d v i s o r i n g B u i l d i n g P h y s i c s I d 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 A d v i s o r i n g B u i l d i n g P h y s i c s I d < / C o l u m n I D > < / S o u r c e > < / K e y C o l u m n > < / K e y C o l u m n s > < O r d e r B y > K e y < / O r d e r B y > < / A t t r i b u t e > < A t t r i b u t e > < I D > A d v i s o r I n g F i r e S a f e t y N a m e < / I D > < N a m e > A d v i s o r I n g F i r e S a f e t y N a m e 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 A d v i s o r I n g F i r e S a f e t y N a m e < / C o l u m n I D > < / S o u r c e > < / K e y C o l u m n > < / K e y C o l u m n s > < O r d e r B y > K e y < / O r d e r B y > < / A t t r i b u t e > < A t t r i b u t e > < I D > A d v i s o r I n g F i r e S a f e t y I d < / I D > < N a m e > A d v i s o r I n g F i r e S a f e t y I d 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 A d v i s o r I n g F i r e S a f e t y I d < / C o l u m n I D > < / S o u r c e > < / K e y C o l u m n > < / K e y C o l u m n s > < O r d e r B y > K e y < / O r d e r B y > < / A t t r i b u t e > < A t t r i b u t e > < I D > A d v i s o r I n g A c o u s t i c s N a m e < / I D > < N a m e > A d v i s o r I n g A c o u s t i c s N a m e 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 A d v i s o r I n g A c o u s t i c s N a m e < / C o l u m n I D > < / S o u r c e > < / K e y C o l u m n > < / K e y C o l u m n s > < O r d e r B y > K e y < / O r d e r B y > < / A t t r i b u t e > < A t t r i b u t e > < I D > A d v i s o r I n g A c o u s t i c s I d < / I D > < N a m e > A d v i s o r I n g A c o u s t i c s I d 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 A d v i s o r I n g A c o u s t i c s I d < / C o l u m n I D > < / S o u r c e > < / K e y C o l u m n > < / K e y C o l u m n s > < O r d e r B y > K e y < / O r d e r B y > < / A t t r i b u t e > < A t t r i b u t e > < I D > O t h e r A d v i s o r s < / I D > < N a m e > O t h e r A d v i s o r s 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 O t h e r A d v i s o r s < / C o l u m n I D > < / S o u r c e > < / K e y C o l u m n > < / K e y C o l u m n s > < O r d e r B y > K e y < / O r d e r B y > < / A t t r i b u t e > < A t t r i b u t e > < I D > C o n t r a c t o r s C o u n t < / I D > < N a m e > C o n t r a c t o r s C o u n t 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 C o n t r a c t o r s C o u n t < / C o l u m n I D > < / S o u r c e > < / K e y C o l u m n > < / K e y C o l u m n s > < O r d e r B y > K e y < / O r d e r B y > < / A t t r i b u t e > < A t t r i b u t e > < I D > C o n s t r u c t i o n M a n a g e m e n t C o u n t < / I D > < N a m e > C o n s t r u c t i o n M a n a g e m e n t C o u n t 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 C o n s t r u c t i o n M a n a g e m e n t C o u n t < / C o l u m n I D > < / S o u r c e > < / K e y C o l u m n > < / K e y C o l u m n s > < O r d e r B y > K e y < / O r d e r B y > < / A t t r i b u t e > < A t t r i b u t e > < I D > S u p p l i e r s C o u n t < / I D > < N a m e > S u p p l i e r s C o u n t 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 S u p p l i e r s C o u n t < / C o l u m n I D > < / S o u r c e > < / K e y C o l u m n > < / K e y C o l u m n s > < O r d e r B y > K e y < / O r d e r B y > < / A t t r i b u t e > < A t t r i b u t e > < I D > S u b C o n t r a c t o r s < / I D > < N a m e > S u b C o n t r a c t o r s 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 S u b C o n t r a c t o r s < / C o l u m n I D > < / S o u r c e > < / K e y C o l u m n > < / K e y C o l u m n s > < O r d e r B y > K e y < / O r d e r B y > < / A t t r i b u t e > < A t t r i b u t e > < I D > S h o w K e y F i g u r e s < / I D > < N a m e > S h o w K e y F i g u r e s < / N a m e > < K e y C o l u m n s > < K e y C o l u m n > < D a t a T y p e > B o o l e a n 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 S h o w K e y F i g u r e s < / C o l u m n I D > < / S o u r c e > < / K e y C o l u m n > < / K e y C o l u m n s > < O r d e r B y > K e y < / O r d e r B y > < / A t t r i b u t e > < A t t r i b u t e > < I D > A r e a U s e d < / I D > < N a m e > A r e a U s e d 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 A r e a U s e d < / C o l u m n I D > < / S o u r c e > < / K e y C o l u m n > < / K e y C o l u m n s > < O r d e r B y > K e y < / O r d e r B y > < / A t t r i b u t e > < A t t r i b u t e > < I D > N u m b e r O f R e s i d e n t s < / I D > < N a m e > N u m b e r O f R e s i d e n t s 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 N u m b e r O f R e s i d e n t s < / C o l u m n I D > < / S o u r c e > < / K e y C o l u m n > < / K e y C o l u m n s > < O r d e r B y > K e y < / O r d e r B y > < / A t t r i b u t e > < A t t r i b u t e > < I D > S q u a r e F o o t B T A < / I D > < N a m e > S q u a r e F o o t B T A 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 S q u a r e F o o t B T A < / C o l u m n I D > < / S o u r c e > < / K e y C o l u m n > < / K e y C o l u m n s > < O r d e r B y > K e y < / O r d e r B y > < / A t t r i b u t e > < A t t r i b u t e > < I D > G r o s s S q u a r e F o o t B T A < / I D > < N a m e > G r o s s S q u a r e F o o t B T A 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 G r o s s S q u a r e F o o t B T A < / C o l u m n I D > < / S o u r c e > < / K e y C o l u m n > < / K e y C o l u m n s > < O r d e r B y > K e y < / O r d e r B y > < / A t t r i b u t e > < A t t r i b u t e > < I D > G r o s s S q u a r e F o o t < / I D > < N a m e > G r o s s S q u a r e F o o t 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 G r o s s S q u a r e F o o t < / C o l u m n I D > < / S o u r c e > < / K e y C o l u m n > < / K e y C o l u m n s > < O r d e r B y > K e y < / O r d e r B y > < / A t t r i b u t e > < A t t r i b u t e > < I D > G r o s s S q u a r e F o o t H e a t e d < / I D > < N a m e > G r o s s S q u a r e F o o t H e a t e d 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 G r o s s S q u a r e F o o t H e a t e d < / C o l u m n I D > < / S o u r c e > < / K e y C o l u m n > < / K e y C o l u m n s > < O r d e r B y > K e y < / O r d e r B y > < / A t t r i b u t e > < A t t r i b u t e > < I D > S q u a r e F o o t G l a s s < / I D > < N a m e > S q u a r e F o o t G l a s s 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 S q u a r e F o o t G l a s s < / C o l u m n I D > < / S o u r c e > < / K e y C o l u m n > < / K e y C o l u m n s > < O r d e r B y > K e y < / O r d e r B y > < / A t t r i b u t e > < A t t r i b u t e > < I D > C o m p a c t n e s s F a c t o r < / I D > < N a m e > C o m p a c t n e s s F a c t o r 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 C o m p a c t n e s s F a c t o r < / C o l u m n I D > < / S o u r c e > < / K e y C o l u m n > < / K e y C o l u m n s > < O r d e r B y > K e y < / O r d e r B y > < / A t t r i b u t e > < A t t r i b u t e > < I D > G r e e n A r e a I n c e a s e < / I D > < N a m e > G r e e n A r e a I n c e a s e 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 G r e e n A r e a I n c e a s e < / C o l u m n I D > < / S o u r c e > < / K e y C o l u m n > < / K e y C o l u m n s > < O r d e r B y > K e y < / O r d e r B y > < / A t t r i b u t e > < A t t r i b u t e > < I D > H a r d A r e a R e d u c t i o n < / I D > < N a m e > H a r d A r e a R e d u c t i o n 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 H a r d A r e a R e d u c t i o n < / C o l u m n I D > < / S o u r c e > < / K e y C o l u m n > < / K e y C o l u m n s > < O r d e r B y > K e y < / O r d e r B y > < / A t t r i b u t e > < A t t r i b u t e > < I D > W a l k w a y s L e n g t h < / I D > < N a m e > W a l k w a y s L e n g t h 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 W a l k w a y s L e n g t h < / C o l u m n I D > < / S o u r c e > < / K e y C o l u m n > < / K e y C o l u m n s > < O r d e r B y > K e y < / O r d e r B y > < / A t t r i b u t e > < A t t r i b u t e > < I D > D i s t a n c e T o C o l l e c t i v e P o i n t < / I D > < N a m e > D i s t a n c e T o C o l l e c t i v e P o i n t 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 D i s t a n c e T o C o l l e c t i v e P o i n t < / C o l u m n I D > < / S o u r c e > < / K e y C o l u m n > < / K e y C o l u m n s > < O r d e r B y > K e y < / O r d e r B y > < / A t t r i b u t e > < A t t r i b u t e > < I D > D i s t a n c e T o C i t y C e n t e r < / I D > < N a m e > D i s t a n c e T o C i t y C e n t e r 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 D i s t a n c e T o C i t y C e n t e r < / C o l u m n I D > < / S o u r c e > < / K e y C o l u m n > < / K e y C o l u m n s > < O r d e r B y > K e y < / O r d e r B y > < / A t t r i b u t e > < A t t r i b u t e > < I D > P a r k i n g A r e a < / I D > < N a m e > P a r k i n g A r e a 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 P a r k i n g A r e a < / C o l u m n I D > < / S o u r c e > < / K e y C o l u m n > < / K e y C o l u m n s > < O r d e r B y > K e y < / O r d e r B y > < / A t t r i b u t e > < A t t r i b u t e > < I D > P a r k i n g S p o t s P e r U n i t < / I D > < N a m e > P a r k i n g S p o t s P e r U n i t 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 P a r k i n g S p o t s P e r U n i t < / C o l u m n I D > < / S o u r c e > < / K e y C o l u m n > < / K e y C o l u m n s > < O r d e r B y > K e y < / O r d e r B y > < / A t t r i b u t e > < A t t r i b u t e > < I D > B i k e P a r k i n g A r e a < / I D > < N a m e > B i k e P a r k i n g A r e a 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 B i k e P a r k i n g A r e a < / C o l u m n I D > < / S o u r c e > < / K e y C o l u m n > < / K e y C o l u m n s > < O r d e r B y > K e y < / O r d e r B y > < / A t t r i b u t e > < A t t r i b u t e > < I D > B i k e P a r k i n g S p o t s P e r U n i t < / I D > < N a m e > B i k e P a r k i n g S p o t s P e r U n i t 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 B i k e P a r k i n g S p o t s P e r U n i t < / C o l u m n I D > < / S o u r c e > < / K e y C o l u m n > < / K e y C o l u m n s > < O r d e r B y > K e y < / O r d e r B y > < / A t t r i b u t e > < A t t r i b u t e > < I D > F B y e r C O 2 < / I D > < N a m e > F B y e r C O 2 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 F B y e r C O 2 < / C o l u m n I D > < / S o u r c e > < / K e y C o l u m n > < / K e y C o l u m n s > < O r d e r B y > K e y < / O r d e r B y > < / A t t r i b u t e > < A t t r i b u t e > < I D > C O 2 M e t h o d < / I D > < N a m e > C O 2 M e t h o d 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 C O 2 M e t h o d < / C o l u m n I D > < / S o u r c e > < / K e y C o l u m n > < / K e y C o l u m n s > < O r d e r B y > K e y < / O r d e r B y > < / A t t r i b u t e > < A t t r i b u t e > < I D > C O 2 R e f e r e n c e E n e r g y < / I D > < N a m e > C O 2 R e f e r e n c e E n e r g y 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 C O 2 R e f e r e n c e E n e r g y < / C o l u m n I D > < / S o u r c e > < / K e y C o l u m n > < / K e y C o l u m n s > < O r d e r B y > K e y < / O r d e r B y > < / A t t r i b u t e > < A t t r i b u t e > < I D > C O 2 R e f e r e n c e M a t e r i a l s < / I D > < N a m e > C O 2 R e f e r e n c e M a t e r i a l s 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 C O 2 R e f e r e n c e M a t e r i a l s < / C o l u m n I D > < / S o u r c e > < / K e y C o l u m n > < / K e y C o l u m n s > < O r d e r B y > K e y < / O r d e r B y > < / A t t r i b u t e > < A t t r i b u t e > < I D > C O 2 R e f e r e n c e T r a n s p o r t < / I D > < N a m e > C O 2 R e f e r e n c e T r a n s p o r t 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 C O 2 R e f e r e n c e T r a n s p o r t < / C o l u m n I D > < / S o u r c e > < / K e y C o l u m n > < / K e y C o l u m n s > < O r d e r B y > K e y < / O r d e r B y > < / A t t r i b u t e > < A t t r i b u t e > < I D > C O 2 D e s i g n e d E n e r g y < / I D > < N a m e > C O 2 D e s i g n e d E n e r g y 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 C O 2 D e s i g n e d E n e r g y < / C o l u m n I D > < / S o u r c e > < / K e y C o l u m n > < / K e y C o l u m n s > < O r d e r B y > K e y < / O r d e r B y > < / A t t r i b u t e > < A t t r i b u t e > < I D > C O 2 D e s i g n e d M a t e r i a l s < / I D > < N a m e > C O 2 D e s i g n e d M a t e r i a l s 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 C O 2 D e s i g n e d M a t e r i a l s < / C o l u m n I D > < / S o u r c e > < / K e y C o l u m n > < / K e y C o l u m n s > < O r d e r B y > K e y < / O r d e r B y > < / A t t r i b u t e > < A t t r i b u t e > < I D > C O 2 D e s i g n e d T r a n s p o r t < / I D > < N a m e > C O 2 D e s i g n e d T r a n s p o r t 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 C O 2 D e s i g n e d T r a n s p o r t < / C o l u m n I D > < / S o u r c e > < / K e y C o l u m n > < / K e y C o l u m n s > < O r d e r B y > K e y < / O r d e r B y > < / A t t r i b u t e > < A t t r i b u t e > < I D > C O 2 F i n i s h e d E n e r g y < / I D > < N a m e > C O 2 F i n i s h e d E n e r g y 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 C O 2 F i n i s h e d E n e r g y < / C o l u m n I D > < / S o u r c e > < / K e y C o l u m n > < / K e y C o l u m n s > < O r d e r B y > K e y < / O r d e r B y > < / A t t r i b u t e > < A t t r i b u t e > < I D > C O 2 F i n i s h e d M a t e r i a l s < / I D > < N a m e > C O 2 F i n i s h e d M a t e r i a l s 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 C O 2 F i n i s h e d M a t e r i a l s < / C o l u m n I D > < / S o u r c e > < / K e y C o l u m n > < / K e y C o l u m n s > < O r d e r B y > K e y < / O r d e r B y > < / A t t r i b u t e > < A t t r i b u t e > < I D > C O 2 F i n i s h e d T r a n s p o r t < / I D > < N a m e > C O 2 F i n i s h e d T r a n s p o r t 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 C O 2 F i n i s h e d T r a n s p o r t < / C o l u m n I D > < / S o u r c e > < / K e y C o l u m n > < / K e y C o l u m n s > < O r d e r B y > K e y < / O r d e r B y > < / A t t r i b u t e > < A t t r i b u t e > < I D > C O 2 I n U s e E n e r g y < / I D > < N a m e > C O 2 I n U s e E n e r g y 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 C O 2 I n U s e E n e r g y < / C o l u m n I D > < / S o u r c e > < / K e y C o l u m n > < / K e y C o l u m n s > < O r d e r B y > K e y < / O r d e r B y > < / A t t r i b u t e > < A t t r i b u t e > < I D > C O 2 I n U s e M a t e r i a l s < / I D > < N a m e > C O 2 I n U s e M a t e r i a l s 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 C O 2 I n U s e M a t e r i a l s < / C o l u m n I D > < / S o u r c e > < / K e y C o l u m n > < / K e y C o l u m n s > < O r d e r B y > K e y < / O r d e r B y > < / A t t r i b u t e > < A t t r i b u t e > < I D > C O 2 I n U s e T r a n s p o r t < / I D > < N a m e > C O 2 I n U s e T r a n s p o r t 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 C O 2 I n U s e T r a n s p o r t < / C o l u m n I D > < / S o u r c e > < / K e y C o l u m n > < / K e y C o l u m n s > < O r d e r B y > K e y < / O r d e r B y > < / A t t r i b u t e > < A t t r i b u t e > < I D > E n e r g y L a b e l < / I D > < N a m e > E n e r g y L a b e l 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 E n e r g y L a b e l < / C o l u m n I D > < / S o u r c e > < / K e y C o l u m n > < / K e y C o l u m n s > < O r d e r B y > K e y < / O r d e r B y > < / A t t r i b u t e > < A t t r i b u t e > < I D > H e a t R a t i n g < / I D > < N a m e > H e a t R a t i n g 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 H e a t R a t i n g < / C o l u m n I D > < / S o u r c e > < / K e y C o l u m n > < / K e y C o l u m n s > < O r d e r B y > K e y < / O r d e r B y > < / A t t r i b u t e > < A t t r i b u t e > < I D > E n e r g y C o n s u m p t i o n < / I D > < N a m e > E n e r g y C o n s u m p t i o n 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 E n e r g y C o n s u m p t i o n < / C o l u m n I D > < / S o u r c e > < / K e y C o l u m n > < / K e y C o l u m n s > < O r d e r B y > K e y < / O r d e r B y > < / A t t r i b u t e > < A t t r i b u t e > < I D > E n e r g y S o u r c e s < / I D > < N a m e > E n e r g y S o u r c e s 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 E n e r g y S o u r c e s < / C o l u m n I D > < / S o u r c e > < / K e y C o l u m n > < / K e y C o l u m n s > < O r d e r B y > K e y < / O r d e r B y > < / A t t r i b u t e > < A t t r i b u t e > < I D > N e t E n e r g y 3 7 0 0 < / I D > < N a m e > N e t E n e r g y 3 7 0 0 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 N e t E n e r g y 3 7 0 0 < / C o l u m n I D > < / S o u r c e > < / K e y C o l u m n > < / K e y C o l u m n s > < O r d e r B y > K e y < / O r d e r B y > < / A t t r i b u t e > < A t t r i b u t e > < I D > E s t i m a t e d D e l i v e r e d E n e r g y 3 7 0 0 < / I D > < N a m e > E s t i m a t e d D e l i v e r e d E n e r g y 3 7 0 0 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 E s t i m a t e d D e l i v e r e d E n e r g y 3 7 0 0 < / C o l u m n I D > < / S o u r c e > < / K e y C o l u m n > < / K e y C o l u m n s > < O r d e r B y > K e y < / O r d e r B y > < / A t t r i b u t e > < A t t r i b u t e > < I D > N e t E n e r g y < / I D > < N a m e > N e t E n e r g y 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 N e t E n e r g y < / C o l u m n I D > < / S o u r c e > < / K e y C o l u m n > < / K e y C o l u m n s > < O r d e r B y > K e y < / O r d e r B y > < / A t t r i b u t e > < A t t r i b u t e > < I D > E s t i m a t e d D e l i v e r e d E n e r g y < / I D > < N a m e > E s t i m a t e d D e l i v e r e d E n e r g y 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 E s t i m a t e d D e l i v e r e d E n e r g y < / C o l u m n I D > < / S o u r c e > < / K e y C o l u m n > < / K e y C o l u m n s > < O r d e r B y > K e y < / O r d e r B y > < / A t t r i b u t e > < A t t r i b u t e > < I D > E n e r g y S a v i n g s < / I D > < N a m e > E n e r g y S a v i n g s 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 E n e r g y S a v i n g s < / C o l u m n I D > < / S o u r c e > < / K e y C o l u m n > < / K e y C o l u m n s > < O r d e r B y > K e y < / O r d e r B y > < / A t t r i b u t e > < A t t r i b u t e > < I D > E n e r g y C o n v e r t e d F r o m E l e c t r i c i t y T o R e n e w a b l e < / I D > < N a m e > E n e r g y C o n v e r t e d F r o m E l e c t r i c i t y T o R e n e w a b l e 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 E n e r g y C o n v e r t e d F r o m E l e c t r i c i t y T o R e n e w a b l e < / C o l u m n I D > < / S o u r c e > < / K e y C o l u m n > < / K e y C o l u m n s > < O r d e r B y > K e y < / O r d e r B y > < / A t t r i b u t e > < A t t r i b u t e > < I D > E n e r g y C o n v e r t e d F r o m F o s s i l T o R e n e w a b l e < / I D > < N a m e > E n e r g y C o n v e r t e d F r o m F o s s i l T o R e n e w a b l e 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 E n e r g y C o n v e r t e d F r o m F o s s i l T o R e n e w a b l e < / C o l u m n I D > < / S o u r c e > < / K e y C o l u m n > < / K e y C o l u m n s > < O r d e r B y > K e y < / O r d e r B y > < / A t t r i b u t e > < A t t r i b u t e > < I D > E n e r g y D e l i v e r e d < / I D > < N a m e > E n e r g y D e l i v e r e d 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 E n e r g y D e l i v e r e d < / C o l u m n I D > < / S o u r c e > < / K e y C o l u m n > < / K e y C o l u m n s > < O r d e r B y > K e y < / O r d e r B y > < / A t t r i b u t e > < A t t r i b u t e > < I D > E n o v a F a c t s E n e r g y < / I D > < N a m e > E n o v a F a c t s E n e r g y 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 E n o v a F a c t s E n e r g y < / C o l u m n I D > < / S o u r c e > < / K e y C o l u m n > < / K e y C o l u m n s > < O r d e r B y > K e y < / O r d e r B y > < / A t t r i b u t e > < A t t r i b u t e > < I D > E n o v a F a c t s C o m f o r t < / I D > < N a m e > E n o v a F a c t s C o m f o r t 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 E n o v a F a c t s C o m f o r t < / C o l u m n I D > < / S o u r c e > < / K e y C o l u m n > < / K e y C o l u m n s > < O r d e r B y > K e y < / O r d e r B y > < / A t t r i b u t e > < A t t r i b u t e > < I D > U V a l u e R o o f < / I D > < N a m e > U V a l u e R o o f 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 U V a l u e R o o f < / C o l u m n I D > < / S o u r c e > < / K e y C o l u m n > < / K e y C o l u m n s > < O r d e r B y > K e y < / O r d e r B y > < / A t t r i b u t e > < A t t r i b u t e > < I D > U V a l u e F l o o r < / I D > < N a m e > U V a l u e F l o o r 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 U V a l u e F l o o r < / C o l u m n I D > < / S o u r c e > < / K e y C o l u m n > < / K e y C o l u m n s > < O r d e r B y > K e y < / O r d e r B y > < / A t t r i b u t e > < A t t r i b u t e > < I D > U V a l u e W a l l < / I D > < N a m e > U V a l u e W a l l 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 U V a l u e W a l l < / C o l u m n I D > < / S o u r c e > < / K e y C o l u m n > < / K e y C o l u m n s > < O r d e r B y > K e y < / O r d e r B y > < / A t t r i b u t e > < A t t r i b u t e > < I D > U V a l u e W i n d o w < / I D > < N a m e > U V a l u e W i n d o w 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 U V a l u e W i n d o w < / C o l u m n I D > < / S o u r c e > < / K e y C o l u m n > < / K e y C o l u m n s > < O r d e r B y > K e y < / O r d e r B y > < / A t t r i b u t e > < A t t r i b u t e > < I D > M e a s u r e d A i r T i g h t n e s s < / I D > < N a m e > M e a s u r e d A i r T i g h t n e s s 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 M e a s u r e d A i r T i g h t n e s s < / C o l u m n I D > < / S o u r c e > < / K e y C o l u m n > < / K e y C o l u m n s > < O r d e r B y > K e y < / O r d e r B y > < / A t t r i b u t e > < A t t r i b u t e > < I D > S p e c i f i c F a n P o w e r < / I D > < N a m e > S p e c i f i c F a n P o w e r 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 S p e c i f i c F a n P o w e r < / C o l u m n I D > < / S o u r c e > < / K e y C o l u m n > < / K e y C o l u m n s > < O r d e r B y > K e y < / O r d e r B y > < / A t t r i b u t e > < A t t r i b u t e > < I D > H e a t R e c o v e r y E f f i c i e n c y < / I D > < N a m e > H e a t R e c o v e r y E f f i c i e n c y 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 H e a t R e c o v e r y E f f i c i e n c y < / C o l u m n I D > < / S o u r c e > < / K e y C o l u m n > < / K e y C o l u m n s > < O r d e r B y > K e y < / O r d e r B y > < / A t t r i b u t e > < A t t r i b u t e > < I D > R o o m H e a t i n g < / I D > < N a m e > R o o m H e a t i n g 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 R o o m H e a t i n g < / C o l u m n I D > < / S o u r c e > < / K e y C o l u m n > < / K e y C o l u m n s > < O r d e r B y > K e y < / O r d e r B y > < / A t t r i b u t e > < A t t r i b u t e > < I D > V e n t i l a t i o n H e a t i n g < / I D > < N a m e > V e n t i l a t i o n H e a t i n g 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 V e n t i l a t i o n H e a t i n g < / C o l u m n I D > < / S o u r c e > < / K e y C o l u m n > < / K e y C o l u m n s > < O r d e r B y > K e y < / O r d e r B y > < / A t t r i b u t e > < A t t r i b u t e > < I D > D o m e s t i c H o t W a t e r < / I D > < N a m e > D o m e s t i c H o t W a t e r 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 D o m e s t i c H o t W a t e r < / C o l u m n I D > < / S o u r c e > < / K e y C o l u m n > < / K e y C o l u m n s > < O r d e r B y > K e y < / O r d e r B y > < / A t t r i b u t e > < A t t r i b u t e > < I D > F a n A d m i n i s t r a t i o n < / I D > < N a m e > F a n A d m i n i s t r a t i o n 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 F a n A d m i n i s t r a t i o n < / C o l u m n I D > < / S o u r c e > < / K e y C o l u m n > < / K e y C o l u m n s > < O r d e r B y > K e y < / O r d e r B y > < / A t t r i b u t e > < A t t r i b u t e > < I D > P u m p A d m i n i s t r a t i o n < / I D > < N a m e > P u m p A d m i n i s t r a t i o n 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 P u m p A d m i n i s t r a t i o n < / C o l u m n I D > < / S o u r c e > < / K e y C o l u m n > < / K e y C o l u m n s > < O r d e r B y > K e y < / O r d e r B y > < / A t t r i b u t e > < A t t r i b u t e > < I D > L i g h t i n g < / I D > < N a m e > L i g h t i n g 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 L i g h t i n g < / C o l u m n I D > < / S o u r c e > < / K e y C o l u m n > < / K e y C o l u m n s > < O r d e r B y > K e y < / O r d e r B y > < / A t t r i b u t e > < A t t r i b u t e > < I D > T e c h n i c a l E q u i p m e n t < / I D > < N a m e > T e c h n i c a l E q u i p m e n t 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 T e c h n i c a l E q u i p m e n t < / C o l u m n I D > < / S o u r c e > < / K e y C o l u m n > < / K e y C o l u m n s > < O r d e r B y > K e y < / O r d e r B y > < / A t t r i b u t e > < A t t r i b u t e > < I D > R o o m C o o l i n g < / I D > < N a m e > R o o m C o o l i n g 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 R o o m C o o l i n g < / C o l u m n I D > < / S o u r c e > < / K e y C o l u m n > < / K e y C o l u m n s > < O r d e r B y > K e y < / O r d e r B y > < / A t t r i b u t e > < A t t r i b u t e > < I D > V e n t i l a t i o n C o o l i n g < / I D > < N a m e > V e n t i l a t i o n C o o l i n g 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 V e n t i l a t i o n C o o l i n g < / C o l u m n I D > < / S o u r c e > < / K e y C o l u m n > < / K e y C o l u m n s > < O r d e r B y > K e y < / O r d e r B y > < / A t t r i b u t e > < A t t r i b u t e > < I D > O t h e r E n e r g y P o s t s < / I D > < N a m e > O t h e r E n e r g y P o s t s < / N a m e > < K e y C o l u m n s > < K e y C o l u m n > < D a t a T y p e > D o u b l e 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 O t h e r E n e r g y P o s t s < / C o l u m n I D > < / S o u r c e > < / K e y C o l u m n > < / K e y C o l u m n s > < O r d e r B y > K e y < / O r d e r B y > < / A t t r i b u t e > < A t t r i b u t e > < I D > E n e r g y E f f i c i e n c y M e t h o d < / I D > < N a m e > E n e r g y E f f i c i e n c y M e t h o d 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 E n e r g y E f f i c i e n c y M e t h o d < / C o l u m n I D > < / S o u r c e > < / K e y C o l u m n > < / K e y C o l u m n s > < O r d e r B y > K e y < / O r d e r B y > < / A t t r i b u t e > < A t t r i b u t e > < I D > M a n u f a c t u r e r s < / I D > < N a m e > M a n u f a c t u r e r s 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 M a n u f a c t u r e r s < / C o l u m n I D > < / S o u r c e > < / K e y C o l u m n > < / K e y C o l u m n s > < O r d e r B y > K e y < / O r d e r B y > < / A t t r i b u t e > < A t t r i b u t e > < I D > B u i l d i n g C o s t s < / I D > < N a m e > B u i l d i n g C o s t s 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 B u i l d i n g C o s t s < / C o l u m n I D > < / S o u r c e > < / K e y C o l u m n > < / K e y C o l u m n s > < O r d e r B y > K e y < / O r d e r B y > < / A t t r i b u t e > < A t t r i b u t e > < I D > M e r k o s t n a d M 2 < / I D > < N a m e > M e r k o s t n a d M 2 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 M e r k o s t n a d M 2 < / C o l u m n I D > < / S o u r c e > < / K e y C o l u m n > < / K e y C o l u m n s > < O r d e r B y > K e y < / O r d e r B y > < / A t t r i b u t e > < A t t r i b u t e > < I D > M e r k o s t n a d E n e r g i M 2 E n o v a < / I D > < N a m e > M e r k o s t n a d E n e r g i M 2 E n o v a 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 M e r k o s t n a d E n e r g i M 2 E n o v a < / C o l u m n I D > < / S o u r c e > < / K e y C o l u m n > < / K e y C o l u m n s > < O r d e r B y > K e y < / O r d e r B y > < / A t t r i b u t e > < A t t r i b u t e > < I D > M e r k o s t n a d U n i v e r s e l l U t f o r m i n g M 2 < / I D > < N a m e > M e r k o s t n a d U n i v e r s e l l U t f o r m i n g M 2 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 M e r k o s t n a d U n i v e r s e l l U t f o r m i n g M 2 < / C o l u m n I D > < / S o u r c e > < / K e y C o l u m n > < / K e y C o l u m n s > < O r d e r B y > K e y < / O r d e r B y > < / A t t r i b u t e > < A t t r i b u t e > < I D > P r o j e c t S u p p o r t E n o v a < / I D > < N a m e > P r o j e c t S u p p o r t E n o v a 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 P r o j e c t S u p p o r t E n o v a < / C o l u m n I D > < / S o u r c e > < / K e y C o l u m n > < / K e y C o l u m n s > < O r d e r B y > K e y < / O r d e r B y > < / A t t r i b u t e > < A t t r i b u t e > < I D > P r o j e c t S u p p o r t H u s b a n k e n < / I D > < N a m e > P r o j e c t S u p p o r t H u s b a n k e n < / N a m e > < K e y C o l u m n s > < K e y C o l u m n > < D a t a T y p e > I n t e g e r 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 P r o j e c t S u p p o r t H u s b a n k e n < / C o l u m n I D > < / S o u r c e > < / K e y C o l u m n > < / K e y C o l u m n s > < O r d e r B y > K e y < / O r d e r B y > < / A t t r i b u t e > < A t t r i b u t e > < I D > P u b l i s h e d I n < / I D > < N a m e > P u b l i s h e d I n 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 P u b l i s h e d I n < / C o l u m n I D > < / S o u r c e > < / K e y C o l u m n > < / K e y C o l u m n s > < O r d e r B y > K e y < / O r d e r B y > < / A t t r i b u t e > < A t t r i b u t e > < I D > R e f e r e n c e s < / I D > < N a m e > R e f e r e n c e s 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 R e f e r e n c e s < / C o l u m n I D > < / S o u r c e > < / K e y C o l u m n > < / K e y C o l u m n s > < O r d e r B y > K e y < / O r d e r B y > < / A t t r i b u t e > < A t t r i b u t e > < I D > S e a r c h S u m m a r y < / I D > < N a m e > S e a r c h S u m m a r y 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 _ x 0 0 3 6 _ 9 b e 9 0 f d - 0 0 6 b - 4 2 2 a - 8 2 8 0 - 5 7 c e a 0 9 0 d 5 7 8 < / T a b l e I D > < C o l u m n I D > S e a r c h S u m m a r y < / C o l u m n I D > < / S o u r c e > < / K e y C o l u m n > < / K e y C o l u m n s > < O r d e r B y > K e y < / O r d e r B y > < / A t t r i b u t e > < / A t t r i b u t e s > < / D i m e n s i o n > < / D i m e n s i o n s > < C u b e s > < C u b e > < I D > S a n d b o x < / I D > < N a m e > S a n d b o x < / N a m e > < D i m e n s i o n s > < D i m e n s i o n > < I D > 6 9 b e 9 0 f d - 0 0 6 b - 4 2 2 a - 8 2 8 0 - 5 7 c e a 0 9 0 d 5 7 8 < / I D > < N a m e > E c o P r o j e c t s < / N a m e > < D i m e n s i o n I D > 6 9 b e 9 0 f d - 0 0 6 b - 4 2 2 a - 8 2 8 0 - 5 7 c e a 0 9 0 d 5 7 8 < / D i m e n s i o n I D > < A t t r i b u t e s > < A t t r i b u t e > < A t t r i b u t e I D > R o w N u m b e r < / A t t r i b u t e I D > < / A t t r i b u t e > < A t t r i b u t e > < A t t r i b u t e I D > I d < / A t t r i b u t e I D > < / A t t r i b u t e > < A t t r i b u t e > < A t t r i b u t e I D > L i s t O r d e r < / A t t r i b u t e I D > < / A t t r i b u t e > < A t t r i b u t e > < A t t r i b u t e I D > I m a g e U r l < / A t t r i b u t e I D > < / A t t r i b u t e > < A t t r i b u t e > < A t t r i b u t e I D > T h u m b n a i l U r l < / A t t r i b u t e I D > < / A t t r i b u t e > < A t t r i b u t e > < A t t r i b u t e I D > N a m e < / A t t r i b u t e I D > < / A t t r i b u t e > < A t t r i b u t e > < A t t r i b u t e I D > A u t h o r < / A t t r i b u t e I D > < / A t t r i b u t e > < A t t r i b u t e > < A t t r i b u t e I D > U p d a t e d < / A t t r i b u t e I D > < / A t t r i b u t e > < A t t r i b u t e > < A t t r i b u t e I D > S u b T i t l e < / A t t r i b u t e I D > < / A t t r i b u t e > < A t t r i b u t e > < A t t r i b u t e I D > A u t h o r S i g n a t u r e < / A t t r i b u t e I D > < / A t t r i b u t e > < A t t r i b u t e > < A t t r i b u t e I D > P r o j e c t O w n e r N a m e < / A t t r i b u t e I D > < / A t t r i b u t e > < A t t r i b u t e > < A t t r i b u t e I D > P r o j e c t O w n e r I d < / A t t r i b u t e I D > < / A t t r i b u t e > < A t t r i b u t e > < A t t r i b u t e I D > E d i t o r i a l R e s p o n s i b i l i t y < / A t t r i b u t e I D > < / A t t r i b u t e > < A t t r i b u t e > < A t t r i b u t e I D > S h o r t D e s c r i p t i o n < / A t t r i b u t e I D > < / A t t r i b u t e > < A t t r i b u t e > < A t t r i b u t e I D > G e n e r a l P r o j e c t T y p e < / A t t r i b u t e I D > < / A t t r i b u t e > < A t t r i b u t e > < A t t r i b u t e I D > P r o j e c t S t a t u s < / A t t r i b u t e I D > < / A t t r i b u t e > < A t t r i b u t e > < A t t r i b u t e I D > F i n i s h e d P r o j e c t < / A t t r i b u t e I D > < / A t t r i b u t e > < A t t r i b u t e > < A t t r i b u t e I D > E n g l i s h C o n t e n t < / A t t r i b u t e I D > < / A t t r i b u t e > < A t t r i b u t e > < A t t r i b u t e I D > H i d e O n E c o b o x < / A t t r i b u t e I D > < / A t t r i b u t e > < A t t r i b u t e > < A t t r i b u t e I D > H i d e F r o m P r o j e c t F r o n t P a g e < / A t t r i b u t e I D > < / A t t r i b u t e > < A t t r i b u t e > < A t t r i b u t e I D > C o n t a c t < / A t t r i b u t e I D > < / A t t r i b u t e > < A t t r i b u t e > < A t t r i b u t e I D > C o n t a c t P h o n e < / A t t r i b u t e I D > < / A t t r i b u t e > < A t t r i b u t e > < A t t r i b u t e I D > C o n t a c t E m a i l < / A t t r i b u t e I D > < / A t t r i b u t e > < A t t r i b u t e > < A t t r i b u t e I D > F B y e r E x t e r n a l T a g s C o u n t < / A t t r i b u t e I D > < / A t t r i b u t e > < A t t r i b u t e > < A t t r i b u t e I D > E x t e r n a l T a g s C o u n t < / A t t r i b u t e I D > < / A t t r i b u t e > < A t t r i b u t e > < A t t r i b u t e I D > E x t e r n a l P r o j e c t D B U s e r s C o u n t < / A t t r i b u t e I D > < / A t t r i b u t e > < A t t r i b u t e > < A t t r i b u t e I D > E c o M e a s u r e s C o u n t < / A t t r i b u t e I D > < / A t t r i b u t e > < A t t r i b u t e > < A t t r i b u t e I D > E c o n o m y H e a d e r < / A t t r i b u t e I D > < / A t t r i b u t e > < A t t r i b u t e > < A t t r i b u t e I D > E c o n o m y < / A t t r i b u t e I D > < / A t t r i b u t e > < A t t r i b u t e > < A t t r i b u t e I D > C o s t B e n e f i t E v a l u a t i o n s C o u n t < / A t t r i b u t e I D > < / A t t r i b u t e > < A t t r i b u t e > < A t t r i b u t e I D > C l o s i n g P a r a g r a p h H e a d e r < / A t t r i b u t e I D > < / A t t r i b u t e > < A t t r i b u t e > < A t t r i b u t e I D > C l o s i n g P a r a g r a p h < / A t t r i b u t e I D > < / A t t r i b u t e > < A t t r i b u t e > < A t t r i b u t e I D > P r o j e c t r e s p o n s i b l e F B N a m e < / A t t r i b u t e I D > < / A t t r i b u t e > < A t t r i b u t e > < A t t r i b u t e I D > P r o j e c t r e s p o n s i b l e F B I d < / A t t r i b u t e I D > < / A t t r i b u t e > < A t t r i b u t e > < A t t r i b u t e I D > R e s p o n s i b l e D e p a r t m e n t < / A t t r i b u t e I D > < / A t t r i b u t e > < A t t r i b u t e > < A t t r i b u t e I D > P r o j e c t A d d r e s s < / A t t r i b u t e I D > < / A t t r i b u t e > < A t t r i b u t e > < A t t r i b u t e I D > L o c a t i o n < / A t t r i b u t e I D > < / A t t r i b u t e > < A t t r i b u t e > < A t t r i b u t e I D > M u n i c i p a l i t i e s C o u n t < / A t t r i b u t e I D > < / A t t r i b u t e > < A t t r i b u t e > < A t t r i b u t e I D > M a p L a t i t u d e < / A t t r i b u t e I D > < / A t t r i b u t e > < A t t r i b u t e > < A t t r i b u t e I D > M a p L o n g i t u d e < / A t t r i b u t e I D > < / A t t r i b u t e > < A t t r i b u t e > < A t t r i b u t e I D > M a p Z o o m L e v e l < / A t t r i b u t e I D > < / A t t r i b u t e > < A t t r i b u t e > < A t t r i b u t e I D > P r o j e c t P e r i o d < / A t t r i b u t e I D > < / A t t r i b u t e > < A t t r i b u t e > < A t t r i b u t e I D > C o n s t r u c t i o n S t a r t e d Y e a r < / A t t r i b u t e I D > < / A t t r i b u t e > < A t t r i b u t e > < A t t r i b u t e I D > C o n s t r u c t i o n C o m p l e t e d Y e a r < / A t t r i b u t e I D > < / A t t r i b u t e > < A t t r i b u t e > < A t t r i b u t e I D > P a r t n e r s C o u n t < / A t t r i b u t e I D > < / A t t r i b u t e > < A t t r i b u t e > < A t t r i b u t e I D > O t h e r s I n v o l v e d < / A t t r i b u t e I D > < / A t t r i b u t e > < A t t r i b u t e > < A t t r i b u t e I D > K e y w o r d M e a s u r e s C o u n t < / A t t r i b u t e I D > < / A t t r i b u t e > < A t t r i b u t e > < A t t r i b u t e I D > C o l l a b o r a t i o n < / A t t r i b u t e I D > < / A t t r i b u t e > < A t t r i b u t e > < A t t r i b u t e I D > M u n i c i p a l i t i e s C o l l a b o r a t i o n < / A t t r i b u t e I D > < / A t t r i b u t e > < A t t r i b u t e > < A t t r i b u t e I D > P r i v a t e C o l l a b o r a t i o n < / A t t r i b u t e I D > < / A t t r i b u t e > < A t t r i b u t e > < A t t r i b u t e I D > O t h e r C o l l a b o r a t i o n < / A t t r i b u t e I D > < / A t t r i b u t e > < A t t r i b u t e > < A t t r i b u t e I D > P r o g r e s s D e s c r i p t i o n < / A t t r i b u t e I D > < / A t t r i b u t e > < A t t r i b u t e > < A t t r i b u t e I D > P r o g r e s s S t a t u s < / A t t r i b u t e I D > < / A t t r i b u t e > < A t t r i b u t e > < A t t r i b u t e I D > F B y e r O t h e r R e s u l t s < / A t t r i b u t e I D > < / A t t r i b u t e > < A t t r i b u t e > < A t t r i b u t e I D > F B y e r C o s t s < / A t t r i b u t e I D > < / A t t r i b u t e > < A t t r i b u t e > < A t t r i b u t e I D > F B y e r I m p o r t a n c e < / A t t r i b u t e I D > < / A t t r i b u t e > < A t t r i b u t e > < A t t r i b u t e I D > F B y e r T i m e U s a g e < / A t t r i b u t e I D > < / A t t r i b u t e > < A t t r i b u t e > < A t t r i b u t e I D > F B y e r P e o p l e I n f o r m e d < / A t t r i b u t e I D > < / A t t r i b u t e > < A t t r i b u t e > < A t t r i b u t e I D > F B y e r O t h e r R e m a r k s < / A t t r i b u t e I D > < / A t t r i b u t e > < A t t r i b u t e > < A t t r i b u t e I D > P r o j e c t P h a s e C o u n t < / A t t r i b u t e I D > < / A t t r i b u t e > < A t t r i b u t e > < A t t r i b u t e I D > P r o j e c t T y p e s C o u n t < / A t t r i b u t e I D > < / A t t r i b u t e > < A t t r i b u t e > < A t t r i b u t e I D > F u n c t i o n B u i l d i n g C a t e g o r y C o u n t < / A t t r i b u t e I D > < / A t t r i b u t e > < A t t r i b u t e > < A t t r i b u t e I D > P r o j e c t C o m p e t i t i o n F o r m C o u n t < / A t t r i b u t e I D > < / A t t r i b u t e > < A t t r i b u t e > < A t t r i b u t e I D > P r o j e c t C o n t r a c t i n g F o r m C o u n t < / A t t r i b u t e I D > < / A t t r i b u t e > < A t t r i b u t e > < A t t r i b u t e I D > P r o j e c t E n v i r o n m e n t a l S t a n d a r d C o u n t < / A t t r i b u t e I D > < / A t t r i b u t e > < A t t r i b u t e > < A t t r i b u t e I D > P r o j e c t A w a r d s C o u n t < / A t t r i b u t e I D > < / A t t r i b u t e > < A t t r i b u t e > < A t t r i b u t e I D > P r o j e c t R o l e M o d e l C o u n t < / A t t r i b u t e I D > < / A t t r i b u t e > < A t t r i b u t e > < A t t r i b u t e I D > P r o j e c t R e s e a r c h C o u n t < / A t t r i b u t e I D > < / A t t r i b u t e > < A t t r i b u t e > < A t t r i b u t e I D > P r o j e c t A r c h i t e c t u r e G u i d e C o u n t < / A t t r i b u t e I D > < / A t t r i b u t e > < A t t r i b u t e > < A t t r i b u t e I D > B u i l d e r s C o u n t < / A t t r i b u t e I D > < / A t t r i b u t e > < A t t r i b u t e > < A t t r i b u t e I D > A r c h i t e c t A R K C o u n t < / A t t r i b u t e I D > < / A t t r i b u t e > < A t t r i b u t e > < A t t r i b u t e I D > A r c h i t e c t L A R K C o u n t < / A t t r i b u t e I D > < / A t t r i b u t e > < A t t r i b u t e > < A t t r i b u t e I D > A r c h i t e c t I A R K C o u n t < / A t t r i b u t e I D > < / A t t r i b u t e > < A t t r i b u t e > < A t t r i b u t e I D > O r i g i n a l A r c h i t e c t C o u n t < / A t t r i b u t e I D > < / A t t r i b u t e > < A t t r i b u t e > < A t t r i b u t e I D > P r o j e c t M a n a g a g e r s C o u n t < / A t t r i b u t e I D > < / A t t r i b u t e > < A t t r i b u t e > < A t t r i b u t e I D > E n v i r o n m e n t C o n s u l t a n t s C o u n t < / A t t r i b u t e I D > < / A t t r i b u t e > < A t t r i b u t e > < A t t r i b u t e I D > E n e r g y C o n s u l t a n t s C o u n t < / A t t r i b u t e I D > < / A t t r i b u t e > < A t t r i b u t e > < A t t r i b u t e I D > U n i v e r s a l D e s i g n C o n s u l t a n t s C o u n t < / A t t r i b u t e I D > < / A t t r i b u t e > < A t t r i b u t e > < A t t r i b u t e I D > A d v i s o r I n g B y g g N a m e < / A t t r i b u t e I D > < / A t t r i b u t e > < A t t r i b u t e > < A t t r i b u t e I D > A d v i s o r I n g B y g g I d < / A t t r i b u t e I D > < / A t t r i b u t e > < A t t r i b u t e > < A t t r i b u t e I D > A d v i s o r I n g V V S N a m e < / A t t r i b u t e I D > < / A t t r i b u t e > < A t t r i b u t e > < A t t r i b u t e I D > A d v i s o r I n g V V S I d < / A t t r i b u t e I D > < / A t t r i b u t e > < A t t r i b u t e > < A t t r i b u t e I D > A d v i s o r I n g E l e k t r o N a m e < / A t t r i b u t e I D > < / A t t r i b u t e > < A t t r i b u t e > < A t t r i b u t e I D > A d v i s o r I n g E l e k t r o I d < / A t t r i b u t e I D > < / A t t r i b u t e > < A t t r i b u t e > < A t t r i b u t e I D > A d v i s o r i n g B u i l d i n g P h y s i c s N a m e < / A t t r i b u t e I D > < / A t t r i b u t e > < A t t r i b u t e > < A t t r i b u t e I D > A d v i s o r i n g B u i l d i n g P h y s i c s I d < / A t t r i b u t e I D > < / A t t r i b u t e > < A t t r i b u t e > < A t t r i b u t e I D > A d v i s o r I n g F i r e S a f e t y N a m e < / A t t r i b u t e I D > < / A t t r i b u t e > < A t t r i b u t e > < A t t r i b u t e I D > A d v i s o r I n g F i r e S a f e t y I d < / A t t r i b u t e I D > < / A t t r i b u t e > < A t t r i b u t e > < A t t r i b u t e I D > A d v i s o r I n g A c o u s t i c s N a m e < / A t t r i b u t e I D > < / A t t r i b u t e > < A t t r i b u t e > < A t t r i b u t e I D > A d v i s o r I n g A c o u s t i c s I d < / A t t r i b u t e I D > < / A t t r i b u t e > < A t t r i b u t e > < A t t r i b u t e I D > O t h e r A d v i s o r s < / A t t r i b u t e I D > < / A t t r i b u t e > < A t t r i b u t e > < A t t r i b u t e I D > C o n t r a c t o r s C o u n t < / A t t r i b u t e I D > < / A t t r i b u t e > < A t t r i b u t e > < A t t r i b u t e I D > C o n s t r u c t i o n M a n a g e m e n t C o u n t < / A t t r i b u t e I D > < / A t t r i b u t e > < A t t r i b u t e > < A t t r i b u t e I D > S u p p l i e r s C o u n t < / A t t r i b u t e I D > < / A t t r i b u t e > < A t t r i b u t e > < A t t r i b u t e I D > S u b C o n t r a c t o r s < / A t t r i b u t e I D > < / A t t r i b u t e > < A t t r i b u t e > < A t t r i b u t e I D > S h o w K e y F i g u r e s < / A t t r i b u t e I D > < / A t t r i b u t e > < A t t r i b u t e > < A t t r i b u t e I D > A r e a U s e d < / A t t r i b u t e I D > < / A t t r i b u t e > < A t t r i b u t e > < A t t r i b u t e I D > N u m b e r O f R e s i d e n t s < / A t t r i b u t e I D > < / A t t r i b u t e > < A t t r i b u t e > < A t t r i b u t e I D > S q u a r e F o o t B T A < / A t t r i b u t e I D > < / A t t r i b u t e > < A t t r i b u t e > < A t t r i b u t e I D > G r o s s S q u a r e F o o t B T A < / A t t r i b u t e I D > < / A t t r i b u t e > < A t t r i b u t e > < A t t r i b u t e I D > G r o s s S q u a r e F o o t < / A t t r i b u t e I D > < / A t t r i b u t e > < A t t r i b u t e > < A t t r i b u t e I D > G r o s s S q u a r e F o o t H e a t e d < / A t t r i b u t e I D > < / A t t r i b u t e > < A t t r i b u t e > < A t t r i b u t e I D > S q u a r e F o o t G l a s s < / A t t r i b u t e I D > < / A t t r i b u t e > < A t t r i b u t e > < A t t r i b u t e I D > C o m p a c t n e s s F a c t o r < / A t t r i b u t e I D > < / A t t r i b u t e > < A t t r i b u t e > < A t t r i b u t e I D > G r e e n A r e a I n c e a s e < / A t t r i b u t e I D > < / A t t r i b u t e > < A t t r i b u t e > < A t t r i b u t e I D > H a r d A r e a R e d u c t i o n < / A t t r i b u t e I D > < / A t t r i b u t e > < A t t r i b u t e > < A t t r i b u t e I D > W a l k w a y s L e n g t h < / A t t r i b u t e I D > < / A t t r i b u t e > < A t t r i b u t e > < A t t r i b u t e I D > D i s t a n c e T o C o l l e c t i v e P o i n t < / A t t r i b u t e I D > < / A t t r i b u t e > < A t t r i b u t e > < A t t r i b u t e I D > D i s t a n c e T o C i t y C e n t e r < / A t t r i b u t e I D > < / A t t r i b u t e > < A t t r i b u t e > < A t t r i b u t e I D > P a r k i n g A r e a < / A t t r i b u t e I D > < / A t t r i b u t e > < A t t r i b u t e > < A t t r i b u t e I D > P a r k i n g S p o t s P e r U n i t < / A t t r i b u t e I D > < / A t t r i b u t e > < A t t r i b u t e > < A t t r i b u t e I D > B i k e P a r k i n g A r e a < / A t t r i b u t e I D > < / A t t r i b u t e > < A t t r i b u t e > < A t t r i b u t e I D > B i k e P a r k i n g S p o t s P e r U n i t < / A t t r i b u t e I D > < / A t t r i b u t e > < A t t r i b u t e > < A t t r i b u t e I D > F B y e r C O 2 < / A t t r i b u t e I D > < / A t t r i b u t e > < A t t r i b u t e > < A t t r i b u t e I D > C O 2 M e t h o d < / A t t r i b u t e I D > < / A t t r i b u t e > < A t t r i b u t e > < A t t r i b u t e I D > C O 2 R e f e r e n c e E n e r g y < / A t t r i b u t e I D > < / A t t r i b u t e > < A t t r i b u t e > < A t t r i b u t e I D > C O 2 R e f e r e n c e M a t e r i a l s < / A t t r i b u t e I D > < / A t t r i b u t e > < A t t r i b u t e > < A t t r i b u t e I D > C O 2 R e f e r e n c e T r a n s p o r t < / A t t r i b u t e I D > < / A t t r i b u t e > < A t t r i b u t e > < A t t r i b u t e I D > C O 2 D e s i g n e d E n e r g y < / A t t r i b u t e I D > < / A t t r i b u t e > < A t t r i b u t e > < A t t r i b u t e I D > C O 2 D e s i g n e d M a t e r i a l s < / A t t r i b u t e I D > < / A t t r i b u t e > < A t t r i b u t e > < A t t r i b u t e I D > C O 2 D e s i g n e d T r a n s p o r t < / A t t r i b u t e I D > < / A t t r i b u t e > < A t t r i b u t e > < A t t r i b u t e I D > C O 2 F i n i s h e d E n e r g y < / A t t r i b u t e I D > < / A t t r i b u t e > < A t t r i b u t e > < A t t r i b u t e I D > C O 2 F i n i s h e d M a t e r i a l s < / A t t r i b u t e I D > < / A t t r i b u t e > < A t t r i b u t e > < A t t r i b u t e I D > C O 2 F i n i s h e d T r a n s p o r t < / A t t r i b u t e I D > < / A t t r i b u t e > < A t t r i b u t e > < A t t r i b u t e I D > C O 2 I n U s e E n e r g y < / A t t r i b u t e I D > < / A t t r i b u t e > < A t t r i b u t e > < A t t r i b u t e I D > C O 2 I n U s e M a t e r i a l s < / A t t r i b u t e I D > < / A t t r i b u t e > < A t t r i b u t e > < A t t r i b u t e I D > C O 2 I n U s e T r a n s p o r t < / A t t r i b u t e I D > < / A t t r i b u t e > < A t t r i b u t e > < A t t r i b u t e I D > E n e r g y L a b e l < / A t t r i b u t e I D > < / A t t r i b u t e > < A t t r i b u t e > < A t t r i b u t e I D > H e a t R a t i n g < / A t t r i b u t e I D > < / A t t r i b u t e > < A t t r i b u t e > < A t t r i b u t e I D > E n e r g y C o n s u m p t i o n < / A t t r i b u t e I D > < / A t t r i b u t e > < A t t r i b u t e > < A t t r i b u t e I D > E n e r g y S o u r c e s < / A t t r i b u t e I D > < / A t t r i b u t e > < A t t r i b u t e > < A t t r i b u t e I D > N e t E n e r g y 3 7 0 0 < / A t t r i b u t e I D > < / A t t r i b u t e > < A t t r i b u t e > < A t t r i b u t e I D > E s t i m a t e d D e l i v e r e d E n e r g y 3 7 0 0 < / A t t r i b u t e I D > < / A t t r i b u t e > < A t t r i b u t e > < A t t r i b u t e I D > N e t E n e r g y < / A t t r i b u t e I D > < / A t t r i b u t e > < A t t r i b u t e > < A t t r i b u t e I D > E s t i m a t e d D e l i v e r e d E n e r g y < / A t t r i b u t e I D > < / A t t r i b u t e > < A t t r i b u t e > < A t t r i b u t e I D > E n e r g y S a v i n g s < / A t t r i b u t e I D > < / A t t r i b u t e > < A t t r i b u t e > < A t t r i b u t e I D > E n e r g y C o n v e r t e d F r o m E l e c t r i c i t y T o R e n e w a b l e < / A t t r i b u t e I D > < / A t t r i b u t e > < A t t r i b u t e > < A t t r i b u t e I D > E n e r g y C o n v e r t e d F r o m F o s s i l T o R e n e w a b l e < / A t t r i b u t e I D > < / A t t r i b u t e > < A t t r i b u t e > < A t t r i b u t e I D > E n e r g y D e l i v e r e d < / A t t r i b u t e I D > < / A t t r i b u t e > < A t t r i b u t e > < A t t r i b u t e I D > E n o v a F a c t s E n e r g y < / A t t r i b u t e I D > < / A t t r i b u t e > < A t t r i b u t e > < A t t r i b u t e I D > E n o v a F a c t s C o m f o r t < / A t t r i b u t e I D > < / A t t r i b u t e > < A t t r i b u t e > < A t t r i b u t e I D > U V a l u e R o o f < / A t t r i b u t e I D > < / A t t r i b u t e > < A t t r i b u t e > < A t t r i b u t e I D > U V a l u e F l o o r < / A t t r i b u t e I D > < / A t t r i b u t e > < A t t r i b u t e > < A t t r i b u t e I D > U V a l u e W a l l < / A t t r i b u t e I D > < / A t t r i b u t e > < A t t r i b u t e > < A t t r i b u t e I D > U V a l u e W i n d o w < / A t t r i b u t e I D > < / A t t r i b u t e > < A t t r i b u t e > < A t t r i b u t e I D > M e a s u r e d A i r T i g h t n e s s < / A t t r i b u t e I D > < / A t t r i b u t e > < A t t r i b u t e > < A t t r i b u t e I D > S p e c i f i c F a n P o w e r < / A t t r i b u t e I D > < / A t t r i b u t e > < A t t r i b u t e > < A t t r i b u t e I D > H e a t R e c o v e r y E f f i c i e n c y < / A t t r i b u t e I D > < / A t t r i b u t e > < A t t r i b u t e > < A t t r i b u t e I D > R o o m H e a t i n g < / A t t r i b u t e I D > < / A t t r i b u t e > < A t t r i b u t e > < A t t r i b u t e I D > V e n t i l a t i o n H e a t i n g < / A t t r i b u t e I D > < / A t t r i b u t e > < A t t r i b u t e > < A t t r i b u t e I D > D o m e s t i c H o t W a t e r < / A t t r i b u t e I D > < / A t t r i b u t e > < A t t r i b u t e > < A t t r i b u t e I D > F a n A d m i n i s t r a t i o n < / A t t r i b u t e I D > < / A t t r i b u t e > < A t t r i b u t e > < A t t r i b u t e I D > P u m p A d m i n i s t r a t i o n < / A t t r i b u t e I D > < / A t t r i b u t e > < A t t r i b u t e > < A t t r i b u t e I D > L i g h t i n g < / A t t r i b u t e I D > < / A t t r i b u t e > < A t t r i b u t e > < A t t r i b u t e I D > T e c h n i c a l E q u i p m e n t < / A t t r i b u t e I D > < / A t t r i b u t e > < A t t r i b u t e > < A t t r i b u t e I D > R o o m C o o l i n g < / A t t r i b u t e I D > < / A t t r i b u t e > < A t t r i b u t e > < A t t r i b u t e I D > V e n t i l a t i o n C o o l i n g < / A t t r i b u t e I D > < / A t t r i b u t e > < A t t r i b u t e > < A t t r i b u t e I D > O t h e r E n e r g y P o s t s < / A t t r i b u t e I D > < / A t t r i b u t e > < A t t r i b u t e > < A t t r i b u t e I D > E n e r g y E f f i c i e n c y M e t h o d < / A t t r i b u t e I D > < / A t t r i b u t e > < A t t r i b u t e > < A t t r i b u t e I D > M a n u f a c t u r e r s < / A t t r i b u t e I D > < / A t t r i b u t e > < A t t r i b u t e > < A t t r i b u t e I D > B u i l d i n g C o s t s < / A t t r i b u t e I D > < / A t t r i b u t e > < A t t r i b u t e > < A t t r i b u t e I D > M e r k o s t n a d M 2 < / A t t r i b u t e I D > < / A t t r i b u t e > < A t t r i b u t e > < A t t r i b u t e I D > M e r k o s t n a d E n e r g i M 2 E n o v a < / A t t r i b u t e I D > < / A t t r i b u t e > < A t t r i b u t e > < A t t r i b u t e I D > M e r k o s t n a d U n i v e r s e l l U t f o r m i n g M 2 < / A t t r i b u t e I D > < / A t t r i b u t e > < A t t r i b u t e > < A t t r i b u t e I D > P r o j e c t S u p p o r t E n o v a < / A t t r i b u t e I D > < / A t t r i b u t e > < A t t r i b u t e > < A t t r i b u t e I D > P r o j e c t S u p p o r t H u s b a n k e n < / A t t r i b u t e I D > < / A t t r i b u t e > < A t t r i b u t e > < A t t r i b u t e I D > P u b l i s h e d I n < / A t t r i b u t e I D > < / A t t r i b u t e > < A t t r i b u t e > < A t t r i b u t e I D > R e f e r e n c e s < / A t t r i b u t e I D > < / A t t r i b u t e > < A t t r i b u t e > < A t t r i b u t e I D > S e a r c h S u m m a r y < / A t t r i b u t e I D > < / A t t r i b u t e > < / A t t r i b u t e s > < / D i m e n s i o n > < / D i m e n s i o n s > < M e a s u r e G r o u p s > < M e a s u r e G r o u p > < I D > 6 9 b e 9 0 f d - 0 0 6 b - 4 2 2 a - 8 2 8 0 - 5 7 c e a 0 9 0 d 5 7 8 < / I D > < N a m e > E c o P r o j e c t s < / N a m e > < M e a s u r e s > < M e a s u r e > < I D > 6 9 b e 9 0 f d - 0 0 6 b - 4 2 2 a - 8 2 8 0 - 5 7 c e a 0 9 0 d 5 7 8 < / I D > < N a m e > _ A n t a l l   E c o P r o j e c t s < / N a m e > < A g g r e g a t e F u n c t i o n > C o u n t < / A g g r e g a t e F u n c t i o n > < S o u r c e > < D a t a T y p e > B i g I n t < / D a t a T y p e > < D a t a S i z e > 8 < / D a t a S i z e > < S o u r c e   x s i : t y p e = " R o w B i n d i n g " > < T a b l e I D > _ x 0 0 3 6 _ 9 b e 9 0 f d - 0 0 6 b - 4 2 2 a - 8 2 8 0 - 5 7 c e a 0 9 0 d 5 7 8 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 6 9 b e 9 0 f d - 0 0 6 b - 4 2 2 a - 8 2 8 0 - 5 7 c e a 0 9 0 d 5 7 8 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 E c o P r o j e c t s < / T a b l e I D > < C o l u m n I D > R o w N u m b e r < / C o l u m n I D > < / S o u r c e > < / K e y C o l u m n > < / K e y C o l u m n s > < T y p e > G r a n u l a r i t y < / T y p e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 6 9 b e 9 0 f d - 0 0 6 b - 4 2 2 a - 8 2 8 0 - 5 7 c e a 0 9 0 d 5 7 8 < / I D > < N a m e > E c o P r o j e c t s < / N a m e > < S o u r c e   x s i : t y p e = " Q u e r y B i n d i n g " > < D a t a S o u r c e I D > 7 e b c 8 5 3 2 - 7 6 f f - 4 e 3 d - b 3 d 3 - 1 8 0 7 f f 0 f b a d 8 < / D a t a S o u r c e I D > < Q u e r y D e f i n i t i o n > E c o P r o j e c t s 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/ P a r t i t i o n > < / P a r t i t i o n s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 
 C R E A T E   M E M B E R   C U R R E N T C U B E . M e a s u r e s . [ 4 f f 6 e 9 8 7 - 4 d e 8 - 4 6 3 d - 8 5 4 e - 8 5 5 5 e 6 d 2 c 3 c e ]   A S   1 ,   V i s i b l e = 0 ;    
 A L T E R   C U B E   C U R R E N T C U B E   U P D A T E   D I M E N S I O N   M e a s u r e s ,   D e f a u l t _ M e m b e r   =   [ 4 f f 6 e 9 8 7 - 4 d e 8 - 4 6 3 d - 8 5 4 e - 8 5 5 5 e 6 d 2 c 3 c e ] ;   < / T e x t > < / C o m m a n d > < / C o m m a n d s > < / M d x S c r i p t > < / M d x S c r i p t s > < S t o r a g e M o d e   v a l u e n s = " d d l 2 0 0 _ 2 0 0 " > I n M e m o r y < / S t o r a g e M o d e > < / C u b e > < / C u b e s > < D a t a S o u r c e s > < D a t a S o u r c e   x s i : t y p e = " R e l a t i o n a l D a t a S o u r c e " > < I D > 7 e b c 8 5 3 2 - 7 6 f f - 4 e 3 d - b 3 d 3 - 1 8 0 7 f f 0 f b a d 8 < / I D > < N a m e > D a t a F e e d   w w w . a r k i t e k t u r . n o   e c o o d a t a < / N a m e > < A n n o t a t i o n s > < A n n o t a t i o n > < N a m e > C o n n e c t i o n E d i t U I S o u r c e < / N a m e > < V a l u e > D a t a F e e d < / V a l u e > < / A n n o t a t i o n > < A n n o t a t i o n > < N a m e > C o n n e c t i o n E d i t U I S o u r c e I s D a l l a s < / N a m e > < V a l u e > F a l s e < / V a l u e > < / A n n o t a t i o n > < / A n n o t a t i o n s > < C o n n e c t i o n S t r i n g > D a t a   S o u r c e = h t t p : / / w w w . a r k i t e k t u r . n o / e c o o d a t a ; I n t e g r a t e d   S e c u r i t y = S S P I ; P e r s i s t   S e c u r i t y   I n f o = f a l s e ; N a m e s p a c e s   t o   I n c l u d e = * ; S e r v i c e   D o c u m e n t   U r l = h t t p : / / w w w . a r k i t e k t u r . n o / e c o o d a t a < / C o n n e c t i o n S t r i n g > < I m p e r s o n a t i o n I n f o > < I m p e r s o n a t i o n M o d e > I m p e r s o n a t e C u r r e n t U s e r < / I m p e r s o n a t i o n M o d e > < / I m p e r s o n a t i o n I n f o > < M a n a g e d P r o v i d e r > M i c r o s o f t . D a t a . D a t a F e e d C l i e n t < / M a n a g e d P r o v i d e r > < T i m e o u t > P T 0 S < / T i m e o u t > < / D a t a S o u r c e > < / D a t a S o u r c e s > < D a t a S o u r c e V i e w s > < D a t a S o u r c e V i e w > < I D > S a n d b o x < / I D > < N a m e > S a n d b o x < / N a m e > < D a t a S o u r c e I D > 7 e b c 8 5 3 2 - 7 6 f f - 4 e 3 d - b 3 d 3 - 1 8 0 7 f f 0 f b a d 8 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n b - N O " > < x s : c o m p l e x T y p e > < x s : c h o i c e   m i n O c c u r s = " 0 "   m a x O c c u r s = " u n b o u n d e d " > < x s : e l e m e n t   n a m e = " _ x 0 0 3 6 _ 9 b e 9 0 f d - 0 0 6 b - 4 2 2 a - 8 2 8 0 - 5 7 c e a 0 9 0 d 5 7 8 "   m s d a t a : L o c a l e = " "   m s p r o p : F r i e n d l y N a m e = " E c o P r o j e c t s "   m s p r o p : D b T a b l e N a m e = " E c o P r o j e c t s "   m s p r o p : Q u e r y D e f i n i t i o n = " E c o P r o j e c t s "   m s p r o p : D e s c r i p t i o n = " E c o P r o j e c t s "   m s p r o p : T a b l e T y p e = " V i e w "   m s p r o p : I s L o g i c a l = " T r u e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L i s t O r d e r "   m s p r o p : F r i e n d l y N a m e = " L i s t O r d e r "   m s p r o p : D b C o l u m n N a m e = " L i s t O r d e r "   t y p e = " x s : i n t "   m i n O c c u r s = " 0 "   / > < x s : e l e m e n t   n a m e = " I m a g e U r l "   m s p r o p : F r i e n d l y N a m e = " I m a g e U r l "   m s p r o p : D b C o l u m n N a m e = " I m a g e U r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T h u m b n a i l U r l "   m s p r o p : F r i e n d l y N a m e = " T h u m b n a i l U r l "   m s p r o p : D b C o l u m n N a m e = " T h u m b n a i l U r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N a m e "   m s p r o p : F r i e n d l y N a m e = " N a m e "   m s p r o p : D b C o l u m n N a m e = "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u t h o r "   m s p r o p : F r i e n d l y N a m e = " A u t h o r "   m s p r o p : D b C o l u m n N a m e = " A u t h o r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U p d a t e d "   m s p r o p : F r i e n d l y N a m e = " U p d a t e d "   m s p r o p : D b C o l u m n N a m e = " U p d a t e d "   t y p e = " x s : d a t e T i m e "   m i n O c c u r s = " 0 "   / > < x s : e l e m e n t   n a m e = " S u b T i t l e "   m s p r o p : F r i e n d l y N a m e = " S u b T i t l e "   m s p r o p : D b C o l u m n N a m e = " S u b T i t l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u t h o r S i g n a t u r e "   m s p r o p : F r i e n d l y N a m e = " A u t h o r S i g n a t u r e "   m s p r o p : D b C o l u m n N a m e = " A u t h o r S i g n a t u r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O w n e r N a m e "   m s p r o p : F r i e n d l y N a m e = " P r o j e c t O w n e r N a m e "   m s p r o p : D b C o l u m n N a m e = " P r o j e c t O w n e r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O w n e r I d "   m s p r o p : F r i e n d l y N a m e = " P r o j e c t O w n e r I d "   m s p r o p : D b C o l u m n N a m e = " P r o j e c t O w n e r I d "   t y p e = " x s : i n t "   m i n O c c u r s = " 0 "   / > < x s : e l e m e n t   n a m e = " E d i t o r i a l R e s p o n s i b i l i t y "   m s p r o p : F r i e n d l y N a m e = " E d i t o r i a l R e s p o n s i b i l i t y "   m s p r o p : D b C o l u m n N a m e = " E d i t o r i a l R e s p o n s i b i l i t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S h o r t D e s c r i p t i o n "   m s p r o p : F r i e n d l y N a m e = " S h o r t D e s c r i p t i o n "   m s p r o p : D b C o l u m n N a m e = " S h o r t D e s c r i p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G e n e r a l P r o j e c t T y p e "   m s p r o p : F r i e n d l y N a m e = " G e n e r a l P r o j e c t T y p e "   m s p r o p : D b C o l u m n N a m e = " G e n e r a l P r o j e c t T y p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S t a t u s "   m s p r o p : F r i e n d l y N a m e = " P r o j e c t S t a t u s "   m s p r o p : D b C o l u m n N a m e = " P r o j e c t S t a t u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i n i s h e d P r o j e c t "   m s p r o p : F r i e n d l y N a m e = " F i n i s h e d P r o j e c t "   m s p r o p : D b C o l u m n N a m e = " F i n i s h e d P r o j e c t "   t y p e = " x s : b o o l e a n "   m i n O c c u r s = " 0 "   / > < x s : e l e m e n t   n a m e = " E n g l i s h C o n t e n t "   m s p r o p : F r i e n d l y N a m e = " E n g l i s h C o n t e n t "   m s p r o p : D b C o l u m n N a m e = " E n g l i s h C o n t e n t "   t y p e = " x s : b o o l e a n "   m i n O c c u r s = " 0 "   / > < x s : e l e m e n t   n a m e = " H i d e O n E c o b o x "   m s p r o p : F r i e n d l y N a m e = " H i d e O n E c o b o x "   m s p r o p : D b C o l u m n N a m e = " H i d e O n E c o b o x "   t y p e = " x s : b o o l e a n "   m i n O c c u r s = " 0 "   / > < x s : e l e m e n t   n a m e = " H i d e F r o m P r o j e c t F r o n t P a g e "   m s p r o p : F r i e n d l y N a m e = " H i d e F r o m P r o j e c t F r o n t P a g e "   m s p r o p : D b C o l u m n N a m e = " H i d e F r o m P r o j e c t F r o n t P a g e "   t y p e = " x s : b o o l e a n "   m i n O c c u r s = " 0 "   / > < x s : e l e m e n t   n a m e = " C o n t a c t "   m s p r o p : F r i e n d l y N a m e = " C o n t a c t "   m s p r o p : D b C o l u m n N a m e = " C o n t a c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n t a c t P h o n e "   m s p r o p : F r i e n d l y N a m e = " C o n t a c t P h o n e "   m s p r o p : D b C o l u m n N a m e = " C o n t a c t P h o n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n t a c t E m a i l "   m s p r o p : F r i e n d l y N a m e = " C o n t a c t E m a i l "   m s p r o p : D b C o l u m n N a m e = " C o n t a c t E m a i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B y e r E x t e r n a l T a g s C o u n t "   m s p r o p : F r i e n d l y N a m e = " F B y e r E x t e r n a l T a g s C o u n t "   m s p r o p : D b C o l u m n N a m e = " F B y e r E x t e r n a l T a g s C o u n t "   t y p e = " x s : i n t "   m i n O c c u r s = " 0 "   / > < x s : e l e m e n t   n a m e = " E x t e r n a l T a g s C o u n t "   m s p r o p : F r i e n d l y N a m e = " E x t e r n a l T a g s C o u n t "   m s p r o p : D b C o l u m n N a m e = " E x t e r n a l T a g s C o u n t "   t y p e = " x s : i n t "   m i n O c c u r s = " 0 "   / > < x s : e l e m e n t   n a m e = " E x t e r n a l P r o j e c t D B U s e r s C o u n t "   m s p r o p : F r i e n d l y N a m e = " E x t e r n a l P r o j e c t D B U s e r s C o u n t "   m s p r o p : D b C o l u m n N a m e = " E x t e r n a l P r o j e c t D B U s e r s C o u n t "   t y p e = " x s : i n t "   m i n O c c u r s = " 0 "   / > < x s : e l e m e n t   n a m e = " E c o M e a s u r e s C o u n t "   m s p r o p : F r i e n d l y N a m e = " E c o M e a s u r e s C o u n t "   m s p r o p : D b C o l u m n N a m e = " E c o M e a s u r e s C o u n t "   t y p e = " x s : i n t "   m i n O c c u r s = " 0 "   / > < x s : e l e m e n t   n a m e = " E c o n o m y H e a d e r "   m s p r o p : F r i e n d l y N a m e = " E c o n o m y H e a d e r "   m s p r o p : D b C o l u m n N a m e = " E c o n o m y H e a d e r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c o n o m y "   m s p r o p : F r i e n d l y N a m e = " E c o n o m y "   m s p r o p : D b C o l u m n N a m e = " E c o n o m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s t B e n e f i t E v a l u a t i o n s C o u n t "   m s p r o p : F r i e n d l y N a m e = " C o s t B e n e f i t E v a l u a t i o n s C o u n t "   m s p r o p : D b C o l u m n N a m e = " C o s t B e n e f i t E v a l u a t i o n s C o u n t "   t y p e = " x s : i n t "   m i n O c c u r s = " 0 "   / > < x s : e l e m e n t   n a m e = " C l o s i n g P a r a g r a p h H e a d e r "   m s p r o p : F r i e n d l y N a m e = " C l o s i n g P a r a g r a p h H e a d e r "   m s p r o p : D b C o l u m n N a m e = " C l o s i n g P a r a g r a p h H e a d e r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l o s i n g P a r a g r a p h "   m s p r o p : F r i e n d l y N a m e = " C l o s i n g P a r a g r a p h "   m s p r o p : D b C o l u m n N a m e = " C l o s i n g P a r a g r a p h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r e s p o n s i b l e F B N a m e "   m s p r o p : F r i e n d l y N a m e = " P r o j e c t r e s p o n s i b l e F B N a m e "   m s p r o p : D b C o l u m n N a m e = " P r o j e c t r e s p o n s i b l e F B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r e s p o n s i b l e F B I d "   m s p r o p : F r i e n d l y N a m e = " P r o j e c t r e s p o n s i b l e F B I d "   m s p r o p : D b C o l u m n N a m e = " P r o j e c t r e s p o n s i b l e F B I d "   t y p e = " x s : i n t "   m i n O c c u r s = " 0 "   / > < x s : e l e m e n t   n a m e = " R e s p o n s i b l e D e p a r t m e n t "   m s p r o p : F r i e n d l y N a m e = " R e s p o n s i b l e D e p a r t m e n t "   m s p r o p : D b C o l u m n N a m e = " R e s p o n s i b l e D e p a r t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A d d r e s s "   m s p r o p : F r i e n d l y N a m e = " P r o j e c t A d d r e s s "   m s p r o p : D b C o l u m n N a m e = " P r o j e c t A d d r e s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o c a t i o n "   m s p r o p : F r i e n d l y N a m e = " L o c a t i o n "   m s p r o p : D b C o l u m n N a m e = " L o c a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u n i c i p a l i t i e s C o u n t "   m s p r o p : F r i e n d l y N a m e = " M u n i c i p a l i t i e s C o u n t "   m s p r o p : D b C o l u m n N a m e = " M u n i c i p a l i t i e s C o u n t "   t y p e = " x s : i n t "   m i n O c c u r s = " 0 "   / > < x s : e l e m e n t   n a m e = " M a p L a t i t u d e "   m s p r o p : F r i e n d l y N a m e = " M a p L a t i t u d e "   m s p r o p : D b C o l u m n N a m e = " M a p L a t i t u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a p L o n g i t u d e "   m s p r o p : F r i e n d l y N a m e = " M a p L o n g i t u d e "   m s p r o p : D b C o l u m n N a m e = " M a p L o n g i t u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a p Z o o m L e v e l "   m s p r o p : F r i e n d l y N a m e = " M a p Z o o m L e v e l "   m s p r o p : D b C o l u m n N a m e = " M a p Z o o m L e v e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P e r i o d "   m s p r o p : F r i e n d l y N a m e = " P r o j e c t P e r i o d "   m s p r o p : D b C o l u m n N a m e = " P r o j e c t P e r i o d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n s t r u c t i o n S t a r t e d Y e a r "   m s p r o p : F r i e n d l y N a m e = " C o n s t r u c t i o n S t a r t e d Y e a r "   m s p r o p : D b C o l u m n N a m e = " C o n s t r u c t i o n S t a r t e d Y e a r "   t y p e = " x s : i n t "   m i n O c c u r s = " 0 "   / > < x s : e l e m e n t   n a m e = " C o n s t r u c t i o n C o m p l e t e d Y e a r "   m s p r o p : F r i e n d l y N a m e = " C o n s t r u c t i o n C o m p l e t e d Y e a r "   m s p r o p : D b C o l u m n N a m e = " C o n s t r u c t i o n C o m p l e t e d Y e a r "   t y p e = " x s : i n t "   m i n O c c u r s = " 0 "   / > < x s : e l e m e n t   n a m e = " P a r t n e r s C o u n t "   m s p r o p : F r i e n d l y N a m e = " P a r t n e r s C o u n t "   m s p r o p : D b C o l u m n N a m e = " P a r t n e r s C o u n t "   t y p e = " x s : i n t "   m i n O c c u r s = " 0 "   / > < x s : e l e m e n t   n a m e = " O t h e r s I n v o l v e d "   m s p r o p : F r i e n d l y N a m e = " O t h e r s I n v o l v e d "   m s p r o p : D b C o l u m n N a m e = " O t h e r s I n v o l v e d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K e y w o r d M e a s u r e s C o u n t "   m s p r o p : F r i e n d l y N a m e = " K e y w o r d M e a s u r e s C o u n t "   m s p r o p : D b C o l u m n N a m e = " K e y w o r d M e a s u r e s C o u n t "   t y p e = " x s : i n t "   m i n O c c u r s = " 0 "   / > < x s : e l e m e n t   n a m e = " C o l l a b o r a t i o n "   m s p r o p : F r i e n d l y N a m e = " C o l l a b o r a t i o n "   m s p r o p : D b C o l u m n N a m e = " C o l l a b o r a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u n i c i p a l i t i e s C o l l a b o r a t i o n "   m s p r o p : F r i e n d l y N a m e = " M u n i c i p a l i t i e s C o l l a b o r a t i o n "   m s p r o p : D b C o l u m n N a m e = " M u n i c i p a l i t i e s C o l l a b o r a t i o n "   t y p e = " x s : b o o l e a n "   m i n O c c u r s = " 0 "   / > < x s : e l e m e n t   n a m e = " P r i v a t e C o l l a b o r a t i o n "   m s p r o p : F r i e n d l y N a m e = " P r i v a t e C o l l a b o r a t i o n "   m s p r o p : D b C o l u m n N a m e = " P r i v a t e C o l l a b o r a t i o n "   t y p e = " x s : b o o l e a n "   m i n O c c u r s = " 0 "   / > < x s : e l e m e n t   n a m e = " O t h e r C o l l a b o r a t i o n "   m s p r o p : F r i e n d l y N a m e = " O t h e r C o l l a b o r a t i o n "   m s p r o p : D b C o l u m n N a m e = " O t h e r C o l l a b o r a t i o n "   t y p e = " x s : b o o l e a n "   m i n O c c u r s = " 0 "   / > < x s : e l e m e n t   n a m e = " P r o g r e s s D e s c r i p t i o n "   m s p r o p : F r i e n d l y N a m e = " P r o g r e s s D e s c r i p t i o n "   m s p r o p : D b C o l u m n N a m e = " P r o g r e s s D e s c r i p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g r e s s S t a t u s "   m s p r o p : F r i e n d l y N a m e = " P r o g r e s s S t a t u s "   m s p r o p : D b C o l u m n N a m e = " P r o g r e s s S t a t u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B y e r O t h e r R e s u l t s "   m s p r o p : F r i e n d l y N a m e = " F B y e r O t h e r R e s u l t s "   m s p r o p : D b C o l u m n N a m e = " F B y e r O t h e r R e s u l t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B y e r C o s t s "   m s p r o p : F r i e n d l y N a m e = " F B y e r C o s t s "   m s p r o p : D b C o l u m n N a m e = " F B y e r C o s t s "   t y p e = " x s : i n t "   m i n O c c u r s = " 0 "   / > < x s : e l e m e n t   n a m e = " F B y e r I m p o r t a n c e "   m s p r o p : F r i e n d l y N a m e = " F B y e r I m p o r t a n c e "   m s p r o p : D b C o l u m n N a m e = " F B y e r I m p o r t a n c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B y e r T i m e U s a g e "   m s p r o p : F r i e n d l y N a m e = " F B y e r T i m e U s a g e "   m s p r o p : D b C o l u m n N a m e = " F B y e r T i m e U s a g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B y e r P e o p l e I n f o r m e d "   m s p r o p : F r i e n d l y N a m e = " F B y e r P e o p l e I n f o r m e d "   m s p r o p : D b C o l u m n N a m e = " F B y e r P e o p l e I n f o r m e d "   t y p e = " x s : i n t "   m i n O c c u r s = " 0 "   / > < x s : e l e m e n t   n a m e = " F B y e r O t h e r R e m a r k s "   m s p r o p : F r i e n d l y N a m e = " F B y e r O t h e r R e m a r k s "   m s p r o p : D b C o l u m n N a m e = " F B y e r O t h e r R e m a r k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P r o j e c t P h a s e C o u n t "   m s p r o p : F r i e n d l y N a m e = " P r o j e c t P h a s e C o u n t "   m s p r o p : D b C o l u m n N a m e = " P r o j e c t P h a s e C o u n t "   t y p e = " x s : i n t "   m i n O c c u r s = " 0 "   / > < x s : e l e m e n t   n a m e = " P r o j e c t T y p e s C o u n t "   m s p r o p : F r i e n d l y N a m e = " P r o j e c t T y p e s C o u n t "   m s p r o p : D b C o l u m n N a m e = " P r o j e c t T y p e s C o u n t "   t y p e = " x s : i n t "   m i n O c c u r s = " 0 "   / > < x s : e l e m e n t   n a m e = " F u n c t i o n B u i l d i n g C a t e g o r y C o u n t "   m s p r o p : F r i e n d l y N a m e = " F u n c t i o n B u i l d i n g C a t e g o r y C o u n t "   m s p r o p : D b C o l u m n N a m e = " F u n c t i o n B u i l d i n g C a t e g o r y C o u n t "   t y p e = " x s : i n t "   m i n O c c u r s = " 0 "   / > < x s : e l e m e n t   n a m e = " P r o j e c t C o m p e t i t i o n F o r m C o u n t "   m s p r o p : F r i e n d l y N a m e = " P r o j e c t C o m p e t i t i o n F o r m C o u n t "   m s p r o p : D b C o l u m n N a m e = " P r o j e c t C o m p e t i t i o n F o r m C o u n t "   t y p e = " x s : i n t "   m i n O c c u r s = " 0 "   / > < x s : e l e m e n t   n a m e = " P r o j e c t C o n t r a c t i n g F o r m C o u n t "   m s p r o p : F r i e n d l y N a m e = " P r o j e c t C o n t r a c t i n g F o r m C o u n t "   m s p r o p : D b C o l u m n N a m e = " P r o j e c t C o n t r a c t i n g F o r m C o u n t "   t y p e = " x s : i n t "   m i n O c c u r s = " 0 "   / > < x s : e l e m e n t   n a m e = " P r o j e c t E n v i r o n m e n t a l S t a n d a r d C o u n t "   m s p r o p : F r i e n d l y N a m e = " P r o j e c t E n v i r o n m e n t a l S t a n d a r d C o u n t "   m s p r o p : D b C o l u m n N a m e = " P r o j e c t E n v i r o n m e n t a l S t a n d a r d C o u n t "   t y p e = " x s : i n t "   m i n O c c u r s = " 0 "   / > < x s : e l e m e n t   n a m e = " P r o j e c t A w a r d s C o u n t "   m s p r o p : F r i e n d l y N a m e = " P r o j e c t A w a r d s C o u n t "   m s p r o p : D b C o l u m n N a m e = " P r o j e c t A w a r d s C o u n t "   t y p e = " x s : i n t "   m i n O c c u r s = " 0 "   / > < x s : e l e m e n t   n a m e = " P r o j e c t R o l e M o d e l C o u n t "   m s p r o p : F r i e n d l y N a m e = " P r o j e c t R o l e M o d e l C o u n t "   m s p r o p : D b C o l u m n N a m e = " P r o j e c t R o l e M o d e l C o u n t "   t y p e = " x s : i n t "   m i n O c c u r s = " 0 "   / > < x s : e l e m e n t   n a m e = " P r o j e c t R e s e a r c h C o u n t "   m s p r o p : F r i e n d l y N a m e = " P r o j e c t R e s e a r c h C o u n t "   m s p r o p : D b C o l u m n N a m e = " P r o j e c t R e s e a r c h C o u n t "   t y p e = " x s : i n t "   m i n O c c u r s = " 0 "   / > < x s : e l e m e n t   n a m e = " P r o j e c t A r c h i t e c t u r e G u i d e C o u n t "   m s p r o p : F r i e n d l y N a m e = " P r o j e c t A r c h i t e c t u r e G u i d e C o u n t "   m s p r o p : D b C o l u m n N a m e = " P r o j e c t A r c h i t e c t u r e G u i d e C o u n t "   t y p e = " x s : i n t "   m i n O c c u r s = " 0 "   / > < x s : e l e m e n t   n a m e = " B u i l d e r s C o u n t "   m s p r o p : F r i e n d l y N a m e = " B u i l d e r s C o u n t "   m s p r o p : D b C o l u m n N a m e = " B u i l d e r s C o u n t "   t y p e = " x s : i n t "   m i n O c c u r s = " 0 "   / > < x s : e l e m e n t   n a m e = " A r c h i t e c t A R K C o u n t "   m s p r o p : F r i e n d l y N a m e = " A r c h i t e c t A R K C o u n t "   m s p r o p : D b C o l u m n N a m e = " A r c h i t e c t A R K C o u n t "   t y p e = " x s : i n t "   m i n O c c u r s = " 0 "   / > < x s : e l e m e n t   n a m e = " A r c h i t e c t L A R K C o u n t "   m s p r o p : F r i e n d l y N a m e = " A r c h i t e c t L A R K C o u n t "   m s p r o p : D b C o l u m n N a m e = " A r c h i t e c t L A R K C o u n t "   t y p e = " x s : i n t "   m i n O c c u r s = " 0 "   / > < x s : e l e m e n t   n a m e = " A r c h i t e c t I A R K C o u n t "   m s p r o p : F r i e n d l y N a m e = " A r c h i t e c t I A R K C o u n t "   m s p r o p : D b C o l u m n N a m e = " A r c h i t e c t I A R K C o u n t "   t y p e = " x s : i n t "   m i n O c c u r s = " 0 "   / > < x s : e l e m e n t   n a m e = " O r i g i n a l A r c h i t e c t C o u n t "   m s p r o p : F r i e n d l y N a m e = " O r i g i n a l A r c h i t e c t C o u n t "   m s p r o p : D b C o l u m n N a m e = " O r i g i n a l A r c h i t e c t C o u n t "   t y p e = " x s : i n t "   m i n O c c u r s = " 0 "   / > < x s : e l e m e n t   n a m e = " P r o j e c t M a n a g a g e r s C o u n t "   m s p r o p : F r i e n d l y N a m e = " P r o j e c t M a n a g a g e r s C o u n t "   m s p r o p : D b C o l u m n N a m e = " P r o j e c t M a n a g a g e r s C o u n t "   t y p e = " x s : i n t "   m i n O c c u r s = " 0 "   / > < x s : e l e m e n t   n a m e = " E n v i r o n m e n t C o n s u l t a n t s C o u n t "   m s p r o p : F r i e n d l y N a m e = " E n v i r o n m e n t C o n s u l t a n t s C o u n t "   m s p r o p : D b C o l u m n N a m e = " E n v i r o n m e n t C o n s u l t a n t s C o u n t "   t y p e = " x s : i n t "   m i n O c c u r s = " 0 "   / > < x s : e l e m e n t   n a m e = " E n e r g y C o n s u l t a n t s C o u n t "   m s p r o p : F r i e n d l y N a m e = " E n e r g y C o n s u l t a n t s C o u n t "   m s p r o p : D b C o l u m n N a m e = " E n e r g y C o n s u l t a n t s C o u n t "   t y p e = " x s : i n t "   m i n O c c u r s = " 0 "   / > < x s : e l e m e n t   n a m e = " U n i v e r s a l D e s i g n C o n s u l t a n t s C o u n t "   m s p r o p : F r i e n d l y N a m e = " U n i v e r s a l D e s i g n C o n s u l t a n t s C o u n t "   m s p r o p : D b C o l u m n N a m e = " U n i v e r s a l D e s i g n C o n s u l t a n t s C o u n t "   t y p e = " x s : i n t "   m i n O c c u r s = " 0 "   / > < x s : e l e m e n t   n a m e = " A d v i s o r I n g B y g g N a m e "   m s p r o p : F r i e n d l y N a m e = " A d v i s o r I n g B y g g N a m e "   m s p r o p : D b C o l u m n N a m e = " A d v i s o r I n g B y g g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B y g g I d "   m s p r o p : F r i e n d l y N a m e = " A d v i s o r I n g B y g g I d "   m s p r o p : D b C o l u m n N a m e = " A d v i s o r I n g B y g g I d "   t y p e = " x s : i n t "   m i n O c c u r s = " 0 "   / > < x s : e l e m e n t   n a m e = " A d v i s o r I n g V V S N a m e "   m s p r o p : F r i e n d l y N a m e = " A d v i s o r I n g V V S N a m e "   m s p r o p : D b C o l u m n N a m e = " A d v i s o r I n g V V S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V V S I d "   m s p r o p : F r i e n d l y N a m e = " A d v i s o r I n g V V S I d "   m s p r o p : D b C o l u m n N a m e = " A d v i s o r I n g V V S I d "   t y p e = " x s : i n t "   m i n O c c u r s = " 0 "   / > < x s : e l e m e n t   n a m e = " A d v i s o r I n g E l e k t r o N a m e "   m s p r o p : F r i e n d l y N a m e = " A d v i s o r I n g E l e k t r o N a m e "   m s p r o p : D b C o l u m n N a m e = " A d v i s o r I n g E l e k t r o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E l e k t r o I d "   m s p r o p : F r i e n d l y N a m e = " A d v i s o r I n g E l e k t r o I d "   m s p r o p : D b C o l u m n N a m e = " A d v i s o r I n g E l e k t r o I d "   t y p e = " x s : i n t "   m i n O c c u r s = " 0 "   / > < x s : e l e m e n t   n a m e = " A d v i s o r i n g B u i l d i n g P h y s i c s N a m e "   m s p r o p : F r i e n d l y N a m e = " A d v i s o r i n g B u i l d i n g P h y s i c s N a m e "   m s p r o p : D b C o l u m n N a m e = " A d v i s o r i n g B u i l d i n g P h y s i c s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B u i l d i n g P h y s i c s I d "   m s p r o p : F r i e n d l y N a m e = " A d v i s o r i n g B u i l d i n g P h y s i c s I d "   m s p r o p : D b C o l u m n N a m e = " A d v i s o r i n g B u i l d i n g P h y s i c s I d "   t y p e = " x s : i n t "   m i n O c c u r s = " 0 "   / > < x s : e l e m e n t   n a m e = " A d v i s o r I n g F i r e S a f e t y N a m e "   m s p r o p : F r i e n d l y N a m e = " A d v i s o r I n g F i r e S a f e t y N a m e "   m s p r o p : D b C o l u m n N a m e = " A d v i s o r I n g F i r e S a f e t y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F i r e S a f e t y I d "   m s p r o p : F r i e n d l y N a m e = " A d v i s o r I n g F i r e S a f e t y I d "   m s p r o p : D b C o l u m n N a m e = " A d v i s o r I n g F i r e S a f e t y I d "   t y p e = " x s : i n t "   m i n O c c u r s = " 0 "   / > < x s : e l e m e n t   n a m e = " A d v i s o r I n g A c o u s t i c s N a m e "   m s p r o p : F r i e n d l y N a m e = " A d v i s o r I n g A c o u s t i c s N a m e "   m s p r o p : D b C o l u m n N a m e = " A d v i s o r I n g A c o u s t i c s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d v i s o r I n g A c o u s t i c s I d "   m s p r o p : F r i e n d l y N a m e = " A d v i s o r I n g A c o u s t i c s I d "   m s p r o p : D b C o l u m n N a m e = " A d v i s o r I n g A c o u s t i c s I d "   t y p e = " x s : i n t "   m i n O c c u r s = " 0 "   / > < x s : e l e m e n t   n a m e = " O t h e r A d v i s o r s "   m s p r o p : F r i e n d l y N a m e = " O t h e r A d v i s o r s "   m s p r o p : D b C o l u m n N a m e = " O t h e r A d v i s o r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n t r a c t o r s C o u n t "   m s p r o p : F r i e n d l y N a m e = " C o n t r a c t o r s C o u n t "   m s p r o p : D b C o l u m n N a m e = " C o n t r a c t o r s C o u n t "   t y p e = " x s : i n t "   m i n O c c u r s = " 0 "   / > < x s : e l e m e n t   n a m e = " C o n s t r u c t i o n M a n a g e m e n t C o u n t "   m s p r o p : F r i e n d l y N a m e = " C o n s t r u c t i o n M a n a g e m e n t C o u n t "   m s p r o p : D b C o l u m n N a m e = " C o n s t r u c t i o n M a n a g e m e n t C o u n t "   t y p e = " x s : i n t "   m i n O c c u r s = " 0 "   / > < x s : e l e m e n t   n a m e = " S u p p l i e r s C o u n t "   m s p r o p : F r i e n d l y N a m e = " S u p p l i e r s C o u n t "   m s p r o p : D b C o l u m n N a m e = " S u p p l i e r s C o u n t "   t y p e = " x s : i n t "   m i n O c c u r s = " 0 "   / > < x s : e l e m e n t   n a m e = " S u b C o n t r a c t o r s "   m s p r o p : F r i e n d l y N a m e = " S u b C o n t r a c t o r s "   m s p r o p : D b C o l u m n N a m e = " S u b C o n t r a c t o r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S h o w K e y F i g u r e s "   m s p r o p : F r i e n d l y N a m e = " S h o w K e y F i g u r e s "   m s p r o p : D b C o l u m n N a m e = " S h o w K e y F i g u r e s "   t y p e = " x s : b o o l e a n "   m i n O c c u r s = " 0 "   / > < x s : e l e m e n t   n a m e = " A r e a U s e d "   m s p r o p : F r i e n d l y N a m e = " A r e a U s e d "   m s p r o p : D b C o l u m n N a m e = " A r e a U s e d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N u m b e r O f R e s i d e n t s "   m s p r o p : F r i e n d l y N a m e = " N u m b e r O f R e s i d e n t s "   m s p r o p : D b C o l u m n N a m e = " N u m b e r O f R e s i d e n t s "   t y p e = " x s : i n t "   m i n O c c u r s = " 0 "   / > < x s : e l e m e n t   n a m e = " S q u a r e F o o t B T A "   m s p r o p : F r i e n d l y N a m e = " S q u a r e F o o t B T A "   m s p r o p : D b C o l u m n N a m e = " S q u a r e F o o t B T A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G r o s s S q u a r e F o o t B T A "   m s p r o p : F r i e n d l y N a m e = " G r o s s S q u a r e F o o t B T A "   m s p r o p : D b C o l u m n N a m e = " G r o s s S q u a r e F o o t B T A "   t y p e = " x s : i n t "   m i n O c c u r s = " 0 "   / > < x s : e l e m e n t   n a m e = " G r o s s S q u a r e F o o t "   m s p r o p : F r i e n d l y N a m e = " G r o s s S q u a r e F o o t "   m s p r o p : D b C o l u m n N a m e = " G r o s s S q u a r e F o o t "   t y p e = " x s : i n t "   m i n O c c u r s = " 0 "   / > < x s : e l e m e n t   n a m e = " G r o s s S q u a r e F o o t H e a t e d "   m s p r o p : F r i e n d l y N a m e = " G r o s s S q u a r e F o o t H e a t e d "   m s p r o p : D b C o l u m n N a m e = " G r o s s S q u a r e F o o t H e a t e d "   t y p e = " x s : i n t "   m i n O c c u r s = " 0 "   / > < x s : e l e m e n t   n a m e = " S q u a r e F o o t G l a s s "   m s p r o p : F r i e n d l y N a m e = " S q u a r e F o o t G l a s s "   m s p r o p : D b C o l u m n N a m e = " S q u a r e F o o t G l a s s "   t y p e = " x s : d o u b l e "   m i n O c c u r s = " 0 "   / > < x s : e l e m e n t   n a m e = " C o m p a c t n e s s F a c t o r "   m s p r o p : F r i e n d l y N a m e = " C o m p a c t n e s s F a c t o r "   m s p r o p : D b C o l u m n N a m e = " C o m p a c t n e s s F a c t o r "   t y p e = " x s : d o u b l e "   m i n O c c u r s = " 0 "   / > < x s : e l e m e n t   n a m e = " G r e e n A r e a I n c e a s e "   m s p r o p : F r i e n d l y N a m e = " G r e e n A r e a I n c e a s e "   m s p r o p : D b C o l u m n N a m e = " G r e e n A r e a I n c e a s e "   t y p e = " x s : i n t "   m i n O c c u r s = " 0 "   / > < x s : e l e m e n t   n a m e = " H a r d A r e a R e d u c t i o n "   m s p r o p : F r i e n d l y N a m e = " H a r d A r e a R e d u c t i o n "   m s p r o p : D b C o l u m n N a m e = " H a r d A r e a R e d u c t i o n "   t y p e = " x s : i n t "   m i n O c c u r s = " 0 "   / > < x s : e l e m e n t   n a m e = " W a l k w a y s L e n g t h "   m s p r o p : F r i e n d l y N a m e = " W a l k w a y s L e n g t h "   m s p r o p : D b C o l u m n N a m e = " W a l k w a y s L e n g t h "   t y p e = " x s : i n t "   m i n O c c u r s = " 0 "   / > < x s : e l e m e n t   n a m e = " D i s t a n c e T o C o l l e c t i v e P o i n t "   m s p r o p : F r i e n d l y N a m e = " D i s t a n c e T o C o l l e c t i v e P o i n t "   m s p r o p : D b C o l u m n N a m e = " D i s t a n c e T o C o l l e c t i v e P o i n t "   t y p e = " x s : i n t "   m i n O c c u r s = " 0 "   / > < x s : e l e m e n t   n a m e = " D i s t a n c e T o C i t y C e n t e r "   m s p r o p : F r i e n d l y N a m e = " D i s t a n c e T o C i t y C e n t e r "   m s p r o p : D b C o l u m n N a m e = " D i s t a n c e T o C i t y C e n t e r "   t y p e = " x s : i n t "   m i n O c c u r s = " 0 "   / > < x s : e l e m e n t   n a m e = " P a r k i n g A r e a "   m s p r o p : F r i e n d l y N a m e = " P a r k i n g A r e a "   m s p r o p : D b C o l u m n N a m e = " P a r k i n g A r e a "   t y p e = " x s : d o u b l e "   m i n O c c u r s = " 0 "   / > < x s : e l e m e n t   n a m e = " P a r k i n g S p o t s P e r U n i t "   m s p r o p : F r i e n d l y N a m e = " P a r k i n g S p o t s P e r U n i t "   m s p r o p : D b C o l u m n N a m e = " P a r k i n g S p o t s P e r U n i t "   t y p e = " x s : d o u b l e "   m i n O c c u r s = " 0 "   / > < x s : e l e m e n t   n a m e = " B i k e P a r k i n g A r e a "   m s p r o p : F r i e n d l y N a m e = " B i k e P a r k i n g A r e a "   m s p r o p : D b C o l u m n N a m e = " B i k e P a r k i n g A r e a "   t y p e = " x s : d o u b l e "   m i n O c c u r s = " 0 "   / > < x s : e l e m e n t   n a m e = " B i k e P a r k i n g S p o t s P e r U n i t "   m s p r o p : F r i e n d l y N a m e = " B i k e P a r k i n g S p o t s P e r U n i t "   m s p r o p : D b C o l u m n N a m e = " B i k e P a r k i n g S p o t s P e r U n i t "   t y p e = " x s : d o u b l e "   m i n O c c u r s = " 0 "   / > < x s : e l e m e n t   n a m e = " F B y e r C O 2 "   m s p r o p : F r i e n d l y N a m e = " F B y e r C O 2 "   m s p r o p : D b C o l u m n N a m e = " F B y e r C O 2 "   t y p e = " x s : d o u b l e "   m i n O c c u r s = " 0 "   / > < x s : e l e m e n t   n a m e = " C O 2 M e t h o d "   m s p r o p : F r i e n d l y N a m e = " C O 2 M e t h o d "   m s p r o p : D b C o l u m n N a m e = " C O 2 M e t h o d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2 R e f e r e n c e E n e r g y "   m s p r o p : F r i e n d l y N a m e = " C O 2 R e f e r e n c e E n e r g y "   m s p r o p : D b C o l u m n N a m e = " C O 2 R e f e r e n c e E n e r g y "   t y p e = " x s : d o u b l e "   m i n O c c u r s = " 0 "   / > < x s : e l e m e n t   n a m e = " C O 2 R e f e r e n c e M a t e r i a l s "   m s p r o p : F r i e n d l y N a m e = " C O 2 R e f e r e n c e M a t e r i a l s "   m s p r o p : D b C o l u m n N a m e = " C O 2 R e f e r e n c e M a t e r i a l s "   t y p e = " x s : d o u b l e "   m i n O c c u r s = " 0 "   / > < x s : e l e m e n t   n a m e = " C O 2 R e f e r e n c e T r a n s p o r t "   m s p r o p : F r i e n d l y N a m e = " C O 2 R e f e r e n c e T r a n s p o r t "   m s p r o p : D b C o l u m n N a m e = " C O 2 R e f e r e n c e T r a n s p o r t "   t y p e = " x s : d o u b l e "   m i n O c c u r s = " 0 "   / > < x s : e l e m e n t   n a m e = " C O 2 D e s i g n e d E n e r g y "   m s p r o p : F r i e n d l y N a m e = " C O 2 D e s i g n e d E n e r g y "   m s p r o p : D b C o l u m n N a m e = " C O 2 D e s i g n e d E n e r g y "   t y p e = " x s : d o u b l e "   m i n O c c u r s = " 0 "   / > < x s : e l e m e n t   n a m e = " C O 2 D e s i g n e d M a t e r i a l s "   m s p r o p : F r i e n d l y N a m e = " C O 2 D e s i g n e d M a t e r i a l s "   m s p r o p : D b C o l u m n N a m e = " C O 2 D e s i g n e d M a t e r i a l s "   t y p e = " x s : d o u b l e "   m i n O c c u r s = " 0 "   / > < x s : e l e m e n t   n a m e = " C O 2 D e s i g n e d T r a n s p o r t "   m s p r o p : F r i e n d l y N a m e = " C O 2 D e s i g n e d T r a n s p o r t "   m s p r o p : D b C o l u m n N a m e = " C O 2 D e s i g n e d T r a n s p o r t "   t y p e = " x s : d o u b l e "   m i n O c c u r s = " 0 "   / > < x s : e l e m e n t   n a m e = " C O 2 F i n i s h e d E n e r g y "   m s p r o p : F r i e n d l y N a m e = " C O 2 F i n i s h e d E n e r g y "   m s p r o p : D b C o l u m n N a m e = " C O 2 F i n i s h e d E n e r g y "   t y p e = " x s : d o u b l e "   m i n O c c u r s = " 0 "   / > < x s : e l e m e n t   n a m e = " C O 2 F i n i s h e d M a t e r i a l s "   m s p r o p : F r i e n d l y N a m e = " C O 2 F i n i s h e d M a t e r i a l s "   m s p r o p : D b C o l u m n N a m e = " C O 2 F i n i s h e d M a t e r i a l s "   t y p e = " x s : d o u b l e "   m i n O c c u r s = " 0 "   / > < x s : e l e m e n t   n a m e = " C O 2 F i n i s h e d T r a n s p o r t "   m s p r o p : F r i e n d l y N a m e = " C O 2 F i n i s h e d T r a n s p o r t "   m s p r o p : D b C o l u m n N a m e = " C O 2 F i n i s h e d T r a n s p o r t "   t y p e = " x s : d o u b l e "   m i n O c c u r s = " 0 "   / > < x s : e l e m e n t   n a m e = " C O 2 I n U s e E n e r g y "   m s p r o p : F r i e n d l y N a m e = " C O 2 I n U s e E n e r g y "   m s p r o p : D b C o l u m n N a m e = " C O 2 I n U s e E n e r g y "   t y p e = " x s : d o u b l e "   m i n O c c u r s = " 0 "   / > < x s : e l e m e n t   n a m e = " C O 2 I n U s e M a t e r i a l s "   m s p r o p : F r i e n d l y N a m e = " C O 2 I n U s e M a t e r i a l s "   m s p r o p : D b C o l u m n N a m e = " C O 2 I n U s e M a t e r i a l s "   t y p e = " x s : d o u b l e "   m i n O c c u r s = " 0 "   / > < x s : e l e m e n t   n a m e = " C O 2 I n U s e T r a n s p o r t "   m s p r o p : F r i e n d l y N a m e = " C O 2 I n U s e T r a n s p o r t "   m s p r o p : D b C o l u m n N a m e = " C O 2 I n U s e T r a n s p o r t "   t y p e = " x s : d o u b l e "   m i n O c c u r s = " 0 "   / > < x s : e l e m e n t   n a m e = " E n e r g y L a b e l "   m s p r o p : F r i e n d l y N a m e = " E n e r g y L a b e l "   m s p r o p : D b C o l u m n N a m e = " E n e r g y L a b e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H e a t R a t i n g "   m s p r o p : F r i e n d l y N a m e = " H e a t R a t i n g "   m s p r o p : D b C o l u m n N a m e = " H e a t R a t i n g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n e r g y C o n s u m p t i o n "   m s p r o p : F r i e n d l y N a m e = " E n e r g y C o n s u m p t i o n "   m s p r o p : D b C o l u m n N a m e = " E n e r g y C o n s u m p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n e r g y S o u r c e s "   m s p r o p : F r i e n d l y N a m e = " E n e r g y S o u r c e s "   m s p r o p : D b C o l u m n N a m e = " E n e r g y S o u r c e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N e t E n e r g y 3 7 0 0 "   m s p r o p : F r i e n d l y N a m e = " N e t E n e r g y 3 7 0 0 "   m s p r o p : D b C o l u m n N a m e = " N e t E n e r g y 3 7 0 0 "   t y p e = " x s : i n t "   m i n O c c u r s = " 0 "   / > < x s : e l e m e n t   n a m e = " E s t i m a t e d D e l i v e r e d E n e r g y 3 7 0 0 "   m s p r o p : F r i e n d l y N a m e = " E s t i m a t e d D e l i v e r e d E n e r g y 3 7 0 0 "   m s p r o p : D b C o l u m n N a m e = " E s t i m a t e d D e l i v e r e d E n e r g y 3 7 0 0 "   t y p e = " x s : i n t "   m i n O c c u r s = " 0 "   / > < x s : e l e m e n t   n a m e = " N e t E n e r g y "   m s p r o p : F r i e n d l y N a m e = " N e t E n e r g y "   m s p r o p : D b C o l u m n N a m e = " N e t E n e r g y "   t y p e = " x s : i n t "   m i n O c c u r s = " 0 "   / > < x s : e l e m e n t   n a m e = " E s t i m a t e d D e l i v e r e d E n e r g y "   m s p r o p : F r i e n d l y N a m e = " E s t i m a t e d D e l i v e r e d E n e r g y "   m s p r o p : D b C o l u m n N a m e = " E s t i m a t e d D e l i v e r e d E n e r g y "   t y p e = " x s : i n t "   m i n O c c u r s = " 0 "   / > < x s : e l e m e n t   n a m e = " E n e r g y S a v i n g s "   m s p r o p : F r i e n d l y N a m e = " E n e r g y S a v i n g s "   m s p r o p : D b C o l u m n N a m e = " E n e r g y S a v i n g s "   t y p e = " x s : i n t "   m i n O c c u r s = " 0 "   / > < x s : e l e m e n t   n a m e = " E n e r g y C o n v e r t e d F r o m E l e c t r i c i t y T o R e n e w a b l e "   m s p r o p : F r i e n d l y N a m e = " E n e r g y C o n v e r t e d F r o m E l e c t r i c i t y T o R e n e w a b l e "   m s p r o p : D b C o l u m n N a m e = " E n e r g y C o n v e r t e d F r o m E l e c t r i c i t y T o R e n e w a b l e "   t y p e = " x s : i n t "   m i n O c c u r s = " 0 "   / > < x s : e l e m e n t   n a m e = " E n e r g y C o n v e r t e d F r o m F o s s i l T o R e n e w a b l e "   m s p r o p : F r i e n d l y N a m e = " E n e r g y C o n v e r t e d F r o m F o s s i l T o R e n e w a b l e "   m s p r o p : D b C o l u m n N a m e = " E n e r g y C o n v e r t e d F r o m F o s s i l T o R e n e w a b l e "   t y p e = " x s : i n t "   m i n O c c u r s = " 0 "   / > < x s : e l e m e n t   n a m e = " E n e r g y D e l i v e r e d "   m s p r o p : F r i e n d l y N a m e = " E n e r g y D e l i v e r e d "   m s p r o p : D b C o l u m n N a m e = " E n e r g y D e l i v e r e d "   t y p e = " x s : i n t "   m i n O c c u r s = " 0 "   / > < x s : e l e m e n t   n a m e = " E n o v a F a c t s E n e r g y "   m s p r o p : F r i e n d l y N a m e = " E n o v a F a c t s E n e r g y "   m s p r o p : D b C o l u m n N a m e = " E n o v a F a c t s E n e r g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n o v a F a c t s C o m f o r t "   m s p r o p : F r i e n d l y N a m e = " E n o v a F a c t s C o m f o r t "   m s p r o p : D b C o l u m n N a m e = " E n o v a F a c t s C o m f o r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U V a l u e R o o f "   m s p r o p : F r i e n d l y N a m e = " U V a l u e R o o f "   m s p r o p : D b C o l u m n N a m e = " U V a l u e R o o f "   t y p e = " x s : d o u b l e "   m i n O c c u r s = " 0 "   / > < x s : e l e m e n t   n a m e = " U V a l u e F l o o r "   m s p r o p : F r i e n d l y N a m e = " U V a l u e F l o o r "   m s p r o p : D b C o l u m n N a m e = " U V a l u e F l o o r "   t y p e = " x s : d o u b l e "   m i n O c c u r s = " 0 "   / > < x s : e l e m e n t   n a m e = " U V a l u e W a l l "   m s p r o p : F r i e n d l y N a m e = " U V a l u e W a l l "   m s p r o p : D b C o l u m n N a m e = " U V a l u e W a l l "   t y p e = " x s : d o u b l e "   m i n O c c u r s = " 0 "   / > < x s : e l e m e n t   n a m e = " U V a l u e W i n d o w "   m s p r o p : F r i e n d l y N a m e = " U V a l u e W i n d o w "   m s p r o p : D b C o l u m n N a m e = " U V a l u e W i n d o w "   t y p e = " x s : d o u b l e "   m i n O c c u r s = " 0 "   / > < x s : e l e m e n t   n a m e = " M e a s u r e d A i r T i g h t n e s s "   m s p r o p : F r i e n d l y N a m e = " M e a s u r e d A i r T i g h t n e s s "   m s p r o p : D b C o l u m n N a m e = " M e a s u r e d A i r T i g h t n e s s "   t y p e = " x s : d o u b l e "   m i n O c c u r s = " 0 "   / > < x s : e l e m e n t   n a m e = " S p e c i f i c F a n P o w e r "   m s p r o p : F r i e n d l y N a m e = " S p e c i f i c F a n P o w e r "   m s p r o p : D b C o l u m n N a m e = " S p e c i f i c F a n P o w e r "   t y p e = " x s : d o u b l e "   m i n O c c u r s = " 0 "   / > < x s : e l e m e n t   n a m e = " H e a t R e c o v e r y E f f i c i e n c y "   m s p r o p : F r i e n d l y N a m e = " H e a t R e c o v e r y E f f i c i e n c y "   m s p r o p : D b C o l u m n N a m e = " H e a t R e c o v e r y E f f i c i e n c y "   t y p e = " x s : d o u b l e "   m i n O c c u r s = " 0 "   / > < x s : e l e m e n t   n a m e = " R o o m H e a t i n g "   m s p r o p : F r i e n d l y N a m e = " R o o m H e a t i n g "   m s p r o p : D b C o l u m n N a m e = " R o o m H e a t i n g "   t y p e = " x s : d o u b l e "   m i n O c c u r s = " 0 "   / > < x s : e l e m e n t   n a m e = " V e n t i l a t i o n H e a t i n g "   m s p r o p : F r i e n d l y N a m e = " V e n t i l a t i o n H e a t i n g "   m s p r o p : D b C o l u m n N a m e = " V e n t i l a t i o n H e a t i n g "   t y p e = " x s : d o u b l e "   m i n O c c u r s = " 0 "   / > < x s : e l e m e n t   n a m e = " D o m e s t i c H o t W a t e r "   m s p r o p : F r i e n d l y N a m e = " D o m e s t i c H o t W a t e r "   m s p r o p : D b C o l u m n N a m e = " D o m e s t i c H o t W a t e r "   t y p e = " x s : d o u b l e "   m i n O c c u r s = " 0 "   / > < x s : e l e m e n t   n a m e = " F a n A d m i n i s t r a t i o n "   m s p r o p : F r i e n d l y N a m e = " F a n A d m i n i s t r a t i o n "   m s p r o p : D b C o l u m n N a m e = " F a n A d m i n i s t r a t i o n "   t y p e = " x s : d o u b l e "   m i n O c c u r s = " 0 "   / > < x s : e l e m e n t   n a m e = " P u m p A d m i n i s t r a t i o n "   m s p r o p : F r i e n d l y N a m e = " P u m p A d m i n i s t r a t i o n "   m s p r o p : D b C o l u m n N a m e = " P u m p A d m i n i s t r a t i o n "   t y p e = " x s : d o u b l e "   m i n O c c u r s = " 0 "   / > < x s : e l e m e n t   n a m e = " L i g h t i n g "   m s p r o p : F r i e n d l y N a m e = " L i g h t i n g "   m s p r o p : D b C o l u m n N a m e = " L i g h t i n g "   t y p e = " x s : d o u b l e "   m i n O c c u r s = " 0 "   / > < x s : e l e m e n t   n a m e = " T e c h n i c a l E q u i p m e n t "   m s p r o p : F r i e n d l y N a m e = " T e c h n i c a l E q u i p m e n t "   m s p r o p : D b C o l u m n N a m e = " T e c h n i c a l E q u i p m e n t "   t y p e = " x s : d o u b l e "   m i n O c c u r s = " 0 "   / > < x s : e l e m e n t   n a m e = " R o o m C o o l i n g "   m s p r o p : F r i e n d l y N a m e = " R o o m C o o l i n g "   m s p r o p : D b C o l u m n N a m e = " R o o m C o o l i n g "   t y p e = " x s : d o u b l e "   m i n O c c u r s = " 0 "   / > < x s : e l e m e n t   n a m e = " V e n t i l a t i o n C o o l i n g "   m s p r o p : F r i e n d l y N a m e = " V e n t i l a t i o n C o o l i n g "   m s p r o p : D b C o l u m n N a m e = " V e n t i l a t i o n C o o l i n g "   t y p e = " x s : d o u b l e "   m i n O c c u r s = " 0 "   / > < x s : e l e m e n t   n a m e = " O t h e r E n e r g y P o s t s "   m s p r o p : F r i e n d l y N a m e = " O t h e r E n e r g y P o s t s "   m s p r o p : D b C o l u m n N a m e = " O t h e r E n e r g y P o s t s "   t y p e = " x s : d o u b l e "   m i n O c c u r s = " 0 "   / > < x s : e l e m e n t   n a m e = " E n e r g y E f f i c i e n c y M e t h o d "   m s p r o p : F r i e n d l y N a m e = " E n e r g y E f f i c i e n c y M e t h o d "   m s p r o p : D b C o l u m n N a m e = " E n e r g y E f f i c i e n c y M e t h o d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a n u f a c t u r e r s "   m s p r o p : F r i e n d l y N a m e = " M a n u f a c t u r e r s "   m s p r o p : D b C o l u m n N a m e = " M a n u f a c t u r e r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B u i l d i n g C o s t s "   m s p r o p : F r i e n d l y N a m e = " B u i l d i n g C o s t s "   m s p r o p : D b C o l u m n N a m e = " B u i l d i n g C o s t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M e r k o s t n a d M 2 "   m s p r o p : F r i e n d l y N a m e = " M e r k o s t n a d M 2 "   m s p r o p : D b C o l u m n N a m e = " M e r k o s t n a d M 2 "   t y p e = " x s : i n t "   m i n O c c u r s = " 0 "   / > < x s : e l e m e n t   n a m e = " M e r k o s t n a d E n e r g i M 2 E n o v a "   m s p r o p : F r i e n d l y N a m e = " M e r k o s t n a d E n e r g i M 2 E n o v a "   m s p r o p : D b C o l u m n N a m e = " M e r k o s t n a d E n e r g i M 2 E n o v a "   t y p e = " x s : i n t "   m i n O c c u r s = " 0 "   / > < x s : e l e m e n t   n a m e = " M e r k o s t n a d U n i v e r s e l l U t f o r m i n g M 2 "   m s p r o p : F r i e n d l y N a m e = " M e r k o s t n a d U n i v e r s e l l U t f o r m i n g M 2 "   m s p r o p : D b C o l u m n N a m e = " M e r k o s t n a d U n i v e r s e l l U t f o r m i n g M 2 "   t y p e = " x s : i n t "   m i n O c c u r s = " 0 "   / > < x s : e l e m e n t   n a m e = " P r o j e c t S u p p o r t E n o v a "   m s p r o p : F r i e n d l y N a m e = " P r o j e c t S u p p o r t E n o v a "   m s p r o p : D b C o l u m n N a m e = " P r o j e c t S u p p o r t E n o v a "   t y p e = " x s : i n t "   m i n O c c u r s = " 0 "   / > < x s : e l e m e n t   n a m e = " P r o j e c t S u p p o r t H u s b a n k e n "   m s p r o p : F r i e n d l y N a m e = " P r o j e c t S u p p o r t H u s b a n k e n "   m s p r o p : D b C o l u m n N a m e = " P r o j e c t S u p p o r t H u s b a n k e n "   t y p e = " x s : i n t "   m i n O c c u r s = " 0 "   / > < x s : e l e m e n t   n a m e = " P u b l i s h e d I n "   m s p r o p : F r i e n d l y N a m e = " P u b l i s h e d I n "   m s p r o p : D b C o l u m n N a m e = " P u b l i s h e d I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R e f e r e n c e s "   m s p r o p : F r i e n d l y N a m e = " R e f e r e n c e s "   m s p r o p : D b C o l u m n N a m e = " R e f e r e n c e s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S e a r c h S u m m a r y "   m s p r o p : F r i e n d l y N a m e = " S e a r c h S u m m a r y "   m s p r o p : D b C o l u m n N a m e = " S e a r c h S u m m a r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/ x s : c h o i c e > < / x s : c o m p l e x T y p e > < / x s : e l e m e n t > < / x s : s c h e m a > < d i f f g r : d i f f g r a m   x m l n s : m s d a t a = " u r n : s c h e m a s - m i c r o s o f t - c o m : x m l - m s d a t a "   x m l n s : d i f f g r = " u r n : s c h e m a s - m i c r o s o f t - c o m : x m l - d i f f g r a m - v 1 "   / > < / S c h e m a > < / D a t a S o u r c e V i e w > < / D a t a S o u r c e V i e w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6 9 b e 9 0 f d - 0 0 6 b - 4 2 2 a - 8 2 8 0 - 5 7 c e a 0 9 0 d 5 7 8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 L i s t O r d e r < / s t r i n g > < / k e y > < v a l u e > < s t r i n g > G e n e r a l < / s t r i n g > < / v a l u e > < / i t e m > < i t e m > < k e y > < s t r i n g > I m a g e U r l < / s t r i n g > < / k e y > < v a l u e > < s t r i n g > T e x t < / s t r i n g > < / v a l u e > < / i t e m > < i t e m > < k e y > < s t r i n g > T h u m b n a i l U r l < / s t r i n g > < / k e y > < v a l u e > < s t r i n g > T e x t < / s t r i n g > < / v a l u e > < / i t e m > < i t e m > < k e y > < s t r i n g > N a m e < / s t r i n g > < / k e y > < v a l u e > < s t r i n g > T e x t < / s t r i n g > < / v a l u e > < / i t e m > < i t e m > < k e y > < s t r i n g > A u t h o r < / s t r i n g > < / k e y > < v a l u e > < s t r i n g > T e x t < / s t r i n g > < / v a l u e > < / i t e m > < i t e m > < k e y > < s t r i n g > U p d a t e d < / s t r i n g > < / k e y > < v a l u e > < s t r i n g > D a t e S h o r t D a t e P a t t e r n < / s t r i n g > < / v a l u e > < / i t e m > < i t e m > < k e y > < s t r i n g > S u b T i t l e < / s t r i n g > < / k e y > < v a l u e > < s t r i n g > T e x t < / s t r i n g > < / v a l u e > < / i t e m > < i t e m > < k e y > < s t r i n g > A u t h o r S i g n a t u r e < / s t r i n g > < / k e y > < v a l u e > < s t r i n g > T e x t < / s t r i n g > < / v a l u e > < / i t e m > < i t e m > < k e y > < s t r i n g > P r o j e c t O w n e r N a m e < / s t r i n g > < / k e y > < v a l u e > < s t r i n g > T e x t < / s t r i n g > < / v a l u e > < / i t e m > < i t e m > < k e y > < s t r i n g > P r o j e c t O w n e r I d < / s t r i n g > < / k e y > < v a l u e > < s t r i n g > G e n e r a l < / s t r i n g > < / v a l u e > < / i t e m > < i t e m > < k e y > < s t r i n g > E d i t o r i a l R e s p o n s i b i l i t y < / s t r i n g > < / k e y > < v a l u e > < s t r i n g > T e x t < / s t r i n g > < / v a l u e > < / i t e m > < i t e m > < k e y > < s t r i n g > S h o r t D e s c r i p t i o n < / s t r i n g > < / k e y > < v a l u e > < s t r i n g > T e x t < / s t r i n g > < / v a l u e > < / i t e m > < i t e m > < k e y > < s t r i n g > G e n e r a l P r o j e c t T y p e < / s t r i n g > < / k e y > < v a l u e > < s t r i n g > T e x t < / s t r i n g > < / v a l u e > < / i t e m > < i t e m > < k e y > < s t r i n g > P r o j e c t S t a t u s < / s t r i n g > < / k e y > < v a l u e > < s t r i n g > T e x t < / s t r i n g > < / v a l u e > < / i t e m > < i t e m > < k e y > < s t r i n g > F i n i s h e d P r o j e c t < / s t r i n g > < / k e y > < v a l u e > < s t r i n g > B o o l e a n < / s t r i n g > < / v a l u e > < / i t e m > < i t e m > < k e y > < s t r i n g > E n g l i s h C o n t e n t < / s t r i n g > < / k e y > < v a l u e > < s t r i n g > B o o l e a n < / s t r i n g > < / v a l u e > < / i t e m > < i t e m > < k e y > < s t r i n g > H i d e O n E c o b o x < / s t r i n g > < / k e y > < v a l u e > < s t r i n g > B o o l e a n < / s t r i n g > < / v a l u e > < / i t e m > < i t e m > < k e y > < s t r i n g > H i d e F r o m P r o j e c t F r o n t P a g e < / s t r i n g > < / k e y > < v a l u e > < s t r i n g > B o o l e a n < / s t r i n g > < / v a l u e > < / i t e m > < i t e m > < k e y > < s t r i n g > C o n t a c t < / s t r i n g > < / k e y > < v a l u e > < s t r i n g > T e x t < / s t r i n g > < / v a l u e > < / i t e m > < i t e m > < k e y > < s t r i n g > C o n t a c t P h o n e < / s t r i n g > < / k e y > < v a l u e > < s t r i n g > T e x t < / s t r i n g > < / v a l u e > < / i t e m > < i t e m > < k e y > < s t r i n g > C o n t a c t E m a i l < / s t r i n g > < / k e y > < v a l u e > < s t r i n g > T e x t < / s t r i n g > < / v a l u e > < / i t e m > < i t e m > < k e y > < s t r i n g > F B y e r E x t e r n a l T a g s C o u n t < / s t r i n g > < / k e y > < v a l u e > < s t r i n g > G e n e r a l < / s t r i n g > < / v a l u e > < / i t e m > < i t e m > < k e y > < s t r i n g > E x t e r n a l T a g s C o u n t < / s t r i n g > < / k e y > < v a l u e > < s t r i n g > G e n e r a l < / s t r i n g > < / v a l u e > < / i t e m > < i t e m > < k e y > < s t r i n g > E x t e r n a l P r o j e c t D B U s e r s C o u n t < / s t r i n g > < / k e y > < v a l u e > < s t r i n g > G e n e r a l < / s t r i n g > < / v a l u e > < / i t e m > < i t e m > < k e y > < s t r i n g > E c o M e a s u r e s C o u n t < / s t r i n g > < / k e y > < v a l u e > < s t r i n g > G e n e r a l < / s t r i n g > < / v a l u e > < / i t e m > < i t e m > < k e y > < s t r i n g > E c o n o m y H e a d e r < / s t r i n g > < / k e y > < v a l u e > < s t r i n g > T e x t < / s t r i n g > < / v a l u e > < / i t e m > < i t e m > < k e y > < s t r i n g > E c o n o m y < / s t r i n g > < / k e y > < v a l u e > < s t r i n g > T e x t < / s t r i n g > < / v a l u e > < / i t e m > < i t e m > < k e y > < s t r i n g > C o s t B e n e f i t E v a l u a t i o n s C o u n t < / s t r i n g > < / k e y > < v a l u e > < s t r i n g > G e n e r a l < / s t r i n g > < / v a l u e > < / i t e m > < i t e m > < k e y > < s t r i n g > C l o s i n g P a r a g r a p h H e a d e r < / s t r i n g > < / k e y > < v a l u e > < s t r i n g > T e x t < / s t r i n g > < / v a l u e > < / i t e m > < i t e m > < k e y > < s t r i n g > C l o s i n g P a r a g r a p h < / s t r i n g > < / k e y > < v a l u e > < s t r i n g > T e x t < / s t r i n g > < / v a l u e > < / i t e m > < i t e m > < k e y > < s t r i n g > P r o j e c t r e s p o n s i b l e F B N a m e < / s t r i n g > < / k e y > < v a l u e > < s t r i n g > T e x t < / s t r i n g > < / v a l u e > < / i t e m > < i t e m > < k e y > < s t r i n g > P r o j e c t r e s p o n s i b l e F B I d < / s t r i n g > < / k e y > < v a l u e > < s t r i n g > G e n e r a l < / s t r i n g > < / v a l u e > < / i t e m > < i t e m > < k e y > < s t r i n g > R e s p o n s i b l e D e p a r t m e n t < / s t r i n g > < / k e y > < v a l u e > < s t r i n g > T e x t < / s t r i n g > < / v a l u e > < / i t e m > < i t e m > < k e y > < s t r i n g > P r o j e c t A d d r e s s < / s t r i n g > < / k e y > < v a l u e > < s t r i n g > T e x t < / s t r i n g > < / v a l u e > < / i t e m > < i t e m > < k e y > < s t r i n g > L o c a t i o n < / s t r i n g > < / k e y > < v a l u e > < s t r i n g > T e x t < / s t r i n g > < / v a l u e > < / i t e m > < i t e m > < k e y > < s t r i n g > M u n i c i p a l i t i e s C o u n t < / s t r i n g > < / k e y > < v a l u e > < s t r i n g > G e n e r a l < / s t r i n g > < / v a l u e > < / i t e m > < i t e m > < k e y > < s t r i n g > M a p L a t i t u d e < / s t r i n g > < / k e y > < v a l u e > < s t r i n g > T e x t < / s t r i n g > < / v a l u e > < / i t e m > < i t e m > < k e y > < s t r i n g > M a p L o n g i t u d e < / s t r i n g > < / k e y > < v a l u e > < s t r i n g > T e x t < / s t r i n g > < / v a l u e > < / i t e m > < i t e m > < k e y > < s t r i n g > M a p Z o o m L e v e l < / s t r i n g > < / k e y > < v a l u e > < s t r i n g > T e x t < / s t r i n g > < / v a l u e > < / i t e m > < i t e m > < k e y > < s t r i n g > P r o j e c t P e r i o d < / s t r i n g > < / k e y > < v a l u e > < s t r i n g > T e x t < / s t r i n g > < / v a l u e > < / i t e m > < i t e m > < k e y > < s t r i n g > C o n s t r u c t i o n S t a r t e d Y e a r < / s t r i n g > < / k e y > < v a l u e > < s t r i n g > G e n e r a l < / s t r i n g > < / v a l u e > < / i t e m > < i t e m > < k e y > < s t r i n g > C o n s t r u c t i o n C o m p l e t e d Y e a r < / s t r i n g > < / k e y > < v a l u e > < s t r i n g > G e n e r a l < / s t r i n g > < / v a l u e > < / i t e m > < i t e m > < k e y > < s t r i n g > P a r t n e r s C o u n t < / s t r i n g > < / k e y > < v a l u e > < s t r i n g > G e n e r a l < / s t r i n g > < / v a l u e > < / i t e m > < i t e m > < k e y > < s t r i n g > O t h e r s I n v o l v e d < / s t r i n g > < / k e y > < v a l u e > < s t r i n g > T e x t < / s t r i n g > < / v a l u e > < / i t e m > < i t e m > < k e y > < s t r i n g > K e y w o r d M e a s u r e s C o u n t < / s t r i n g > < / k e y > < v a l u e > < s t r i n g > G e n e r a l < / s t r i n g > < / v a l u e > < / i t e m > < i t e m > < k e y > < s t r i n g > C o l l a b o r a t i o n < / s t r i n g > < / k e y > < v a l u e > < s t r i n g > T e x t < / s t r i n g > < / v a l u e > < / i t e m > < i t e m > < k e y > < s t r i n g > M u n i c i p a l i t i e s C o l l a b o r a t i o n < / s t r i n g > < / k e y > < v a l u e > < s t r i n g > B o o l e a n < / s t r i n g > < / v a l u e > < / i t e m > < i t e m > < k e y > < s t r i n g > P r i v a t e C o l l a b o r a t i o n < / s t r i n g > < / k e y > < v a l u e > < s t r i n g > B o o l e a n < / s t r i n g > < / v a l u e > < / i t e m > < i t e m > < k e y > < s t r i n g > O t h e r C o l l a b o r a t i o n < / s t r i n g > < / k e y > < v a l u e > < s t r i n g > B o o l e a n < / s t r i n g > < / v a l u e > < / i t e m > < i t e m > < k e y > < s t r i n g > P r o g r e s s D e s c r i p t i o n < / s t r i n g > < / k e y > < v a l u e > < s t r i n g > T e x t < / s t r i n g > < / v a l u e > < / i t e m > < i t e m > < k e y > < s t r i n g > P r o g r e s s S t a t u s < / s t r i n g > < / k e y > < v a l u e > < s t r i n g > T e x t < / s t r i n g > < / v a l u e > < / i t e m > < i t e m > < k e y > < s t r i n g > F B y e r O t h e r R e s u l t s < / s t r i n g > < / k e y > < v a l u e > < s t r i n g > T e x t < / s t r i n g > < / v a l u e > < / i t e m > < i t e m > < k e y > < s t r i n g > F B y e r C o s t s < / s t r i n g > < / k e y > < v a l u e > < s t r i n g > G e n e r a l < / s t r i n g > < / v a l u e > < / i t e m > < i t e m > < k e y > < s t r i n g > F B y e r I m p o r t a n c e < / s t r i n g > < / k e y > < v a l u e > < s t r i n g > T e x t < / s t r i n g > < / v a l u e > < / i t e m > < i t e m > < k e y > < s t r i n g > F B y e r T i m e U s a g e < / s t r i n g > < / k e y > < v a l u e > < s t r i n g > T e x t < / s t r i n g > < / v a l u e > < / i t e m > < i t e m > < k e y > < s t r i n g > F B y e r P e o p l e I n f o r m e d < / s t r i n g > < / k e y > < v a l u e > < s t r i n g > G e n e r a l < / s t r i n g > < / v a l u e > < / i t e m > < i t e m > < k e y > < s t r i n g > F B y e r O t h e r R e m a r k s < / s t r i n g > < / k e y > < v a l u e > < s t r i n g > T e x t < / s t r i n g > < / v a l u e > < / i t e m > < i t e m > < k e y > < s t r i n g > P r o j e c t P h a s e C o u n t < / s t r i n g > < / k e y > < v a l u e > < s t r i n g > G e n e r a l < / s t r i n g > < / v a l u e > < / i t e m > < i t e m > < k e y > < s t r i n g > P r o j e c t T y p e s C o u n t < / s t r i n g > < / k e y > < v a l u e > < s t r i n g > G e n e r a l < / s t r i n g > < / v a l u e > < / i t e m > < i t e m > < k e y > < s t r i n g > F u n c t i o n B u i l d i n g C a t e g o r y C o u n t < / s t r i n g > < / k e y > < v a l u e > < s t r i n g > G e n e r a l < / s t r i n g > < / v a l u e > < / i t e m > < i t e m > < k e y > < s t r i n g > P r o j e c t C o m p e t i t i o n F o r m C o u n t < / s t r i n g > < / k e y > < v a l u e > < s t r i n g > G e n e r a l < / s t r i n g > < / v a l u e > < / i t e m > < i t e m > < k e y > < s t r i n g > P r o j e c t C o n t r a c t i n g F o r m C o u n t < / s t r i n g > < / k e y > < v a l u e > < s t r i n g > G e n e r a l < / s t r i n g > < / v a l u e > < / i t e m > < i t e m > < k e y > < s t r i n g > P r o j e c t E n v i r o n m e n t a l S t a n d a r d C o u n t < / s t r i n g > < / k e y > < v a l u e > < s t r i n g > G e n e r a l < / s t r i n g > < / v a l u e > < / i t e m > < i t e m > < k e y > < s t r i n g > P r o j e c t A w a r d s C o u n t < / s t r i n g > < / k e y > < v a l u e > < s t r i n g > G e n e r a l < / s t r i n g > < / v a l u e > < / i t e m > < i t e m > < k e y > < s t r i n g > P r o j e c t R o l e M o d e l C o u n t < / s t r i n g > < / k e y > < v a l u e > < s t r i n g > G e n e r a l < / s t r i n g > < / v a l u e > < / i t e m > < i t e m > < k e y > < s t r i n g > P r o j e c t R e s e a r c h C o u n t < / s t r i n g > < / k e y > < v a l u e > < s t r i n g > G e n e r a l < / s t r i n g > < / v a l u e > < / i t e m > < i t e m > < k e y > < s t r i n g > P r o j e c t A r c h i t e c t u r e G u i d e C o u n t < / s t r i n g > < / k e y > < v a l u e > < s t r i n g > G e n e r a l < / s t r i n g > < / v a l u e > < / i t e m > < i t e m > < k e y > < s t r i n g > B u i l d e r s C o u n t < / s t r i n g > < / k e y > < v a l u e > < s t r i n g > G e n e r a l < / s t r i n g > < / v a l u e > < / i t e m > < i t e m > < k e y > < s t r i n g > A r c h i t e c t A R K C o u n t < / s t r i n g > < / k e y > < v a l u e > < s t r i n g > G e n e r a l < / s t r i n g > < / v a l u e > < / i t e m > < i t e m > < k e y > < s t r i n g > A r c h i t e c t L A R K C o u n t < / s t r i n g > < / k e y > < v a l u e > < s t r i n g > G e n e r a l < / s t r i n g > < / v a l u e > < / i t e m > < i t e m > < k e y > < s t r i n g > A r c h i t e c t I A R K C o u n t < / s t r i n g > < / k e y > < v a l u e > < s t r i n g > G e n e r a l < / s t r i n g > < / v a l u e > < / i t e m > < i t e m > < k e y > < s t r i n g > O r i g i n a l A r c h i t e c t C o u n t < / s t r i n g > < / k e y > < v a l u e > < s t r i n g > G e n e r a l < / s t r i n g > < / v a l u e > < / i t e m > < i t e m > < k e y > < s t r i n g > P r o j e c t M a n a g a g e r s C o u n t < / s t r i n g > < / k e y > < v a l u e > < s t r i n g > G e n e r a l < / s t r i n g > < / v a l u e > < / i t e m > < i t e m > < k e y > < s t r i n g > E n v i r o n m e n t C o n s u l t a n t s C o u n t < / s t r i n g > < / k e y > < v a l u e > < s t r i n g > G e n e r a l < / s t r i n g > < / v a l u e > < / i t e m > < i t e m > < k e y > < s t r i n g > E n e r g y C o n s u l t a n t s C o u n t < / s t r i n g > < / k e y > < v a l u e > < s t r i n g > G e n e r a l < / s t r i n g > < / v a l u e > < / i t e m > < i t e m > < k e y > < s t r i n g > U n i v e r s a l D e s i g n C o n s u l t a n t s C o u n t < / s t r i n g > < / k e y > < v a l u e > < s t r i n g > G e n e r a l < / s t r i n g > < / v a l u e > < / i t e m > < i t e m > < k e y > < s t r i n g > A d v i s o r I n g B y g g N a m e < / s t r i n g > < / k e y > < v a l u e > < s t r i n g > T e x t < / s t r i n g > < / v a l u e > < / i t e m > < i t e m > < k e y > < s t r i n g > A d v i s o r I n g B y g g I d < / s t r i n g > < / k e y > < v a l u e > < s t r i n g > G e n e r a l < / s t r i n g > < / v a l u e > < / i t e m > < i t e m > < k e y > < s t r i n g > A d v i s o r I n g V V S N a m e < / s t r i n g > < / k e y > < v a l u e > < s t r i n g > T e x t < / s t r i n g > < / v a l u e > < / i t e m > < i t e m > < k e y > < s t r i n g > A d v i s o r I n g V V S I d < / s t r i n g > < / k e y > < v a l u e > < s t r i n g > G e n e r a l < / s t r i n g > < / v a l u e > < / i t e m > < i t e m > < k e y > < s t r i n g > A d v i s o r I n g E l e k t r o N a m e < / s t r i n g > < / k e y > < v a l u e > < s t r i n g > T e x t < / s t r i n g > < / v a l u e > < / i t e m > < i t e m > < k e y > < s t r i n g > A d v i s o r I n g E l e k t r o I d < / s t r i n g > < / k e y > < v a l u e > < s t r i n g > G e n e r a l < / s t r i n g > < / v a l u e > < / i t e m > < i t e m > < k e y > < s t r i n g > A d v i s o r i n g B u i l d i n g P h y s i c s N a m e < / s t r i n g > < / k e y > < v a l u e > < s t r i n g > T e x t < / s t r i n g > < / v a l u e > < / i t e m > < i t e m > < k e y > < s t r i n g > A d v i s o r i n g B u i l d i n g P h y s i c s I d < / s t r i n g > < / k e y > < v a l u e > < s t r i n g > G e n e r a l < / s t r i n g > < / v a l u e > < / i t e m > < i t e m > < k e y > < s t r i n g > A d v i s o r I n g F i r e S a f e t y N a m e < / s t r i n g > < / k e y > < v a l u e > < s t r i n g > T e x t < / s t r i n g > < / v a l u e > < / i t e m > < i t e m > < k e y > < s t r i n g > A d v i s o r I n g F i r e S a f e t y I d < / s t r i n g > < / k e y > < v a l u e > < s t r i n g > G e n e r a l < / s t r i n g > < / v a l u e > < / i t e m > < i t e m > < k e y > < s t r i n g > A d v i s o r I n g A c o u s t i c s N a m e < / s t r i n g > < / k e y > < v a l u e > < s t r i n g > T e x t < / s t r i n g > < / v a l u e > < / i t e m > < i t e m > < k e y > < s t r i n g > A d v i s o r I n g A c o u s t i c s I d < / s t r i n g > < / k e y > < v a l u e > < s t r i n g > G e n e r a l < / s t r i n g > < / v a l u e > < / i t e m > < i t e m > < k e y > < s t r i n g > O t h e r A d v i s o r s < / s t r i n g > < / k e y > < v a l u e > < s t r i n g > T e x t < / s t r i n g > < / v a l u e > < / i t e m > < i t e m > < k e y > < s t r i n g > C o n t r a c t o r s C o u n t < / s t r i n g > < / k e y > < v a l u e > < s t r i n g > G e n e r a l < / s t r i n g > < / v a l u e > < / i t e m > < i t e m > < k e y > < s t r i n g > C o n s t r u c t i o n M a n a g e m e n t C o u n t < / s t r i n g > < / k e y > < v a l u e > < s t r i n g > G e n e r a l < / s t r i n g > < / v a l u e > < / i t e m > < i t e m > < k e y > < s t r i n g > S u p p l i e r s C o u n t < / s t r i n g > < / k e y > < v a l u e > < s t r i n g > G e n e r a l < / s t r i n g > < / v a l u e > < / i t e m > < i t e m > < k e y > < s t r i n g > S u b C o n t r a c t o r s < / s t r i n g > < / k e y > < v a l u e > < s t r i n g > T e x t < / s t r i n g > < / v a l u e > < / i t e m > < i t e m > < k e y > < s t r i n g > S h o w K e y F i g u r e s < / s t r i n g > < / k e y > < v a l u e > < s t r i n g > B o o l e a n < / s t r i n g > < / v a l u e > < / i t e m > < i t e m > < k e y > < s t r i n g > A r e a U s e d < / s t r i n g > < / k e y > < v a l u e > < s t r i n g > T e x t < / s t r i n g > < / v a l u e > < / i t e m > < i t e m > < k e y > < s t r i n g > N u m b e r O f R e s i d e n t s < / s t r i n g > < / k e y > < v a l u e > < s t r i n g > G e n e r a l < / s t r i n g > < / v a l u e > < / i t e m > < i t e m > < k e y > < s t r i n g > S q u a r e F o o t B T A < / s t r i n g > < / k e y > < v a l u e > < s t r i n g > T e x t < / s t r i n g > < / v a l u e > < / i t e m > < i t e m > < k e y > < s t r i n g > G r o s s S q u a r e F o o t B T A < / s t r i n g > < / k e y > < v a l u e > < s t r i n g > G e n e r a l < / s t r i n g > < / v a l u e > < / i t e m > < i t e m > < k e y > < s t r i n g > G r o s s S q u a r e F o o t < / s t r i n g > < / k e y > < v a l u e > < s t r i n g > G e n e r a l < / s t r i n g > < / v a l u e > < / i t e m > < i t e m > < k e y > < s t r i n g > G r o s s S q u a r e F o o t H e a t e d < / s t r i n g > < / k e y > < v a l u e > < s t r i n g > G e n e r a l < / s t r i n g > < / v a l u e > < / i t e m > < i t e m > < k e y > < s t r i n g > S q u a r e F o o t G l a s s < / s t r i n g > < / k e y > < v a l u e > < s t r i n g > G e n e r a l < / s t r i n g > < / v a l u e > < / i t e m > < i t e m > < k e y > < s t r i n g > C o m p a c t n e s s F a c t o r < / s t r i n g > < / k e y > < v a l u e > < s t r i n g > G e n e r a l < / s t r i n g > < / v a l u e > < / i t e m > < i t e m > < k e y > < s t r i n g > G r e e n A r e a I n c e a s e < / s t r i n g > < / k e y > < v a l u e > < s t r i n g > G e n e r a l < / s t r i n g > < / v a l u e > < / i t e m > < i t e m > < k e y > < s t r i n g > H a r d A r e a R e d u c t i o n < / s t r i n g > < / k e y > < v a l u e > < s t r i n g > G e n e r a l < / s t r i n g > < / v a l u e > < / i t e m > < i t e m > < k e y > < s t r i n g > W a l k w a y s L e n g t h < / s t r i n g > < / k e y > < v a l u e > < s t r i n g > G e n e r a l < / s t r i n g > < / v a l u e > < / i t e m > < i t e m > < k e y > < s t r i n g > D i s t a n c e T o C o l l e c t i v e P o i n t < / s t r i n g > < / k e y > < v a l u e > < s t r i n g > G e n e r a l < / s t r i n g > < / v a l u e > < / i t e m > < i t e m > < k e y > < s t r i n g > D i s t a n c e T o C i t y C e n t e r < / s t r i n g > < / k e y > < v a l u e > < s t r i n g > G e n e r a l < / s t r i n g > < / v a l u e > < / i t e m > < i t e m > < k e y > < s t r i n g > P a r k i n g A r e a < / s t r i n g > < / k e y > < v a l u e > < s t r i n g > G e n e r a l < / s t r i n g > < / v a l u e > < / i t e m > < i t e m > < k e y > < s t r i n g > P a r k i n g S p o t s P e r U n i t < / s t r i n g > < / k e y > < v a l u e > < s t r i n g > G e n e r a l < / s t r i n g > < / v a l u e > < / i t e m > < i t e m > < k e y > < s t r i n g > B i k e P a r k i n g A r e a < / s t r i n g > < / k e y > < v a l u e > < s t r i n g > G e n e r a l < / s t r i n g > < / v a l u e > < / i t e m > < i t e m > < k e y > < s t r i n g > B i k e P a r k i n g S p o t s P e r U n i t < / s t r i n g > < / k e y > < v a l u e > < s t r i n g > G e n e r a l < / s t r i n g > < / v a l u e > < / i t e m > < i t e m > < k e y > < s t r i n g > F B y e r C O 2 < / s t r i n g > < / k e y > < v a l u e > < s t r i n g > G e n e r a l < / s t r i n g > < / v a l u e > < / i t e m > < i t e m > < k e y > < s t r i n g > C O 2 M e t h o d < / s t r i n g > < / k e y > < v a l u e > < s t r i n g > T e x t < / s t r i n g > < / v a l u e > < / i t e m > < i t e m > < k e y > < s t r i n g > C O 2 R e f e r e n c e E n e r g y < / s t r i n g > < / k e y > < v a l u e > < s t r i n g > G e n e r a l < / s t r i n g > < / v a l u e > < / i t e m > < i t e m > < k e y > < s t r i n g > C O 2 R e f e r e n c e M a t e r i a l s < / s t r i n g > < / k e y > < v a l u e > < s t r i n g > G e n e r a l < / s t r i n g > < / v a l u e > < / i t e m > < i t e m > < k e y > < s t r i n g > C O 2 R e f e r e n c e T r a n s p o r t < / s t r i n g > < / k e y > < v a l u e > < s t r i n g > G e n e r a l < / s t r i n g > < / v a l u e > < / i t e m > < i t e m > < k e y > < s t r i n g > C O 2 D e s i g n e d E n e r g y < / s t r i n g > < / k e y > < v a l u e > < s t r i n g > G e n e r a l < / s t r i n g > < / v a l u e > < / i t e m > < i t e m > < k e y > < s t r i n g > C O 2 D e s i g n e d M a t e r i a l s < / s t r i n g > < / k e y > < v a l u e > < s t r i n g > G e n e r a l < / s t r i n g > < / v a l u e > < / i t e m > < i t e m > < k e y > < s t r i n g > C O 2 D e s i g n e d T r a n s p o r t < / s t r i n g > < / k e y > < v a l u e > < s t r i n g > G e n e r a l < / s t r i n g > < / v a l u e > < / i t e m > < i t e m > < k e y > < s t r i n g > C O 2 F i n i s h e d E n e r g y < / s t r i n g > < / k e y > < v a l u e > < s t r i n g > G e n e r a l < / s t r i n g > < / v a l u e > < / i t e m > < i t e m > < k e y > < s t r i n g > C O 2 F i n i s h e d M a t e r i a l s < / s t r i n g > < / k e y > < v a l u e > < s t r i n g > G e n e r a l < / s t r i n g > < / v a l u e > < / i t e m > < i t e m > < k e y > < s t r i n g > C O 2 F i n i s h e d T r a n s p o r t < / s t r i n g > < / k e y > < v a l u e > < s t r i n g > G e n e r a l < / s t r i n g > < / v a l u e > < / i t e m > < i t e m > < k e y > < s t r i n g > C O 2 I n U s e E n e r g y < / s t r i n g > < / k e y > < v a l u e > < s t r i n g > G e n e r a l < / s t r i n g > < / v a l u e > < / i t e m > < i t e m > < k e y > < s t r i n g > C O 2 I n U s e M a t e r i a l s < / s t r i n g > < / k e y > < v a l u e > < s t r i n g > G e n e r a l < / s t r i n g > < / v a l u e > < / i t e m > < i t e m > < k e y > < s t r i n g > C O 2 I n U s e T r a n s p o r t < / s t r i n g > < / k e y > < v a l u e > < s t r i n g > G e n e r a l < / s t r i n g > < / v a l u e > < / i t e m > < i t e m > < k e y > < s t r i n g > E n e r g y L a b e l < / s t r i n g > < / k e y > < v a l u e > < s t r i n g > T e x t < / s t r i n g > < / v a l u e > < / i t e m > < i t e m > < k e y > < s t r i n g > H e a t R a t i n g < / s t r i n g > < / k e y > < v a l u e > < s t r i n g > T e x t < / s t r i n g > < / v a l u e > < / i t e m > < i t e m > < k e y > < s t r i n g > E n e r g y C o n s u m p t i o n < / s t r i n g > < / k e y > < v a l u e > < s t r i n g > T e x t < / s t r i n g > < / v a l u e > < / i t e m > < i t e m > < k e y > < s t r i n g > E n e r g y S o u r c e s < / s t r i n g > < / k e y > < v a l u e > < s t r i n g > T e x t < / s t r i n g > < / v a l u e > < / i t e m > < i t e m > < k e y > < s t r i n g > N e t E n e r g y 3 7 0 0 < / s t r i n g > < / k e y > < v a l u e > < s t r i n g > G e n e r a l < / s t r i n g > < / v a l u e > < / i t e m > < i t e m > < k e y > < s t r i n g > E s t i m a t e d D e l i v e r e d E n e r g y 3 7 0 0 < / s t r i n g > < / k e y > < v a l u e > < s t r i n g > G e n e r a l < / s t r i n g > < / v a l u e > < / i t e m > < i t e m > < k e y > < s t r i n g > N e t E n e r g y < / s t r i n g > < / k e y > < v a l u e > < s t r i n g > G e n e r a l < / s t r i n g > < / v a l u e > < / i t e m > < i t e m > < k e y > < s t r i n g > E s t i m a t e d D e l i v e r e d E n e r g y < / s t r i n g > < / k e y > < v a l u e > < s t r i n g > G e n e r a l < / s t r i n g > < / v a l u e > < / i t e m > < i t e m > < k e y > < s t r i n g > E n e r g y S a v i n g s < / s t r i n g > < / k e y > < v a l u e > < s t r i n g > G e n e r a l < / s t r i n g > < / v a l u e > < / i t e m > < i t e m > < k e y > < s t r i n g > E n e r g y C o n v e r t e d F r o m E l e c t r i c i t y T o R e n e w a b l e < / s t r i n g > < / k e y > < v a l u e > < s t r i n g > G e n e r a l < / s t r i n g > < / v a l u e > < / i t e m > < i t e m > < k e y > < s t r i n g > E n e r g y C o n v e r t e d F r o m F o s s i l T o R e n e w a b l e < / s t r i n g > < / k e y > < v a l u e > < s t r i n g > G e n e r a l < / s t r i n g > < / v a l u e > < / i t e m > < i t e m > < k e y > < s t r i n g > E n e r g y D e l i v e r e d < / s t r i n g > < / k e y > < v a l u e > < s t r i n g > G e n e r a l < / s t r i n g > < / v a l u e > < / i t e m > < i t e m > < k e y > < s t r i n g > E n o v a F a c t s E n e r g y < / s t r i n g > < / k e y > < v a l u e > < s t r i n g > T e x t < / s t r i n g > < / v a l u e > < / i t e m > < i t e m > < k e y > < s t r i n g > E n o v a F a c t s C o m f o r t < / s t r i n g > < / k e y > < v a l u e > < s t r i n g > T e x t < / s t r i n g > < / v a l u e > < / i t e m > < i t e m > < k e y > < s t r i n g > U V a l u e R o o f < / s t r i n g > < / k e y > < v a l u e > < s t r i n g > G e n e r a l < / s t r i n g > < / v a l u e > < / i t e m > < i t e m > < k e y > < s t r i n g > U V a l u e F l o o r < / s t r i n g > < / k e y > < v a l u e > < s t r i n g > G e n e r a l < / s t r i n g > < / v a l u e > < / i t e m > < i t e m > < k e y > < s t r i n g > U V a l u e W a l l < / s t r i n g > < / k e y > < v a l u e > < s t r i n g > G e n e r a l < / s t r i n g > < / v a l u e > < / i t e m > < i t e m > < k e y > < s t r i n g > U V a l u e W i n d o w < / s t r i n g > < / k e y > < v a l u e > < s t r i n g > G e n e r a l < / s t r i n g > < / v a l u e > < / i t e m > < i t e m > < k e y > < s t r i n g > M e a s u r e d A i r T i g h t n e s s < / s t r i n g > < / k e y > < v a l u e > < s t r i n g > G e n e r a l < / s t r i n g > < / v a l u e > < / i t e m > < i t e m > < k e y > < s t r i n g > S p e c i f i c F a n P o w e r < / s t r i n g > < / k e y > < v a l u e > < s t r i n g > G e n e r a l < / s t r i n g > < / v a l u e > < / i t e m > < i t e m > < k e y > < s t r i n g > H e a t R e c o v e r y E f f i c i e n c y < / s t r i n g > < / k e y > < v a l u e > < s t r i n g > G e n e r a l < / s t r i n g > < / v a l u e > < / i t e m > < i t e m > < k e y > < s t r i n g > R o o m H e a t i n g < / s t r i n g > < / k e y > < v a l u e > < s t r i n g > G e n e r a l < / s t r i n g > < / v a l u e > < / i t e m > < i t e m > < k e y > < s t r i n g > V e n t i l a t i o n H e a t i n g < / s t r i n g > < / k e y > < v a l u e > < s t r i n g > G e n e r a l < / s t r i n g > < / v a l u e > < / i t e m > < i t e m > < k e y > < s t r i n g > D o m e s t i c H o t W a t e r < / s t r i n g > < / k e y > < v a l u e > < s t r i n g > G e n e r a l < / s t r i n g > < / v a l u e > < / i t e m > < i t e m > < k e y > < s t r i n g > F a n A d m i n i s t r a t i o n < / s t r i n g > < / k e y > < v a l u e > < s t r i n g > G e n e r a l < / s t r i n g > < / v a l u e > < / i t e m > < i t e m > < k e y > < s t r i n g > P u m p A d m i n i s t r a t i o n < / s t r i n g > < / k e y > < v a l u e > < s t r i n g > G e n e r a l < / s t r i n g > < / v a l u e > < / i t e m > < i t e m > < k e y > < s t r i n g > L i g h t i n g < / s t r i n g > < / k e y > < v a l u e > < s t r i n g > G e n e r a l < / s t r i n g > < / v a l u e > < / i t e m > < i t e m > < k e y > < s t r i n g > T e c h n i c a l E q u i p m e n t < / s t r i n g > < / k e y > < v a l u e > < s t r i n g > G e n e r a l < / s t r i n g > < / v a l u e > < / i t e m > < i t e m > < k e y > < s t r i n g > R o o m C o o l i n g < / s t r i n g > < / k e y > < v a l u e > < s t r i n g > G e n e r a l < / s t r i n g > < / v a l u e > < / i t e m > < i t e m > < k e y > < s t r i n g > V e n t i l a t i o n C o o l i n g < / s t r i n g > < / k e y > < v a l u e > < s t r i n g > G e n e r a l < / s t r i n g > < / v a l u e > < / i t e m > < i t e m > < k e y > < s t r i n g > O t h e r E n e r g y P o s t s < / s t r i n g > < / k e y > < v a l u e > < s t r i n g > G e n e r a l < / s t r i n g > < / v a l u e > < / i t e m > < i t e m > < k e y > < s t r i n g > E n e r g y E f f i c i e n c y M e t h o d < / s t r i n g > < / k e y > < v a l u e > < s t r i n g > T e x t < / s t r i n g > < / v a l u e > < / i t e m > < i t e m > < k e y > < s t r i n g > M a n u f a c t u r e r s < / s t r i n g > < / k e y > < v a l u e > < s t r i n g > T e x t < / s t r i n g > < / v a l u e > < / i t e m > < i t e m > < k e y > < s t r i n g > B u i l d i n g C o s t s < / s t r i n g > < / k e y > < v a l u e > < s t r i n g > T e x t < / s t r i n g > < / v a l u e > < / i t e m > < i t e m > < k e y > < s t r i n g > M e r k o s t n a d M 2 < / s t r i n g > < / k e y > < v a l u e > < s t r i n g > G e n e r a l < / s t r i n g > < / v a l u e > < / i t e m > < i t e m > < k e y > < s t r i n g > M e r k o s t n a d E n e r g i M 2 E n o v a < / s t r i n g > < / k e y > < v a l u e > < s t r i n g > G e n e r a l < / s t r i n g > < / v a l u e > < / i t e m > < i t e m > < k e y > < s t r i n g > M e r k o s t n a d U n i v e r s e l l U t f o r m i n g M 2 < / s t r i n g > < / k e y > < v a l u e > < s t r i n g > G e n e r a l < / s t r i n g > < / v a l u e > < / i t e m > < i t e m > < k e y > < s t r i n g > P r o j e c t S u p p o r t E n o v a < / s t r i n g > < / k e y > < v a l u e > < s t r i n g > G e n e r a l < / s t r i n g > < / v a l u e > < / i t e m > < i t e m > < k e y > < s t r i n g > P r o j e c t S u p p o r t H u s b a n k e n < / s t r i n g > < / k e y > < v a l u e > < s t r i n g > G e n e r a l < / s t r i n g > < / v a l u e > < / i t e m > < i t e m > < k e y > < s t r i n g > P u b l i s h e d I n < / s t r i n g > < / k e y > < v a l u e > < s t r i n g > T e x t < / s t r i n g > < / v a l u e > < / i t e m > < i t e m > < k e y > < s t r i n g > R e f e r e n c e s < / s t r i n g > < / k e y > < v a l u e > < s t r i n g > T e x t < / s t r i n g > < / v a l u e > < / i t e m > < i t e m > < k e y > < s t r i n g > S e a r c h S u m m a r y < / s t r i n g > < / k e y > < v a l u e > < s t r i n g > T e x t < / s t r i n g > < / v a l u e > < / i t e m > < i t e m > < k e y > < s t r i n g > L e g g   t i l   k o l o n n e 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 L i s t O r d e r < / s t r i n g > < / k e y > < v a l u e > < i n t > 0 < / i n t > < / v a l u e > < / i t e m > < i t e m > < k e y > < s t r i n g > I m a g e U r l < / s t r i n g > < / k e y > < v a l u e > < i n t > 0 < / i n t > < / v a l u e > < / i t e m > < i t e m > < k e y > < s t r i n g > T h u m b n a i l U r l < / s t r i n g > < / k e y > < v a l u e > < i n t > 0 < / i n t > < / v a l u e > < / i t e m > < i t e m > < k e y > < s t r i n g > N a m e < / s t r i n g > < / k e y > < v a l u e > < i n t > 0 < / i n t > < / v a l u e > < / i t e m > < i t e m > < k e y > < s t r i n g > A u t h o r < / s t r i n g > < / k e y > < v a l u e > < i n t > 0 < / i n t > < / v a l u e > < / i t e m > < i t e m > < k e y > < s t r i n g > U p d a t e d < / s t r i n g > < / k e y > < v a l u e > < i n t > 0 < / i n t > < / v a l u e > < / i t e m > < i t e m > < k e y > < s t r i n g > S u b T i t l e < / s t r i n g > < / k e y > < v a l u e > < i n t > 0 < / i n t > < / v a l u e > < / i t e m > < i t e m > < k e y > < s t r i n g > A u t h o r S i g n a t u r e < / s t r i n g > < / k e y > < v a l u e > < i n t > 0 < / i n t > < / v a l u e > < / i t e m > < i t e m > < k e y > < s t r i n g > P r o j e c t O w n e r N a m e < / s t r i n g > < / k e y > < v a l u e > < i n t > 0 < / i n t > < / v a l u e > < / i t e m > < i t e m > < k e y > < s t r i n g > P r o j e c t O w n e r I d < / s t r i n g > < / k e y > < v a l u e > < i n t > 0 < / i n t > < / v a l u e > < / i t e m > < i t e m > < k e y > < s t r i n g > E d i t o r i a l R e s p o n s i b i l i t y < / s t r i n g > < / k e y > < v a l u e > < i n t > 0 < / i n t > < / v a l u e > < / i t e m > < i t e m > < k e y > < s t r i n g > S h o r t D e s c r i p t i o n < / s t r i n g > < / k e y > < v a l u e > < i n t > 0 < / i n t > < / v a l u e > < / i t e m > < i t e m > < k e y > < s t r i n g > G e n e r a l P r o j e c t T y p e < / s t r i n g > < / k e y > < v a l u e > < i n t > 0 < / i n t > < / v a l u e > < / i t e m > < i t e m > < k e y > < s t r i n g > P r o j e c t S t a t u s < / s t r i n g > < / k e y > < v a l u e > < i n t > 0 < / i n t > < / v a l u e > < / i t e m > < i t e m > < k e y > < s t r i n g > F i n i s h e d P r o j e c t < / s t r i n g > < / k e y > < v a l u e > < i n t > 0 < / i n t > < / v a l u e > < / i t e m > < i t e m > < k e y > < s t r i n g > E n g l i s h C o n t e n t < / s t r i n g > < / k e y > < v a l u e > < i n t > 0 < / i n t > < / v a l u e > < / i t e m > < i t e m > < k e y > < s t r i n g > H i d e O n E c o b o x < / s t r i n g > < / k e y > < v a l u e > < i n t > 0 < / i n t > < / v a l u e > < / i t e m > < i t e m > < k e y > < s t r i n g > H i d e F r o m P r o j e c t F r o n t P a g e < / s t r i n g > < / k e y > < v a l u e > < i n t > 0 < / i n t > < / v a l u e > < / i t e m > < i t e m > < k e y > < s t r i n g > C o n t a c t < / s t r i n g > < / k e y > < v a l u e > < i n t > 0 < / i n t > < / v a l u e > < / i t e m > < i t e m > < k e y > < s t r i n g > C o n t a c t P h o n e < / s t r i n g > < / k e y > < v a l u e > < i n t > 0 < / i n t > < / v a l u e > < / i t e m > < i t e m > < k e y > < s t r i n g > C o n t a c t E m a i l < / s t r i n g > < / k e y > < v a l u e > < i n t > 0 < / i n t > < / v a l u e > < / i t e m > < i t e m > < k e y > < s t r i n g > F B y e r E x t e r n a l T a g s C o u n t < / s t r i n g > < / k e y > < v a l u e > < i n t > 0 < / i n t > < / v a l u e > < / i t e m > < i t e m > < k e y > < s t r i n g > E x t e r n a l T a g s C o u n t < / s t r i n g > < / k e y > < v a l u e > < i n t > 0 < / i n t > < / v a l u e > < / i t e m > < i t e m > < k e y > < s t r i n g > E x t e r n a l P r o j e c t D B U s e r s C o u n t < / s t r i n g > < / k e y > < v a l u e > < i n t > 0 < / i n t > < / v a l u e > < / i t e m > < i t e m > < k e y > < s t r i n g > E c o M e a s u r e s C o u n t < / s t r i n g > < / k e y > < v a l u e > < i n t > 0 < / i n t > < / v a l u e > < / i t e m > < i t e m > < k e y > < s t r i n g > E c o n o m y H e a d e r < / s t r i n g > < / k e y > < v a l u e > < i n t > 0 < / i n t > < / v a l u e > < / i t e m > < i t e m > < k e y > < s t r i n g > E c o n o m y < / s t r i n g > < / k e y > < v a l u e > < i n t > 0 < / i n t > < / v a l u e > < / i t e m > < i t e m > < k e y > < s t r i n g > C o s t B e n e f i t E v a l u a t i o n s C o u n t < / s t r i n g > < / k e y > < v a l u e > < i n t > 0 < / i n t > < / v a l u e > < / i t e m > < i t e m > < k e y > < s t r i n g > C l o s i n g P a r a g r a p h H e a d e r < / s t r i n g > < / k e y > < v a l u e > < i n t > 0 < / i n t > < / v a l u e > < / i t e m > < i t e m > < k e y > < s t r i n g > C l o s i n g P a r a g r a p h < / s t r i n g > < / k e y > < v a l u e > < i n t > 0 < / i n t > < / v a l u e > < / i t e m > < i t e m > < k e y > < s t r i n g > P r o j e c t r e s p o n s i b l e F B N a m e < / s t r i n g > < / k e y > < v a l u e > < i n t > 0 < / i n t > < / v a l u e > < / i t e m > < i t e m > < k e y > < s t r i n g > P r o j e c t r e s p o n s i b l e F B I d < / s t r i n g > < / k e y > < v a l u e > < i n t > 0 < / i n t > < / v a l u e > < / i t e m > < i t e m > < k e y > < s t r i n g > R e s p o n s i b l e D e p a r t m e n t < / s t r i n g > < / k e y > < v a l u e > < i n t > 0 < / i n t > < / v a l u e > < / i t e m > < i t e m > < k e y > < s t r i n g > P r o j e c t A d d r e s s < / s t r i n g > < / k e y > < v a l u e > < i n t > 0 < / i n t > < / v a l u e > < / i t e m > < i t e m > < k e y > < s t r i n g > L o c a t i o n < / s t r i n g > < / k e y > < v a l u e > < i n t > 0 < / i n t > < / v a l u e > < / i t e m > < i t e m > < k e y > < s t r i n g > M u n i c i p a l i t i e s C o u n t < / s t r i n g > < / k e y > < v a l u e > < i n t > 0 < / i n t > < / v a l u e > < / i t e m > < i t e m > < k e y > < s t r i n g > M a p L a t i t u d e < / s t r i n g > < / k e y > < v a l u e > < i n t > 0 < / i n t > < / v a l u e > < / i t e m > < i t e m > < k e y > < s t r i n g > M a p L o n g i t u d e < / s t r i n g > < / k e y > < v a l u e > < i n t > 0 < / i n t > < / v a l u e > < / i t e m > < i t e m > < k e y > < s t r i n g > M a p Z o o m L e v e l < / s t r i n g > < / k e y > < v a l u e > < i n t > 0 < / i n t > < / v a l u e > < / i t e m > < i t e m > < k e y > < s t r i n g > P r o j e c t P e r i o d < / s t r i n g > < / k e y > < v a l u e > < i n t > 0 < / i n t > < / v a l u e > < / i t e m > < i t e m > < k e y > < s t r i n g > C o n s t r u c t i o n S t a r t e d Y e a r < / s t r i n g > < / k e y > < v a l u e > < i n t > 0 < / i n t > < / v a l u e > < / i t e m > < i t e m > < k e y > < s t r i n g > C o n s t r u c t i o n C o m p l e t e d Y e a r < / s t r i n g > < / k e y > < v a l u e > < i n t > 0 < / i n t > < / v a l u e > < / i t e m > < i t e m > < k e y > < s t r i n g > P a r t n e r s C o u n t < / s t r i n g > < / k e y > < v a l u e > < i n t > 0 < / i n t > < / v a l u e > < / i t e m > < i t e m > < k e y > < s t r i n g > O t h e r s I n v o l v e d < / s t r i n g > < / k e y > < v a l u e > < i n t > 0 < / i n t > < / v a l u e > < / i t e m > < i t e m > < k e y > < s t r i n g > K e y w o r d M e a s u r e s C o u n t < / s t r i n g > < / k e y > < v a l u e > < i n t > 0 < / i n t > < / v a l u e > < / i t e m > < i t e m > < k e y > < s t r i n g > C o l l a b o r a t i o n < / s t r i n g > < / k e y > < v a l u e > < i n t > 0 < / i n t > < / v a l u e > < / i t e m > < i t e m > < k e y > < s t r i n g > M u n i c i p a l i t i e s C o l l a b o r a t i o n < / s t r i n g > < / k e y > < v a l u e > < i n t > 0 < / i n t > < / v a l u e > < / i t e m > < i t e m > < k e y > < s t r i n g > P r i v a t e C o l l a b o r a t i o n < / s t r i n g > < / k e y > < v a l u e > < i n t > 0 < / i n t > < / v a l u e > < / i t e m > < i t e m > < k e y > < s t r i n g > O t h e r C o l l a b o r a t i o n < / s t r i n g > < / k e y > < v a l u e > < i n t > 0 < / i n t > < / v a l u e > < / i t e m > < i t e m > < k e y > < s t r i n g > P r o g r e s s D e s c r i p t i o n < / s t r i n g > < / k e y > < v a l u e > < i n t > 0 < / i n t > < / v a l u e > < / i t e m > < i t e m > < k e y > < s t r i n g > P r o g r e s s S t a t u s < / s t r i n g > < / k e y > < v a l u e > < i n t > 0 < / i n t > < / v a l u e > < / i t e m > < i t e m > < k e y > < s t r i n g > F B y e r O t h e r R e s u l t s < / s t r i n g > < / k e y > < v a l u e > < i n t > 0 < / i n t > < / v a l u e > < / i t e m > < i t e m > < k e y > < s t r i n g > F B y e r C o s t s < / s t r i n g > < / k e y > < v a l u e > < i n t > 0 < / i n t > < / v a l u e > < / i t e m > < i t e m > < k e y > < s t r i n g > F B y e r I m p o r t a n c e < / s t r i n g > < / k e y > < v a l u e > < i n t > 0 < / i n t > < / v a l u e > < / i t e m > < i t e m > < k e y > < s t r i n g > F B y e r T i m e U s a g e < / s t r i n g > < / k e y > < v a l u e > < i n t > 0 < / i n t > < / v a l u e > < / i t e m > < i t e m > < k e y > < s t r i n g > F B y e r P e o p l e I n f o r m e d < / s t r i n g > < / k e y > < v a l u e > < i n t > 0 < / i n t > < / v a l u e > < / i t e m > < i t e m > < k e y > < s t r i n g > F B y e r O t h e r R e m a r k s < / s t r i n g > < / k e y > < v a l u e > < i n t > 0 < / i n t > < / v a l u e > < / i t e m > < i t e m > < k e y > < s t r i n g > P r o j e c t P h a s e C o u n t < / s t r i n g > < / k e y > < v a l u e > < i n t > 0 < / i n t > < / v a l u e > < / i t e m > < i t e m > < k e y > < s t r i n g > P r o j e c t T y p e s C o u n t < / s t r i n g > < / k e y > < v a l u e > < i n t > 0 < / i n t > < / v a l u e > < / i t e m > < i t e m > < k e y > < s t r i n g > F u n c t i o n B u i l d i n g C a t e g o r y C o u n t < / s t r i n g > < / k e y > < v a l u e > < i n t > 0 < / i n t > < / v a l u e > < / i t e m > < i t e m > < k e y > < s t r i n g > P r o j e c t C o m p e t i t i o n F o r m C o u n t < / s t r i n g > < / k e y > < v a l u e > < i n t > 0 < / i n t > < / v a l u e > < / i t e m > < i t e m > < k e y > < s t r i n g > P r o j e c t C o n t r a c t i n g F o r m C o u n t < / s t r i n g > < / k e y > < v a l u e > < i n t > 0 < / i n t > < / v a l u e > < / i t e m > < i t e m > < k e y > < s t r i n g > P r o j e c t E n v i r o n m e n t a l S t a n d a r d C o u n t < / s t r i n g > < / k e y > < v a l u e > < i n t > 0 < / i n t > < / v a l u e > < / i t e m > < i t e m > < k e y > < s t r i n g > P r o j e c t A w a r d s C o u n t < / s t r i n g > < / k e y > < v a l u e > < i n t > 0 < / i n t > < / v a l u e > < / i t e m > < i t e m > < k e y > < s t r i n g > P r o j e c t R o l e M o d e l C o u n t < / s t r i n g > < / k e y > < v a l u e > < i n t > 0 < / i n t > < / v a l u e > < / i t e m > < i t e m > < k e y > < s t r i n g > P r o j e c t R e s e a r c h C o u n t < / s t r i n g > < / k e y > < v a l u e > < i n t > 0 < / i n t > < / v a l u e > < / i t e m > < i t e m > < k e y > < s t r i n g > P r o j e c t A r c h i t e c t u r e G u i d e C o u n t < / s t r i n g > < / k e y > < v a l u e > < i n t > 0 < / i n t > < / v a l u e > < / i t e m > < i t e m > < k e y > < s t r i n g > B u i l d e r s C o u n t < / s t r i n g > < / k e y > < v a l u e > < i n t > 0 < / i n t > < / v a l u e > < / i t e m > < i t e m > < k e y > < s t r i n g > A r c h i t e c t A R K C o u n t < / s t r i n g > < / k e y > < v a l u e > < i n t > 0 < / i n t > < / v a l u e > < / i t e m > < i t e m > < k e y > < s t r i n g > A r c h i t e c t L A R K C o u n t < / s t r i n g > < / k e y > < v a l u e > < i n t > 0 < / i n t > < / v a l u e > < / i t e m > < i t e m > < k e y > < s t r i n g > A r c h i t e c t I A R K C o u n t < / s t r i n g > < / k e y > < v a l u e > < i n t > 0 < / i n t > < / v a l u e > < / i t e m > < i t e m > < k e y > < s t r i n g > O r i g i n a l A r c h i t e c t C o u n t < / s t r i n g > < / k e y > < v a l u e > < i n t > 0 < / i n t > < / v a l u e > < / i t e m > < i t e m > < k e y > < s t r i n g > P r o j e c t M a n a g a g e r s C o u n t < / s t r i n g > < / k e y > < v a l u e > < i n t > 0 < / i n t > < / v a l u e > < / i t e m > < i t e m > < k e y > < s t r i n g > E n v i r o n m e n t C o n s u l t a n t s C o u n t < / s t r i n g > < / k e y > < v a l u e > < i n t > 0 < / i n t > < / v a l u e > < / i t e m > < i t e m > < k e y > < s t r i n g > E n e r g y C o n s u l t a n t s C o u n t < / s t r i n g > < / k e y > < v a l u e > < i n t > 0 < / i n t > < / v a l u e > < / i t e m > < i t e m > < k e y > < s t r i n g > U n i v e r s a l D e s i g n C o n s u l t a n t s C o u n t < / s t r i n g > < / k e y > < v a l u e > < i n t > 0 < / i n t > < / v a l u e > < / i t e m > < i t e m > < k e y > < s t r i n g > A d v i s o r I n g B y g g N a m e < / s t r i n g > < / k e y > < v a l u e > < i n t > 0 < / i n t > < / v a l u e > < / i t e m > < i t e m > < k e y > < s t r i n g > A d v i s o r I n g B y g g I d < / s t r i n g > < / k e y > < v a l u e > < i n t > 0 < / i n t > < / v a l u e > < / i t e m > < i t e m > < k e y > < s t r i n g > A d v i s o r I n g V V S N a m e < / s t r i n g > < / k e y > < v a l u e > < i n t > 0 < / i n t > < / v a l u e > < / i t e m > < i t e m > < k e y > < s t r i n g > A d v i s o r I n g V V S I d < / s t r i n g > < / k e y > < v a l u e > < i n t > 0 < / i n t > < / v a l u e > < / i t e m > < i t e m > < k e y > < s t r i n g > A d v i s o r I n g E l e k t r o N a m e < / s t r i n g > < / k e y > < v a l u e > < i n t > 0 < / i n t > < / v a l u e > < / i t e m > < i t e m > < k e y > < s t r i n g > A d v i s o r I n g E l e k t r o I d < / s t r i n g > < / k e y > < v a l u e > < i n t > 0 < / i n t > < / v a l u e > < / i t e m > < i t e m > < k e y > < s t r i n g > A d v i s o r i n g B u i l d i n g P h y s i c s N a m e < / s t r i n g > < / k e y > < v a l u e > < i n t > 0 < / i n t > < / v a l u e > < / i t e m > < i t e m > < k e y > < s t r i n g > A d v i s o r i n g B u i l d i n g P h y s i c s I d < / s t r i n g > < / k e y > < v a l u e > < i n t > 0 < / i n t > < / v a l u e > < / i t e m > < i t e m > < k e y > < s t r i n g > A d v i s o r I n g F i r e S a f e t y N a m e < / s t r i n g > < / k e y > < v a l u e > < i n t > 0 < / i n t > < / v a l u e > < / i t e m > < i t e m > < k e y > < s t r i n g > A d v i s o r I n g F i r e S a f e t y I d < / s t r i n g > < / k e y > < v a l u e > < i n t > 0 < / i n t > < / v a l u e > < / i t e m > < i t e m > < k e y > < s t r i n g > A d v i s o r I n g A c o u s t i c s N a m e < / s t r i n g > < / k e y > < v a l u e > < i n t > 0 < / i n t > < / v a l u e > < / i t e m > < i t e m > < k e y > < s t r i n g > A d v i s o r I n g A c o u s t i c s I d < / s t r i n g > < / k e y > < v a l u e > < i n t > 0 < / i n t > < / v a l u e > < / i t e m > < i t e m > < k e y > < s t r i n g > O t h e r A d v i s o r s < / s t r i n g > < / k e y > < v a l u e > < i n t > 0 < / i n t > < / v a l u e > < / i t e m > < i t e m > < k e y > < s t r i n g > C o n t r a c t o r s C o u n t < / s t r i n g > < / k e y > < v a l u e > < i n t > 0 < / i n t > < / v a l u e > < / i t e m > < i t e m > < k e y > < s t r i n g > C o n s t r u c t i o n M a n a g e m e n t C o u n t < / s t r i n g > < / k e y > < v a l u e > < i n t > 0 < / i n t > < / v a l u e > < / i t e m > < i t e m > < k e y > < s t r i n g > S u p p l i e r s C o u n t < / s t r i n g > < / k e y > < v a l u e > < i n t > 0 < / i n t > < / v a l u e > < / i t e m > < i t e m > < k e y > < s t r i n g > S u b C o n t r a c t o r s < / s t r i n g > < / k e y > < v a l u e > < i n t > 0 < / i n t > < / v a l u e > < / i t e m > < i t e m > < k e y > < s t r i n g > S h o w K e y F i g u r e s < / s t r i n g > < / k e y > < v a l u e > < i n t > 0 < / i n t > < / v a l u e > < / i t e m > < i t e m > < k e y > < s t r i n g > A r e a U s e d < / s t r i n g > < / k e y > < v a l u e > < i n t > 0 < / i n t > < / v a l u e > < / i t e m > < i t e m > < k e y > < s t r i n g > N u m b e r O f R e s i d e n t s < / s t r i n g > < / k e y > < v a l u e > < i n t > 0 < / i n t > < / v a l u e > < / i t e m > < i t e m > < k e y > < s t r i n g > S q u a r e F o o t B T A < / s t r i n g > < / k e y > < v a l u e > < i n t > 0 < / i n t > < / v a l u e > < / i t e m > < i t e m > < k e y > < s t r i n g > G r o s s S q u a r e F o o t B T A < / s t r i n g > < / k e y > < v a l u e > < i n t > 0 < / i n t > < / v a l u e > < / i t e m > < i t e m > < k e y > < s t r i n g > G r o s s S q u a r e F o o t < / s t r i n g > < / k e y > < v a l u e > < i n t > 0 < / i n t > < / v a l u e > < / i t e m > < i t e m > < k e y > < s t r i n g > G r o s s S q u a r e F o o t H e a t e d < / s t r i n g > < / k e y > < v a l u e > < i n t > 0 < / i n t > < / v a l u e > < / i t e m > < i t e m > < k e y > < s t r i n g > S q u a r e F o o t G l a s s < / s t r i n g > < / k e y > < v a l u e > < i n t > 0 < / i n t > < / v a l u e > < / i t e m > < i t e m > < k e y > < s t r i n g > C o m p a c t n e s s F a c t o r < / s t r i n g > < / k e y > < v a l u e > < i n t > 0 < / i n t > < / v a l u e > < / i t e m > < i t e m > < k e y > < s t r i n g > G r e e n A r e a I n c e a s e < / s t r i n g > < / k e y > < v a l u e > < i n t > 0 < / i n t > < / v a l u e > < / i t e m > < i t e m > < k e y > < s t r i n g > H a r d A r e a R e d u c t i o n < / s t r i n g > < / k e y > < v a l u e > < i n t > 0 < / i n t > < / v a l u e > < / i t e m > < i t e m > < k e y > < s t r i n g > W a l k w a y s L e n g t h < / s t r i n g > < / k e y > < v a l u e > < i n t > 0 < / i n t > < / v a l u e > < / i t e m > < i t e m > < k e y > < s t r i n g > D i s t a n c e T o C o l l e c t i v e P o i n t < / s t r i n g > < / k e y > < v a l u e > < i n t > 0 < / i n t > < / v a l u e > < / i t e m > < i t e m > < k e y > < s t r i n g > D i s t a n c e T o C i t y C e n t e r < / s t r i n g > < / k e y > < v a l u e > < i n t > 0 < / i n t > < / v a l u e > < / i t e m > < i t e m > < k e y > < s t r i n g > P a r k i n g A r e a < / s t r i n g > < / k e y > < v a l u e > < i n t > 0 < / i n t > < / v a l u e > < / i t e m > < i t e m > < k e y > < s t r i n g > P a r k i n g S p o t s P e r U n i t < / s t r i n g > < / k e y > < v a l u e > < i n t > 0 < / i n t > < / v a l u e > < / i t e m > < i t e m > < k e y > < s t r i n g > B i k e P a r k i n g A r e a < / s t r i n g > < / k e y > < v a l u e > < i n t > 0 < / i n t > < / v a l u e > < / i t e m > < i t e m > < k e y > < s t r i n g > B i k e P a r k i n g S p o t s P e r U n i t < / s t r i n g > < / k e y > < v a l u e > < i n t > 0 < / i n t > < / v a l u e > < / i t e m > < i t e m > < k e y > < s t r i n g > F B y e r C O 2 < / s t r i n g > < / k e y > < v a l u e > < i n t > 0 < / i n t > < / v a l u e > < / i t e m > < i t e m > < k e y > < s t r i n g > C O 2 M e t h o d < / s t r i n g > < / k e y > < v a l u e > < i n t > 0 < / i n t > < / v a l u e > < / i t e m > < i t e m > < k e y > < s t r i n g > C O 2 R e f e r e n c e E n e r g y < / s t r i n g > < / k e y > < v a l u e > < i n t > 0 < / i n t > < / v a l u e > < / i t e m > < i t e m > < k e y > < s t r i n g > C O 2 R e f e r e n c e M a t e r i a l s < / s t r i n g > < / k e y > < v a l u e > < i n t > 0 < / i n t > < / v a l u e > < / i t e m > < i t e m > < k e y > < s t r i n g > C O 2 R e f e r e n c e T r a n s p o r t < / s t r i n g > < / k e y > < v a l u e > < i n t > 0 < / i n t > < / v a l u e > < / i t e m > < i t e m > < k e y > < s t r i n g > C O 2 D e s i g n e d E n e r g y < / s t r i n g > < / k e y > < v a l u e > < i n t > 0 < / i n t > < / v a l u e > < / i t e m > < i t e m > < k e y > < s t r i n g > C O 2 D e s i g n e d M a t e r i a l s < / s t r i n g > < / k e y > < v a l u e > < i n t > 0 < / i n t > < / v a l u e > < / i t e m > < i t e m > < k e y > < s t r i n g > C O 2 D e s i g n e d T r a n s p o r t < / s t r i n g > < / k e y > < v a l u e > < i n t > 0 < / i n t > < / v a l u e > < / i t e m > < i t e m > < k e y > < s t r i n g > C O 2 F i n i s h e d E n e r g y < / s t r i n g > < / k e y > < v a l u e > < i n t > 0 < / i n t > < / v a l u e > < / i t e m > < i t e m > < k e y > < s t r i n g > C O 2 F i n i s h e d M a t e r i a l s < / s t r i n g > < / k e y > < v a l u e > < i n t > 0 < / i n t > < / v a l u e > < / i t e m > < i t e m > < k e y > < s t r i n g > C O 2 F i n i s h e d T r a n s p o r t < / s t r i n g > < / k e y > < v a l u e > < i n t > 0 < / i n t > < / v a l u e > < / i t e m > < i t e m > < k e y > < s t r i n g > C O 2 I n U s e E n e r g y < / s t r i n g > < / k e y > < v a l u e > < i n t > 0 < / i n t > < / v a l u e > < / i t e m > < i t e m > < k e y > < s t r i n g > C O 2 I n U s e M a t e r i a l s < / s t r i n g > < / k e y > < v a l u e > < i n t > 0 < / i n t > < / v a l u e > < / i t e m > < i t e m > < k e y > < s t r i n g > C O 2 I n U s e T r a n s p o r t < / s t r i n g > < / k e y > < v a l u e > < i n t > 0 < / i n t > < / v a l u e > < / i t e m > < i t e m > < k e y > < s t r i n g > E n e r g y L a b e l < / s t r i n g > < / k e y > < v a l u e > < i n t > 0 < / i n t > < / v a l u e > < / i t e m > < i t e m > < k e y > < s t r i n g > H e a t R a t i n g < / s t r i n g > < / k e y > < v a l u e > < i n t > 0 < / i n t > < / v a l u e > < / i t e m > < i t e m > < k e y > < s t r i n g > E n e r g y C o n s u m p t i o n < / s t r i n g > < / k e y > < v a l u e > < i n t > 0 < / i n t > < / v a l u e > < / i t e m > < i t e m > < k e y > < s t r i n g > E n e r g y S o u r c e s < / s t r i n g > < / k e y > < v a l u e > < i n t > 0 < / i n t > < / v a l u e > < / i t e m > < i t e m > < k e y > < s t r i n g > N e t E n e r g y 3 7 0 0 < / s t r i n g > < / k e y > < v a l u e > < i n t > 0 < / i n t > < / v a l u e > < / i t e m > < i t e m > < k e y > < s t r i n g > E s t i m a t e d D e l i v e r e d E n e r g y 3 7 0 0 < / s t r i n g > < / k e y > < v a l u e > < i n t > 0 < / i n t > < / v a l u e > < / i t e m > < i t e m > < k e y > < s t r i n g > N e t E n e r g y < / s t r i n g > < / k e y > < v a l u e > < i n t > 0 < / i n t > < / v a l u e > < / i t e m > < i t e m > < k e y > < s t r i n g > E s t i m a t e d D e l i v e r e d E n e r g y < / s t r i n g > < / k e y > < v a l u e > < i n t > 0 < / i n t > < / v a l u e > < / i t e m > < i t e m > < k e y > < s t r i n g > E n e r g y S a v i n g s < / s t r i n g > < / k e y > < v a l u e > < i n t > 0 < / i n t > < / v a l u e > < / i t e m > < i t e m > < k e y > < s t r i n g > E n e r g y C o n v e r t e d F r o m E l e c t r i c i t y T o R e n e w a b l e < / s t r i n g > < / k e y > < v a l u e > < i n t > 0 < / i n t > < / v a l u e > < / i t e m > < i t e m > < k e y > < s t r i n g > E n e r g y C o n v e r t e d F r o m F o s s i l T o R e n e w a b l e < / s t r i n g > < / k e y > < v a l u e > < i n t > 0 < / i n t > < / v a l u e > < / i t e m > < i t e m > < k e y > < s t r i n g > E n e r g y D e l i v e r e d < / s t r i n g > < / k e y > < v a l u e > < i n t > 0 < / i n t > < / v a l u e > < / i t e m > < i t e m > < k e y > < s t r i n g > E n o v a F a c t s E n e r g y < / s t r i n g > < / k e y > < v a l u e > < i n t > 0 < / i n t > < / v a l u e > < / i t e m > < i t e m > < k e y > < s t r i n g > E n o v a F a c t s C o m f o r t < / s t r i n g > < / k e y > < v a l u e > < i n t > 0 < / i n t > < / v a l u e > < / i t e m > < i t e m > < k e y > < s t r i n g > U V a l u e R o o f < / s t r i n g > < / k e y > < v a l u e > < i n t > 0 < / i n t > < / v a l u e > < / i t e m > < i t e m > < k e y > < s t r i n g > U V a l u e F l o o r < / s t r i n g > < / k e y > < v a l u e > < i n t > 0 < / i n t > < / v a l u e > < / i t e m > < i t e m > < k e y > < s t r i n g > U V a l u e W a l l < / s t r i n g > < / k e y > < v a l u e > < i n t > 0 < / i n t > < / v a l u e > < / i t e m > < i t e m > < k e y > < s t r i n g > U V a l u e W i n d o w < / s t r i n g > < / k e y > < v a l u e > < i n t > 0 < / i n t > < / v a l u e > < / i t e m > < i t e m > < k e y > < s t r i n g > M e a s u r e d A i r T i g h t n e s s < / s t r i n g > < / k e y > < v a l u e > < i n t > 0 < / i n t > < / v a l u e > < / i t e m > < i t e m > < k e y > < s t r i n g > S p e c i f i c F a n P o w e r < / s t r i n g > < / k e y > < v a l u e > < i n t > 0 < / i n t > < / v a l u e > < / i t e m > < i t e m > < k e y > < s t r i n g > H e a t R e c o v e r y E f f i c i e n c y < / s t r i n g > < / k e y > < v a l u e > < i n t > 0 < / i n t > < / v a l u e > < / i t e m > < i t e m > < k e y > < s t r i n g > R o o m H e a t i n g < / s t r i n g > < / k e y > < v a l u e > < i n t > 0 < / i n t > < / v a l u e > < / i t e m > < i t e m > < k e y > < s t r i n g > V e n t i l a t i o n H e a t i n g < / s t r i n g > < / k e y > < v a l u e > < i n t > 0 < / i n t > < / v a l u e > < / i t e m > < i t e m > < k e y > < s t r i n g > D o m e s t i c H o t W a t e r < / s t r i n g > < / k e y > < v a l u e > < i n t > 0 < / i n t > < / v a l u e > < / i t e m > < i t e m > < k e y > < s t r i n g > F a n A d m i n i s t r a t i o n < / s t r i n g > < / k e y > < v a l u e > < i n t > 0 < / i n t > < / v a l u e > < / i t e m > < i t e m > < k e y > < s t r i n g > P u m p A d m i n i s t r a t i o n < / s t r i n g > < / k e y > < v a l u e > < i n t > 0 < / i n t > < / v a l u e > < / i t e m > < i t e m > < k e y > < s t r i n g > L i g h t i n g < / s t r i n g > < / k e y > < v a l u e > < i n t > 0 < / i n t > < / v a l u e > < / i t e m > < i t e m > < k e y > < s t r i n g > T e c h n i c a l E q u i p m e n t < / s t r i n g > < / k e y > < v a l u e > < i n t > 0 < / i n t > < / v a l u e > < / i t e m > < i t e m > < k e y > < s t r i n g > R o o m C o o l i n g < / s t r i n g > < / k e y > < v a l u e > < i n t > 0 < / i n t > < / v a l u e > < / i t e m > < i t e m > < k e y > < s t r i n g > V e n t i l a t i o n C o o l i n g < / s t r i n g > < / k e y > < v a l u e > < i n t > 0 < / i n t > < / v a l u e > < / i t e m > < i t e m > < k e y > < s t r i n g > O t h e r E n e r g y P o s t s < / s t r i n g > < / k e y > < v a l u e > < i n t > 0 < / i n t > < / v a l u e > < / i t e m > < i t e m > < k e y > < s t r i n g > E n e r g y E f f i c i e n c y M e t h o d < / s t r i n g > < / k e y > < v a l u e > < i n t > 0 < / i n t > < / v a l u e > < / i t e m > < i t e m > < k e y > < s t r i n g > M a n u f a c t u r e r s < / s t r i n g > < / k e y > < v a l u e > < i n t > 0 < / i n t > < / v a l u e > < / i t e m > < i t e m > < k e y > < s t r i n g > B u i l d i n g C o s t s < / s t r i n g > < / k e y > < v a l u e > < i n t > 0 < / i n t > < / v a l u e > < / i t e m > < i t e m > < k e y > < s t r i n g > M e r k o s t n a d M 2 < / s t r i n g > < / k e y > < v a l u e > < i n t > 0 < / i n t > < / v a l u e > < / i t e m > < i t e m > < k e y > < s t r i n g > M e r k o s t n a d E n e r g i M 2 E n o v a < / s t r i n g > < / k e y > < v a l u e > < i n t > 0 < / i n t > < / v a l u e > < / i t e m > < i t e m > < k e y > < s t r i n g > M e r k o s t n a d U n i v e r s e l l U t f o r m i n g M 2 < / s t r i n g > < / k e y > < v a l u e > < i n t > 0 < / i n t > < / v a l u e > < / i t e m > < i t e m > < k e y > < s t r i n g > P r o j e c t S u p p o r t E n o v a < / s t r i n g > < / k e y > < v a l u e > < i n t > 0 < / i n t > < / v a l u e > < / i t e m > < i t e m > < k e y > < s t r i n g > P r o j e c t S u p p o r t H u s b a n k e n < / s t r i n g > < / k e y > < v a l u e > < i n t > 0 < / i n t > < / v a l u e > < / i t e m > < i t e m > < k e y > < s t r i n g > P u b l i s h e d I n < / s t r i n g > < / k e y > < v a l u e > < i n t > 0 < / i n t > < / v a l u e > < / i t e m > < i t e m > < k e y > < s t r i n g > R e f e r e n c e s < / s t r i n g > < / k e y > < v a l u e > < i n t > 0 < / i n t > < / v a l u e > < / i t e m > < i t e m > < k e y > < s t r i n g > S e a r c h S u m m a r y < / s t r i n g > < / k e y > < v a l u e > < i n t > 0 < / i n t > < / v a l u e > < / i t e m > < i t e m > < k e y > < s t r i n g > L e g g   t i l   k o l o n n e < / s t r i n g > < / k e y > < v a l u e > < i n t > 0 < / i n t > < / v a l u e > < / i t e m > < / C o l u m n A c c u r a c y > < C o l u m n C u r r e n c y S y m b o l > < i t e m > < k e y > < s t r i n g > I d < / s t r i n g > < / k e y > < v a l u e > < s t r i n g > k r < / s t r i n g > < / v a l u e > < / i t e m > < i t e m > < k e y > < s t r i n g > L i s t O r d e r < / s t r i n g > < / k e y > < v a l u e > < s t r i n g > k r < / s t r i n g > < / v a l u e > < / i t e m > < i t e m > < k e y > < s t r i n g > I m a g e U r l < / s t r i n g > < / k e y > < v a l u e > < s t r i n g > k r < / s t r i n g > < / v a l u e > < / i t e m > < i t e m > < k e y > < s t r i n g > T h u m b n a i l U r l < / s t r i n g > < / k e y > < v a l u e > < s t r i n g > k r < / s t r i n g > < / v a l u e > < / i t e m > < i t e m > < k e y > < s t r i n g > N a m e < / s t r i n g > < / k e y > < v a l u e > < s t r i n g > k r < / s t r i n g > < / v a l u e > < / i t e m > < i t e m > < k e y > < s t r i n g > A u t h o r < / s t r i n g > < / k e y > < v a l u e > < s t r i n g > k r < / s t r i n g > < / v a l u e > < / i t e m > < i t e m > < k e y > < s t r i n g > U p d a t e d < / s t r i n g > < / k e y > < v a l u e > < s t r i n g > k r < / s t r i n g > < / v a l u e > < / i t e m > < i t e m > < k e y > < s t r i n g > S u b T i t l e < / s t r i n g > < / k e y > < v a l u e > < s t r i n g > k r < / s t r i n g > < / v a l u e > < / i t e m > < i t e m > < k e y > < s t r i n g > A u t h o r S i g n a t u r e < / s t r i n g > < / k e y > < v a l u e > < s t r i n g > k r < / s t r i n g > < / v a l u e > < / i t e m > < i t e m > < k e y > < s t r i n g > P r o j e c t O w n e r N a m e < / s t r i n g > < / k e y > < v a l u e > < s t r i n g > k r < / s t r i n g > < / v a l u e > < / i t e m > < i t e m > < k e y > < s t r i n g > P r o j e c t O w n e r I d < / s t r i n g > < / k e y > < v a l u e > < s t r i n g > k r < / s t r i n g > < / v a l u e > < / i t e m > < i t e m > < k e y > < s t r i n g > E d i t o r i a l R e s p o n s i b i l i t y < / s t r i n g > < / k e y > < v a l u e > < s t r i n g > k r < / s t r i n g > < / v a l u e > < / i t e m > < i t e m > < k e y > < s t r i n g > S h o r t D e s c r i p t i o n < / s t r i n g > < / k e y > < v a l u e > < s t r i n g > k r < / s t r i n g > < / v a l u e > < / i t e m > < i t e m > < k e y > < s t r i n g > G e n e r a l P r o j e c t T y p e < / s t r i n g > < / k e y > < v a l u e > < s t r i n g > k r < / s t r i n g > < / v a l u e > < / i t e m > < i t e m > < k e y > < s t r i n g > P r o j e c t S t a t u s < / s t r i n g > < / k e y > < v a l u e > < s t r i n g > k r < / s t r i n g > < / v a l u e > < / i t e m > < i t e m > < k e y > < s t r i n g > F i n i s h e d P r o j e c t < / s t r i n g > < / k e y > < v a l u e > < s t r i n g > k r < / s t r i n g > < / v a l u e > < / i t e m > < i t e m > < k e y > < s t r i n g > E n g l i s h C o n t e n t < / s t r i n g > < / k e y > < v a l u e > < s t r i n g > k r < / s t r i n g > < / v a l u e > < / i t e m > < i t e m > < k e y > < s t r i n g > H i d e O n E c o b o x < / s t r i n g > < / k e y > < v a l u e > < s t r i n g > k r < / s t r i n g > < / v a l u e > < / i t e m > < i t e m > < k e y > < s t r i n g > H i d e F r o m P r o j e c t F r o n t P a g e < / s t r i n g > < / k e y > < v a l u e > < s t r i n g > k r < / s t r i n g > < / v a l u e > < / i t e m > < i t e m > < k e y > < s t r i n g > C o n t a c t < / s t r i n g > < / k e y > < v a l u e > < s t r i n g > k r < / s t r i n g > < / v a l u e > < / i t e m > < i t e m > < k e y > < s t r i n g > C o n t a c t P h o n e < / s t r i n g > < / k e y > < v a l u e > < s t r i n g > k r < / s t r i n g > < / v a l u e > < / i t e m > < i t e m > < k e y > < s t r i n g > C o n t a c t E m a i l < / s t r i n g > < / k e y > < v a l u e > < s t r i n g > k r < / s t r i n g > < / v a l u e > < / i t e m > < i t e m > < k e y > < s t r i n g > F B y e r E x t e r n a l T a g s C o u n t < / s t r i n g > < / k e y > < v a l u e > < s t r i n g > k r < / s t r i n g > < / v a l u e > < / i t e m > < i t e m > < k e y > < s t r i n g > E x t e r n a l T a g s C o u n t < / s t r i n g > < / k e y > < v a l u e > < s t r i n g > k r < / s t r i n g > < / v a l u e > < / i t e m > < i t e m > < k e y > < s t r i n g > E x t e r n a l P r o j e c t D B U s e r s C o u n t < / s t r i n g > < / k e y > < v a l u e > < s t r i n g > k r < / s t r i n g > < / v a l u e > < / i t e m > < i t e m > < k e y > < s t r i n g > E c o M e a s u r e s C o u n t < / s t r i n g > < / k e y > < v a l u e > < s t r i n g > k r < / s t r i n g > < / v a l u e > < / i t e m > < i t e m > < k e y > < s t r i n g > E c o n o m y H e a d e r < / s t r i n g > < / k e y > < v a l u e > < s t r i n g > k r < / s t r i n g > < / v a l u e > < / i t e m > < i t e m > < k e y > < s t r i n g > E c o n o m y < / s t r i n g > < / k e y > < v a l u e > < s t r i n g > k r < / s t r i n g > < / v a l u e > < / i t e m > < i t e m > < k e y > < s t r i n g > C o s t B e n e f i t E v a l u a t i o n s C o u n t < / s t r i n g > < / k e y > < v a l u e > < s t r i n g > k r < / s t r i n g > < / v a l u e > < / i t e m > < i t e m > < k e y > < s t r i n g > C l o s i n g P a r a g r a p h H e a d e r < / s t r i n g > < / k e y > < v a l u e > < s t r i n g > k r < / s t r i n g > < / v a l u e > < / i t e m > < i t e m > < k e y > < s t r i n g > C l o s i n g P a r a g r a p h < / s t r i n g > < / k e y > < v a l u e > < s t r i n g > k r < / s t r i n g > < / v a l u e > < / i t e m > < i t e m > < k e y > < s t r i n g > P r o j e c t r e s p o n s i b l e F B N a m e < / s t r i n g > < / k e y > < v a l u e > < s t r i n g > k r < / s t r i n g > < / v a l u e > < / i t e m > < i t e m > < k e y > < s t r i n g > P r o j e c t r e s p o n s i b l e F B I d < / s t r i n g > < / k e y > < v a l u e > < s t r i n g > k r < / s t r i n g > < / v a l u e > < / i t e m > < i t e m > < k e y > < s t r i n g > R e s p o n s i b l e D e p a r t m e n t < / s t r i n g > < / k e y > < v a l u e > < s t r i n g > k r < / s t r i n g > < / v a l u e > < / i t e m > < i t e m > < k e y > < s t r i n g > P r o j e c t A d d r e s s < / s t r i n g > < / k e y > < v a l u e > < s t r i n g > k r < / s t r i n g > < / v a l u e > < / i t e m > < i t e m > < k e y > < s t r i n g > L o c a t i o n < / s t r i n g > < / k e y > < v a l u e > < s t r i n g > k r < / s t r i n g > < / v a l u e > < / i t e m > < i t e m > < k e y > < s t r i n g > M u n i c i p a l i t i e s C o u n t < / s t r i n g > < / k e y > < v a l u e > < s t r i n g > k r < / s t r i n g > < / v a l u e > < / i t e m > < i t e m > < k e y > < s t r i n g > M a p L a t i t u d e < / s t r i n g > < / k e y > < v a l u e > < s t r i n g > k r < / s t r i n g > < / v a l u e > < / i t e m > < i t e m > < k e y > < s t r i n g > M a p L o n g i t u d e < / s t r i n g > < / k e y > < v a l u e > < s t r i n g > k r < / s t r i n g > < / v a l u e > < / i t e m > < i t e m > < k e y > < s t r i n g > M a p Z o o m L e v e l < / s t r i n g > < / k e y > < v a l u e > < s t r i n g > k r < / s t r i n g > < / v a l u e > < / i t e m > < i t e m > < k e y > < s t r i n g > P r o j e c t P e r i o d < / s t r i n g > < / k e y > < v a l u e > < s t r i n g > k r < / s t r i n g > < / v a l u e > < / i t e m > < i t e m > < k e y > < s t r i n g > C o n s t r u c t i o n S t a r t e d Y e a r < / s t r i n g > < / k e y > < v a l u e > < s t r i n g > k r < / s t r i n g > < / v a l u e > < / i t e m > < i t e m > < k e y > < s t r i n g > C o n s t r u c t i o n C o m p l e t e d Y e a r < / s t r i n g > < / k e y > < v a l u e > < s t r i n g > k r < / s t r i n g > < / v a l u e > < / i t e m > < i t e m > < k e y > < s t r i n g > P a r t n e r s C o u n t < / s t r i n g > < / k e y > < v a l u e > < s t r i n g > k r < / s t r i n g > < / v a l u e > < / i t e m > < i t e m > < k e y > < s t r i n g > O t h e r s I n v o l v e d < / s t r i n g > < / k e y > < v a l u e > < s t r i n g > k r < / s t r i n g > < / v a l u e > < / i t e m > < i t e m > < k e y > < s t r i n g > K e y w o r d M e a s u r e s C o u n t < / s t r i n g > < / k e y > < v a l u e > < s t r i n g > k r < / s t r i n g > < / v a l u e > < / i t e m > < i t e m > < k e y > < s t r i n g > C o l l a b o r a t i o n < / s t r i n g > < / k e y > < v a l u e > < s t r i n g > k r < / s t r i n g > < / v a l u e > < / i t e m > < i t e m > < k e y > < s t r i n g > M u n i c i p a l i t i e s C o l l a b o r a t i o n < / s t r i n g > < / k e y > < v a l u e > < s t r i n g > k r < / s t r i n g > < / v a l u e > < / i t e m > < i t e m > < k e y > < s t r i n g > P r i v a t e C o l l a b o r a t i o n < / s t r i n g > < / k e y > < v a l u e > < s t r i n g > k r < / s t r i n g > < / v a l u e > < / i t e m > < i t e m > < k e y > < s t r i n g > O t h e r C o l l a b o r a t i o n < / s t r i n g > < / k e y > < v a l u e > < s t r i n g > k r < / s t r i n g > < / v a l u e > < / i t e m > < i t e m > < k e y > < s t r i n g > P r o g r e s s D e s c r i p t i o n < / s t r i n g > < / k e y > < v a l u e > < s t r i n g > k r < / s t r i n g > < / v a l u e > < / i t e m > < i t e m > < k e y > < s t r i n g > P r o g r e s s S t a t u s < / s t r i n g > < / k e y > < v a l u e > < s t r i n g > k r < / s t r i n g > < / v a l u e > < / i t e m > < i t e m > < k e y > < s t r i n g > F B y e r O t h e r R e s u l t s < / s t r i n g > < / k e y > < v a l u e > < s t r i n g > k r < / s t r i n g > < / v a l u e > < / i t e m > < i t e m > < k e y > < s t r i n g > F B y e r C o s t s < / s t r i n g > < / k e y > < v a l u e > < s t r i n g > k r < / s t r i n g > < / v a l u e > < / i t e m > < i t e m > < k e y > < s t r i n g > F B y e r I m p o r t a n c e < / s t r i n g > < / k e y > < v a l u e > < s t r i n g > k r < / s t r i n g > < / v a l u e > < / i t e m > < i t e m > < k e y > < s t r i n g > F B y e r T i m e U s a g e < / s t r i n g > < / k e y > < v a l u e > < s t r i n g > k r < / s t r i n g > < / v a l u e > < / i t e m > < i t e m > < k e y > < s t r i n g > F B y e r P e o p l e I n f o r m e d < / s t r i n g > < / k e y > < v a l u e > < s t r i n g > k r < / s t r i n g > < / v a l u e > < / i t e m > < i t e m > < k e y > < s t r i n g > F B y e r O t h e r R e m a r k s < / s t r i n g > < / k e y > < v a l u e > < s t r i n g > k r < / s t r i n g > < / v a l u e > < / i t e m > < i t e m > < k e y > < s t r i n g > P r o j e c t P h a s e C o u n t < / s t r i n g > < / k e y > < v a l u e > < s t r i n g > k r < / s t r i n g > < / v a l u e > < / i t e m > < i t e m > < k e y > < s t r i n g > P r o j e c t T y p e s C o u n t < / s t r i n g > < / k e y > < v a l u e > < s t r i n g > k r < / s t r i n g > < / v a l u e > < / i t e m > < i t e m > < k e y > < s t r i n g > F u n c t i o n B u i l d i n g C a t e g o r y C o u n t < / s t r i n g > < / k e y > < v a l u e > < s t r i n g > k r < / s t r i n g > < / v a l u e > < / i t e m > < i t e m > < k e y > < s t r i n g > P r o j e c t C o m p e t i t i o n F o r m C o u n t < / s t r i n g > < / k e y > < v a l u e > < s t r i n g > k r < / s t r i n g > < / v a l u e > < / i t e m > < i t e m > < k e y > < s t r i n g > P r o j e c t C o n t r a c t i n g F o r m C o u n t < / s t r i n g > < / k e y > < v a l u e > < s t r i n g > k r < / s t r i n g > < / v a l u e > < / i t e m > < i t e m > < k e y > < s t r i n g > P r o j e c t E n v i r o n m e n t a l S t a n d a r d C o u n t < / s t r i n g > < / k e y > < v a l u e > < s t r i n g > k r < / s t r i n g > < / v a l u e > < / i t e m > < i t e m > < k e y > < s t r i n g > P r o j e c t A w a r d s C o u n t < / s t r i n g > < / k e y > < v a l u e > < s t r i n g > k r < / s t r i n g > < / v a l u e > < / i t e m > < i t e m > < k e y > < s t r i n g > P r o j e c t R o l e M o d e l C o u n t < / s t r i n g > < / k e y > < v a l u e > < s t r i n g > k r < / s t r i n g > < / v a l u e > < / i t e m > < i t e m > < k e y > < s t r i n g > P r o j e c t R e s e a r c h C o u n t < / s t r i n g > < / k e y > < v a l u e > < s t r i n g > k r < / s t r i n g > < / v a l u e > < / i t e m > < i t e m > < k e y > < s t r i n g > P r o j e c t A r c h i t e c t u r e G u i d e C o u n t < / s t r i n g > < / k e y > < v a l u e > < s t r i n g > k r < / s t r i n g > < / v a l u e > < / i t e m > < i t e m > < k e y > < s t r i n g > B u i l d e r s C o u n t < / s t r i n g > < / k e y > < v a l u e > < s t r i n g > k r < / s t r i n g > < / v a l u e > < / i t e m > < i t e m > < k e y > < s t r i n g > A r c h i t e c t A R K C o u n t < / s t r i n g > < / k e y > < v a l u e > < s t r i n g > k r < / s t r i n g > < / v a l u e > < / i t e m > < i t e m > < k e y > < s t r i n g > A r c h i t e c t L A R K C o u n t < / s t r i n g > < / k e y > < v a l u e > < s t r i n g > k r < / s t r i n g > < / v a l u e > < / i t e m > < i t e m > < k e y > < s t r i n g > A r c h i t e c t I A R K C o u n t < / s t r i n g > < / k e y > < v a l u e > < s t r i n g > k r < / s t r i n g > < / v a l u e > < / i t e m > < i t e m > < k e y > < s t r i n g > O r i g i n a l A r c h i t e c t C o u n t < / s t r i n g > < / k e y > < v a l u e > < s t r i n g > k r < / s t r i n g > < / v a l u e > < / i t e m > < i t e m > < k e y > < s t r i n g > P r o j e c t M a n a g a g e r s C o u n t < / s t r i n g > < / k e y > < v a l u e > < s t r i n g > k r < / s t r i n g > < / v a l u e > < / i t e m > < i t e m > < k e y > < s t r i n g > E n v i r o n m e n t C o n s u l t a n t s C o u n t < / s t r i n g > < / k e y > < v a l u e > < s t r i n g > k r < / s t r i n g > < / v a l u e > < / i t e m > < i t e m > < k e y > < s t r i n g > E n e r g y C o n s u l t a n t s C o u n t < / s t r i n g > < / k e y > < v a l u e > < s t r i n g > k r < / s t r i n g > < / v a l u e > < / i t e m > < i t e m > < k e y > < s t r i n g > U n i v e r s a l D e s i g n C o n s u l t a n t s C o u n t < / s t r i n g > < / k e y > < v a l u e > < s t r i n g > k r < / s t r i n g > < / v a l u e > < / i t e m > < i t e m > < k e y > < s t r i n g > A d v i s o r I n g B y g g N a m e < / s t r i n g > < / k e y > < v a l u e > < s t r i n g > k r < / s t r i n g > < / v a l u e > < / i t e m > < i t e m > < k e y > < s t r i n g > A d v i s o r I n g B y g g I d < / s t r i n g > < / k e y > < v a l u e > < s t r i n g > k r < / s t r i n g > < / v a l u e > < / i t e m > < i t e m > < k e y > < s t r i n g > A d v i s o r I n g V V S N a m e < / s t r i n g > < / k e y > < v a l u e > < s t r i n g > k r < / s t r i n g > < / v a l u e > < / i t e m > < i t e m > < k e y > < s t r i n g > A d v i s o r I n g V V S I d < / s t r i n g > < / k e y > < v a l u e > < s t r i n g > k r < / s t r i n g > < / v a l u e > < / i t e m > < i t e m > < k e y > < s t r i n g > A d v i s o r I n g E l e k t r o N a m e < / s t r i n g > < / k e y > < v a l u e > < s t r i n g > k r < / s t r i n g > < / v a l u e > < / i t e m > < i t e m > < k e y > < s t r i n g > A d v i s o r I n g E l e k t r o I d < / s t r i n g > < / k e y > < v a l u e > < s t r i n g > k r < / s t r i n g > < / v a l u e > < / i t e m > < i t e m > < k e y > < s t r i n g > A d v i s o r i n g B u i l d i n g P h y s i c s N a m e < / s t r i n g > < / k e y > < v a l u e > < s t r i n g > k r < / s t r i n g > < / v a l u e > < / i t e m > < i t e m > < k e y > < s t r i n g > A d v i s o r i n g B u i l d i n g P h y s i c s I d < / s t r i n g > < / k e y > < v a l u e > < s t r i n g > k r < / s t r i n g > < / v a l u e > < / i t e m > < i t e m > < k e y > < s t r i n g > A d v i s o r I n g F i r e S a f e t y N a m e < / s t r i n g > < / k e y > < v a l u e > < s t r i n g > k r < / s t r i n g > < / v a l u e > < / i t e m > < i t e m > < k e y > < s t r i n g > A d v i s o r I n g F i r e S a f e t y I d < / s t r i n g > < / k e y > < v a l u e > < s t r i n g > k r < / s t r i n g > < / v a l u e > < / i t e m > < i t e m > < k e y > < s t r i n g > A d v i s o r I n g A c o u s t i c s N a m e < / s t r i n g > < / k e y > < v a l u e > < s t r i n g > k r < / s t r i n g > < / v a l u e > < / i t e m > < i t e m > < k e y > < s t r i n g > A d v i s o r I n g A c o u s t i c s I d < / s t r i n g > < / k e y > < v a l u e > < s t r i n g > k r < / s t r i n g > < / v a l u e > < / i t e m > < i t e m > < k e y > < s t r i n g > O t h e r A d v i s o r s < / s t r i n g > < / k e y > < v a l u e > < s t r i n g > k r < / s t r i n g > < / v a l u e > < / i t e m > < i t e m > < k e y > < s t r i n g > C o n t r a c t o r s C o u n t < / s t r i n g > < / k e y > < v a l u e > < s t r i n g > k r < / s t r i n g > < / v a l u e > < / i t e m > < i t e m > < k e y > < s t r i n g > C o n s t r u c t i o n M a n a g e m e n t C o u n t < / s t r i n g > < / k e y > < v a l u e > < s t r i n g > k r < / s t r i n g > < / v a l u e > < / i t e m > < i t e m > < k e y > < s t r i n g > S u p p l i e r s C o u n t < / s t r i n g > < / k e y > < v a l u e > < s t r i n g > k r < / s t r i n g > < / v a l u e > < / i t e m > < i t e m > < k e y > < s t r i n g > S u b C o n t r a c t o r s < / s t r i n g > < / k e y > < v a l u e > < s t r i n g > k r < / s t r i n g > < / v a l u e > < / i t e m > < i t e m > < k e y > < s t r i n g > S h o w K e y F i g u r e s < / s t r i n g > < / k e y > < v a l u e > < s t r i n g > k r < / s t r i n g > < / v a l u e > < / i t e m > < i t e m > < k e y > < s t r i n g > A r e a U s e d < / s t r i n g > < / k e y > < v a l u e > < s t r i n g > k r < / s t r i n g > < / v a l u e > < / i t e m > < i t e m > < k e y > < s t r i n g > N u m b e r O f R e s i d e n t s < / s t r i n g > < / k e y > < v a l u e > < s t r i n g > k r < / s t r i n g > < / v a l u e > < / i t e m > < i t e m > < k e y > < s t r i n g > S q u a r e F o o t B T A < / s t r i n g > < / k e y > < v a l u e > < s t r i n g > k r < / s t r i n g > < / v a l u e > < / i t e m > < i t e m > < k e y > < s t r i n g > G r o s s S q u a r e F o o t B T A < / s t r i n g > < / k e y > < v a l u e > < s t r i n g > k r < / s t r i n g > < / v a l u e > < / i t e m > < i t e m > < k e y > < s t r i n g > G r o s s S q u a r e F o o t < / s t r i n g > < / k e y > < v a l u e > < s t r i n g > k r < / s t r i n g > < / v a l u e > < / i t e m > < i t e m > < k e y > < s t r i n g > G r o s s S q u a r e F o o t H e a t e d < / s t r i n g > < / k e y > < v a l u e > < s t r i n g > k r < / s t r i n g > < / v a l u e > < / i t e m > < i t e m > < k e y > < s t r i n g > S q u a r e F o o t G l a s s < / s t r i n g > < / k e y > < v a l u e > < s t r i n g > k r < / s t r i n g > < / v a l u e > < / i t e m > < i t e m > < k e y > < s t r i n g > C o m p a c t n e s s F a c t o r < / s t r i n g > < / k e y > < v a l u e > < s t r i n g > k r < / s t r i n g > < / v a l u e > < / i t e m > < i t e m > < k e y > < s t r i n g > G r e e n A r e a I n c e a s e < / s t r i n g > < / k e y > < v a l u e > < s t r i n g > k r < / s t r i n g > < / v a l u e > < / i t e m > < i t e m > < k e y > < s t r i n g > H a r d A r e a R e d u c t i o n < / s t r i n g > < / k e y > < v a l u e > < s t r i n g > k r < / s t r i n g > < / v a l u e > < / i t e m > < i t e m > < k e y > < s t r i n g > W a l k w a y s L e n g t h < / s t r i n g > < / k e y > < v a l u e > < s t r i n g > k r < / s t r i n g > < / v a l u e > < / i t e m > < i t e m > < k e y > < s t r i n g > D i s t a n c e T o C o l l e c t i v e P o i n t < / s t r i n g > < / k e y > < v a l u e > < s t r i n g > k r < / s t r i n g > < / v a l u e > < / i t e m > < i t e m > < k e y > < s t r i n g > D i s t a n c e T o C i t y C e n t e r < / s t r i n g > < / k e y > < v a l u e > < s t r i n g > k r < / s t r i n g > < / v a l u e > < / i t e m > < i t e m > < k e y > < s t r i n g > P a r k i n g A r e a < / s t r i n g > < / k e y > < v a l u e > < s t r i n g > k r < / s t r i n g > < / v a l u e > < / i t e m > < i t e m > < k e y > < s t r i n g > P a r k i n g S p o t s P e r U n i t < / s t r i n g > < / k e y > < v a l u e > < s t r i n g > k r < / s t r i n g > < / v a l u e > < / i t e m > < i t e m > < k e y > < s t r i n g > B i k e P a r k i n g A r e a < / s t r i n g > < / k e y > < v a l u e > < s t r i n g > k r < / s t r i n g > < / v a l u e > < / i t e m > < i t e m > < k e y > < s t r i n g > B i k e P a r k i n g S p o t s P e r U n i t < / s t r i n g > < / k e y > < v a l u e > < s t r i n g > k r < / s t r i n g > < / v a l u e > < / i t e m > < i t e m > < k e y > < s t r i n g > F B y e r C O 2 < / s t r i n g > < / k e y > < v a l u e > < s t r i n g > k r < / s t r i n g > < / v a l u e > < / i t e m > < i t e m > < k e y > < s t r i n g > C O 2 M e t h o d < / s t r i n g > < / k e y > < v a l u e > < s t r i n g > k r < / s t r i n g > < / v a l u e > < / i t e m > < i t e m > < k e y > < s t r i n g > C O 2 R e f e r e n c e E n e r g y < / s t r i n g > < / k e y > < v a l u e > < s t r i n g > k r < / s t r i n g > < / v a l u e > < / i t e m > < i t e m > < k e y > < s t r i n g > C O 2 R e f e r e n c e M a t e r i a l s < / s t r i n g > < / k e y > < v a l u e > < s t r i n g > k r < / s t r i n g > < / v a l u e > < / i t e m > < i t e m > < k e y > < s t r i n g > C O 2 R e f e r e n c e T r a n s p o r t < / s t r i n g > < / k e y > < v a l u e > < s t r i n g > k r < / s t r i n g > < / v a l u e > < / i t e m > < i t e m > < k e y > < s t r i n g > C O 2 D e s i g n e d E n e r g y < / s t r i n g > < / k e y > < v a l u e > < s t r i n g > k r < / s t r i n g > < / v a l u e > < / i t e m > < i t e m > < k e y > < s t r i n g > C O 2 D e s i g n e d M a t e r i a l s < / s t r i n g > < / k e y > < v a l u e > < s t r i n g > k r < / s t r i n g > < / v a l u e > < / i t e m > < i t e m > < k e y > < s t r i n g > C O 2 D e s i g n e d T r a n s p o r t < / s t r i n g > < / k e y > < v a l u e > < s t r i n g > k r < / s t r i n g > < / v a l u e > < / i t e m > < i t e m > < k e y > < s t r i n g > C O 2 F i n i s h e d E n e r g y < / s t r i n g > < / k e y > < v a l u e > < s t r i n g > k r < / s t r i n g > < / v a l u e > < / i t e m > < i t e m > < k e y > < s t r i n g > C O 2 F i n i s h e d M a t e r i a l s < / s t r i n g > < / k e y > < v a l u e > < s t r i n g > k r < / s t r i n g > < / v a l u e > < / i t e m > < i t e m > < k e y > < s t r i n g > C O 2 F i n i s h e d T r a n s p o r t < / s t r i n g > < / k e y > < v a l u e > < s t r i n g > k r < / s t r i n g > < / v a l u e > < / i t e m > < i t e m > < k e y > < s t r i n g > C O 2 I n U s e E n e r g y < / s t r i n g > < / k e y > < v a l u e > < s t r i n g > k r < / s t r i n g > < / v a l u e > < / i t e m > < i t e m > < k e y > < s t r i n g > C O 2 I n U s e M a t e r i a l s < / s t r i n g > < / k e y > < v a l u e > < s t r i n g > k r < / s t r i n g > < / v a l u e > < / i t e m > < i t e m > < k e y > < s t r i n g > C O 2 I n U s e T r a n s p o r t < / s t r i n g > < / k e y > < v a l u e > < s t r i n g > k r < / s t r i n g > < / v a l u e > < / i t e m > < i t e m > < k e y > < s t r i n g > E n e r g y L a b e l < / s t r i n g > < / k e y > < v a l u e > < s t r i n g > k r < / s t r i n g > < / v a l u e > < / i t e m > < i t e m > < k e y > < s t r i n g > H e a t R a t i n g < / s t r i n g > < / k e y > < v a l u e > < s t r i n g > k r < / s t r i n g > < / v a l u e > < / i t e m > < i t e m > < k e y > < s t r i n g > E n e r g y C o n s u m p t i o n < / s t r i n g > < / k e y > < v a l u e > < s t r i n g > k r < / s t r i n g > < / v a l u e > < / i t e m > < i t e m > < k e y > < s t r i n g > E n e r g y S o u r c e s < / s t r i n g > < / k e y > < v a l u e > < s t r i n g > k r < / s t r i n g > < / v a l u e > < / i t e m > < i t e m > < k e y > < s t r i n g > N e t E n e r g y 3 7 0 0 < / s t r i n g > < / k e y > < v a l u e > < s t r i n g > k r < / s t r i n g > < / v a l u e > < / i t e m > < i t e m > < k e y > < s t r i n g > E s t i m a t e d D e l i v e r e d E n e r g y 3 7 0 0 < / s t r i n g > < / k e y > < v a l u e > < s t r i n g > k r < / s t r i n g > < / v a l u e > < / i t e m > < i t e m > < k e y > < s t r i n g > N e t E n e r g y < / s t r i n g > < / k e y > < v a l u e > < s t r i n g > k r < / s t r i n g > < / v a l u e > < / i t e m > < i t e m > < k e y > < s t r i n g > E s t i m a t e d D e l i v e r e d E n e r g y < / s t r i n g > < / k e y > < v a l u e > < s t r i n g > k r < / s t r i n g > < / v a l u e > < / i t e m > < i t e m > < k e y > < s t r i n g > E n e r g y S a v i n g s < / s t r i n g > < / k e y > < v a l u e > < s t r i n g > k r < / s t r i n g > < / v a l u e > < / i t e m > < i t e m > < k e y > < s t r i n g > E n e r g y C o n v e r t e d F r o m E l e c t r i c i t y T o R e n e w a b l e < / s t r i n g > < / k e y > < v a l u e > < s t r i n g > k r < / s t r i n g > < / v a l u e > < / i t e m > < i t e m > < k e y > < s t r i n g > E n e r g y C o n v e r t e d F r o m F o s s i l T o R e n e w a b l e < / s t r i n g > < / k e y > < v a l u e > < s t r i n g > k r < / s t r i n g > < / v a l u e > < / i t e m > < i t e m > < k e y > < s t r i n g > E n e r g y D e l i v e r e d < / s t r i n g > < / k e y > < v a l u e > < s t r i n g > k r < / s t r i n g > < / v a l u e > < / i t e m > < i t e m > < k e y > < s t r i n g > E n o v a F a c t s E n e r g y < / s t r i n g > < / k e y > < v a l u e > < s t r i n g > k r < / s t r i n g > < / v a l u e > < / i t e m > < i t e m > < k e y > < s t r i n g > E n o v a F a c t s C o m f o r t < / s t r i n g > < / k e y > < v a l u e > < s t r i n g > k r < / s t r i n g > < / v a l u e > < / i t e m > < i t e m > < k e y > < s t r i n g > U V a l u e R o o f < / s t r i n g > < / k e y > < v a l u e > < s t r i n g > k r < / s t r i n g > < / v a l u e > < / i t e m > < i t e m > < k e y > < s t r i n g > U V a l u e F l o o r < / s t r i n g > < / k e y > < v a l u e > < s t r i n g > k r < / s t r i n g > < / v a l u e > < / i t e m > < i t e m > < k e y > < s t r i n g > U V a l u e W a l l < / s t r i n g > < / k e y > < v a l u e > < s t r i n g > k r < / s t r i n g > < / v a l u e > < / i t e m > < i t e m > < k e y > < s t r i n g > U V a l u e W i n d o w < / s t r i n g > < / k e y > < v a l u e > < s t r i n g > k r < / s t r i n g > < / v a l u e > < / i t e m > < i t e m > < k e y > < s t r i n g > M e a s u r e d A i r T i g h t n e s s < / s t r i n g > < / k e y > < v a l u e > < s t r i n g > k r < / s t r i n g > < / v a l u e > < / i t e m > < i t e m > < k e y > < s t r i n g > S p e c i f i c F a n P o w e r < / s t r i n g > < / k e y > < v a l u e > < s t r i n g > k r < / s t r i n g > < / v a l u e > < / i t e m > < i t e m > < k e y > < s t r i n g > H e a t R e c o v e r y E f f i c i e n c y < / s t r i n g > < / k e y > < v a l u e > < s t r i n g > k r < / s t r i n g > < / v a l u e > < / i t e m > < i t e m > < k e y > < s t r i n g > R o o m H e a t i n g < / s t r i n g > < / k e y > < v a l u e > < s t r i n g > k r < / s t r i n g > < / v a l u e > < / i t e m > < i t e m > < k e y > < s t r i n g > V e n t i l a t i o n H e a t i n g < / s t r i n g > < / k e y > < v a l u e > < s t r i n g > k r < / s t r i n g > < / v a l u e > < / i t e m > < i t e m > < k e y > < s t r i n g > D o m e s t i c H o t W a t e r < / s t r i n g > < / k e y > < v a l u e > < s t r i n g > k r < / s t r i n g > < / v a l u e > < / i t e m > < i t e m > < k e y > < s t r i n g > F a n A d m i n i s t r a t i o n < / s t r i n g > < / k e y > < v a l u e > < s t r i n g > k r < / s t r i n g > < / v a l u e > < / i t e m > < i t e m > < k e y > < s t r i n g > P u m p A d m i n i s t r a t i o n < / s t r i n g > < / k e y > < v a l u e > < s t r i n g > k r < / s t r i n g > < / v a l u e > < / i t e m > < i t e m > < k e y > < s t r i n g > L i g h t i n g < / s t r i n g > < / k e y > < v a l u e > < s t r i n g > k r < / s t r i n g > < / v a l u e > < / i t e m > < i t e m > < k e y > < s t r i n g > T e c h n i c a l E q u i p m e n t < / s t r i n g > < / k e y > < v a l u e > < s t r i n g > k r < / s t r i n g > < / v a l u e > < / i t e m > < i t e m > < k e y > < s t r i n g > R o o m C o o l i n g < / s t r i n g > < / k e y > < v a l u e > < s t r i n g > k r < / s t r i n g > < / v a l u e > < / i t e m > < i t e m > < k e y > < s t r i n g > V e n t i l a t i o n C o o l i n g < / s t r i n g > < / k e y > < v a l u e > < s t r i n g > k r < / s t r i n g > < / v a l u e > < / i t e m > < i t e m > < k e y > < s t r i n g > O t h e r E n e r g y P o s t s < / s t r i n g > < / k e y > < v a l u e > < s t r i n g > k r < / s t r i n g > < / v a l u e > < / i t e m > < i t e m > < k e y > < s t r i n g > E n e r g y E f f i c i e n c y M e t h o d < / s t r i n g > < / k e y > < v a l u e > < s t r i n g > k r < / s t r i n g > < / v a l u e > < / i t e m > < i t e m > < k e y > < s t r i n g > M a n u f a c t u r e r s < / s t r i n g > < / k e y > < v a l u e > < s t r i n g > k r < / s t r i n g > < / v a l u e > < / i t e m > < i t e m > < k e y > < s t r i n g > B u i l d i n g C o s t s < / s t r i n g > < / k e y > < v a l u e > < s t r i n g > k r < / s t r i n g > < / v a l u e > < / i t e m > < i t e m > < k e y > < s t r i n g > M e r k o s t n a d M 2 < / s t r i n g > < / k e y > < v a l u e > < s t r i n g > k r < / s t r i n g > < / v a l u e > < / i t e m > < i t e m > < k e y > < s t r i n g > M e r k o s t n a d E n e r g i M 2 E n o v a < / s t r i n g > < / k e y > < v a l u e > < s t r i n g > k r < / s t r i n g > < / v a l u e > < / i t e m > < i t e m > < k e y > < s t r i n g > M e r k o s t n a d U n i v e r s e l l U t f o r m i n g M 2 < / s t r i n g > < / k e y > < v a l u e > < s t r i n g > k r < / s t r i n g > < / v a l u e > < / i t e m > < i t e m > < k e y > < s t r i n g > P r o j e c t S u p p o r t E n o v a < / s t r i n g > < / k e y > < v a l u e > < s t r i n g > k r < / s t r i n g > < / v a l u e > < / i t e m > < i t e m > < k e y > < s t r i n g > P r o j e c t S u p p o r t H u s b a n k e n < / s t r i n g > < / k e y > < v a l u e > < s t r i n g > k r < / s t r i n g > < / v a l u e > < / i t e m > < i t e m > < k e y > < s t r i n g > P u b l i s h e d I n < / s t r i n g > < / k e y > < v a l u e > < s t r i n g > k r < / s t r i n g > < / v a l u e > < / i t e m > < i t e m > < k e y > < s t r i n g > R e f e r e n c e s < / s t r i n g > < / k e y > < v a l u e > < s t r i n g > k r < / s t r i n g > < / v a l u e > < / i t e m > < i t e m > < k e y > < s t r i n g > S e a r c h S u m m a r y < / s t r i n g > < / k e y > < v a l u e > < s t r i n g > k r < / s t r i n g > < / v a l u e > < / i t e m > < i t e m > < k e y > < s t r i n g > L e g g   t i l   k o l o n n e < / s t r i n g > < / k e y > < v a l u e > < s t r i n g > k r < / s t r i n g > < / v a l u e > < / i t e m > < / C o l u m n C u r r e n c y S y m b o l > < C o l u m n P o s i t i v e P a t t e r n > < i t e m > < k e y > < s t r i n g > I d < / s t r i n g > < / k e y > < v a l u e > < i n t > 2 < / i n t > < / v a l u e > < / i t e m > < i t e m > < k e y > < s t r i n g > L i s t O r d e r < / s t r i n g > < / k e y > < v a l u e > < i n t > 2 < / i n t > < / v a l u e > < / i t e m > < i t e m > < k e y > < s t r i n g > I m a g e U r l < / s t r i n g > < / k e y > < v a l u e > < i n t > 2 < / i n t > < / v a l u e > < / i t e m > < i t e m > < k e y > < s t r i n g > T h u m b n a i l U r l < / s t r i n g > < / k e y > < v a l u e > < i n t > 2 < / i n t > < / v a l u e > < / i t e m > < i t e m > < k e y > < s t r i n g > N a m e < / s t r i n g > < / k e y > < v a l u e > < i n t > 2 < / i n t > < / v a l u e > < / i t e m > < i t e m > < k e y > < s t r i n g > A u t h o r < / s t r i n g > < / k e y > < v a l u e > < i n t > 2 < / i n t > < / v a l u e > < / i t e m > < i t e m > < k e y > < s t r i n g > U p d a t e d < / s t r i n g > < / k e y > < v a l u e > < i n t > 2 < / i n t > < / v a l u e > < / i t e m > < i t e m > < k e y > < s t r i n g > S u b T i t l e < / s t r i n g > < / k e y > < v a l u e > < i n t > 2 < / i n t > < / v a l u e > < / i t e m > < i t e m > < k e y > < s t r i n g > A u t h o r S i g n a t u r e < / s t r i n g > < / k e y > < v a l u e > < i n t > 2 < / i n t > < / v a l u e > < / i t e m > < i t e m > < k e y > < s t r i n g > P r o j e c t O w n e r N a m e < / s t r i n g > < / k e y > < v a l u e > < i n t > 2 < / i n t > < / v a l u e > < / i t e m > < i t e m > < k e y > < s t r i n g > P r o j e c t O w n e r I d < / s t r i n g > < / k e y > < v a l u e > < i n t > 2 < / i n t > < / v a l u e > < / i t e m > < i t e m > < k e y > < s t r i n g > E d i t o r i a l R e s p o n s i b i l i t y < / s t r i n g > < / k e y > < v a l u e > < i n t > 2 < / i n t > < / v a l u e > < / i t e m > < i t e m > < k e y > < s t r i n g > S h o r t D e s c r i p t i o n < / s t r i n g > < / k e y > < v a l u e > < i n t > 2 < / i n t > < / v a l u e > < / i t e m > < i t e m > < k e y > < s t r i n g > G e n e r a l P r o j e c t T y p e < / s t r i n g > < / k e y > < v a l u e > < i n t > 2 < / i n t > < / v a l u e > < / i t e m > < i t e m > < k e y > < s t r i n g > P r o j e c t S t a t u s < / s t r i n g > < / k e y > < v a l u e > < i n t > 2 < / i n t > < / v a l u e > < / i t e m > < i t e m > < k e y > < s t r i n g > F i n i s h e d P r o j e c t < / s t r i n g > < / k e y > < v a l u e > < i n t > 2 < / i n t > < / v a l u e > < / i t e m > < i t e m > < k e y > < s t r i n g > E n g l i s h C o n t e n t < / s t r i n g > < / k e y > < v a l u e > < i n t > 2 < / i n t > < / v a l u e > < / i t e m > < i t e m > < k e y > < s t r i n g > H i d e O n E c o b o x < / s t r i n g > < / k e y > < v a l u e > < i n t > 2 < / i n t > < / v a l u e > < / i t e m > < i t e m > < k e y > < s t r i n g > H i d e F r o m P r o j e c t F r o n t P a g e < / s t r i n g > < / k e y > < v a l u e > < i n t > 2 < / i n t > < / v a l u e > < / i t e m > < i t e m > < k e y > < s t r i n g > C o n t a c t < / s t r i n g > < / k e y > < v a l u e > < i n t > 2 < / i n t > < / v a l u e > < / i t e m > < i t e m > < k e y > < s t r i n g > C o n t a c t P h o n e < / s t r i n g > < / k e y > < v a l u e > < i n t > 2 < / i n t > < / v a l u e > < / i t e m > < i t e m > < k e y > < s t r i n g > C o n t a c t E m a i l < / s t r i n g > < / k e y > < v a l u e > < i n t > 2 < / i n t > < / v a l u e > < / i t e m > < i t e m > < k e y > < s t r i n g > F B y e r E x t e r n a l T a g s C o u n t < / s t r i n g > < / k e y > < v a l u e > < i n t > 2 < / i n t > < / v a l u e > < / i t e m > < i t e m > < k e y > < s t r i n g > E x t e r n a l T a g s C o u n t < / s t r i n g > < / k e y > < v a l u e > < i n t > 2 < / i n t > < / v a l u e > < / i t e m > < i t e m > < k e y > < s t r i n g > E x t e r n a l P r o j e c t D B U s e r s C o u n t < / s t r i n g > < / k e y > < v a l u e > < i n t > 2 < / i n t > < / v a l u e > < / i t e m > < i t e m > < k e y > < s t r i n g > E c o M e a s u r e s C o u n t < / s t r i n g > < / k e y > < v a l u e > < i n t > 2 < / i n t > < / v a l u e > < / i t e m > < i t e m > < k e y > < s t r i n g > E c o n o m y H e a d e r < / s t r i n g > < / k e y > < v a l u e > < i n t > 2 < / i n t > < / v a l u e > < / i t e m > < i t e m > < k e y > < s t r i n g > E c o n o m y < / s t r i n g > < / k e y > < v a l u e > < i n t > 2 < / i n t > < / v a l u e > < / i t e m > < i t e m > < k e y > < s t r i n g > C o s t B e n e f i t E v a l u a t i o n s C o u n t < / s t r i n g > < / k e y > < v a l u e > < i n t > 2 < / i n t > < / v a l u e > < / i t e m > < i t e m > < k e y > < s t r i n g > C l o s i n g P a r a g r a p h H e a d e r < / s t r i n g > < / k e y > < v a l u e > < i n t > 2 < / i n t > < / v a l u e > < / i t e m > < i t e m > < k e y > < s t r i n g > C l o s i n g P a r a g r a p h < / s t r i n g > < / k e y > < v a l u e > < i n t > 2 < / i n t > < / v a l u e > < / i t e m > < i t e m > < k e y > < s t r i n g > P r o j e c t r e s p o n s i b l e F B N a m e < / s t r i n g > < / k e y > < v a l u e > < i n t > 2 < / i n t > < / v a l u e > < / i t e m > < i t e m > < k e y > < s t r i n g > P r o j e c t r e s p o n s i b l e F B I d < / s t r i n g > < / k e y > < v a l u e > < i n t > 2 < / i n t > < / v a l u e > < / i t e m > < i t e m > < k e y > < s t r i n g > R e s p o n s i b l e D e p a r t m e n t < / s t r i n g > < / k e y > < v a l u e > < i n t > 2 < / i n t > < / v a l u e > < / i t e m > < i t e m > < k e y > < s t r i n g > P r o j e c t A d d r e s s < / s t r i n g > < / k e y > < v a l u e > < i n t > 2 < / i n t > < / v a l u e > < / i t e m > < i t e m > < k e y > < s t r i n g > L o c a t i o n < / s t r i n g > < / k e y > < v a l u e > < i n t > 2 < / i n t > < / v a l u e > < / i t e m > < i t e m > < k e y > < s t r i n g > M u n i c i p a l i t i e s C o u n t < / s t r i n g > < / k e y > < v a l u e > < i n t > 2 < / i n t > < / v a l u e > < / i t e m > < i t e m > < k e y > < s t r i n g > M a p L a t i t u d e < / s t r i n g > < / k e y > < v a l u e > < i n t > 2 < / i n t > < / v a l u e > < / i t e m > < i t e m > < k e y > < s t r i n g > M a p L o n g i t u d e < / s t r i n g > < / k e y > < v a l u e > < i n t > 2 < / i n t > < / v a l u e > < / i t e m > < i t e m > < k e y > < s t r i n g > M a p Z o o m L e v e l < / s t r i n g > < / k e y > < v a l u e > < i n t > 2 < / i n t > < / v a l u e > < / i t e m > < i t e m > < k e y > < s t r i n g > P r o j e c t P e r i o d < / s t r i n g > < / k e y > < v a l u e > < i n t > 2 < / i n t > < / v a l u e > < / i t e m > < i t e m > < k e y > < s t r i n g > C o n s t r u c t i o n S t a r t e d Y e a r < / s t r i n g > < / k e y > < v a l u e > < i n t > 2 < / i n t > < / v a l u e > < / i t e m > < i t e m > < k e y > < s t r i n g > C o n s t r u c t i o n C o m p l e t e d Y e a r < / s t r i n g > < / k e y > < v a l u e > < i n t > 2 < / i n t > < / v a l u e > < / i t e m > < i t e m > < k e y > < s t r i n g > P a r t n e r s C o u n t < / s t r i n g > < / k e y > < v a l u e > < i n t > 2 < / i n t > < / v a l u e > < / i t e m > < i t e m > < k e y > < s t r i n g > O t h e r s I n v o l v e d < / s t r i n g > < / k e y > < v a l u e > < i n t > 2 < / i n t > < / v a l u e > < / i t e m > < i t e m > < k e y > < s t r i n g > K e y w o r d M e a s u r e s C o u n t < / s t r i n g > < / k e y > < v a l u e > < i n t > 2 < / i n t > < / v a l u e > < / i t e m > < i t e m > < k e y > < s t r i n g > C o l l a b o r a t i o n < / s t r i n g > < / k e y > < v a l u e > < i n t > 2 < / i n t > < / v a l u e > < / i t e m > < i t e m > < k e y > < s t r i n g > M u n i c i p a l i t i e s C o l l a b o r a t i o n < / s t r i n g > < / k e y > < v a l u e > < i n t > 2 < / i n t > < / v a l u e > < / i t e m > < i t e m > < k e y > < s t r i n g > P r i v a t e C o l l a b o r a t i o n < / s t r i n g > < / k e y > < v a l u e > < i n t > 2 < / i n t > < / v a l u e > < / i t e m > < i t e m > < k e y > < s t r i n g > O t h e r C o l l a b o r a t i o n < / s t r i n g > < / k e y > < v a l u e > < i n t > 2 < / i n t > < / v a l u e > < / i t e m > < i t e m > < k e y > < s t r i n g > P r o g r e s s D e s c r i p t i o n < / s t r i n g > < / k e y > < v a l u e > < i n t > 2 < / i n t > < / v a l u e > < / i t e m > < i t e m > < k e y > < s t r i n g > P r o g r e s s S t a t u s < / s t r i n g > < / k e y > < v a l u e > < i n t > 2 < / i n t > < / v a l u e > < / i t e m > < i t e m > < k e y > < s t r i n g > F B y e r O t h e r R e s u l t s < / s t r i n g > < / k e y > < v a l u e > < i n t > 2 < / i n t > < / v a l u e > < / i t e m > < i t e m > < k e y > < s t r i n g > F B y e r C o s t s < / s t r i n g > < / k e y > < v a l u e > < i n t > 2 < / i n t > < / v a l u e > < / i t e m > < i t e m > < k e y > < s t r i n g > F B y e r I m p o r t a n c e < / s t r i n g > < / k e y > < v a l u e > < i n t > 2 < / i n t > < / v a l u e > < / i t e m > < i t e m > < k e y > < s t r i n g > F B y e r T i m e U s a g e < / s t r i n g > < / k e y > < v a l u e > < i n t > 2 < / i n t > < / v a l u e > < / i t e m > < i t e m > < k e y > < s t r i n g > F B y e r P e o p l e I n f o r m e d < / s t r i n g > < / k e y > < v a l u e > < i n t > 2 < / i n t > < / v a l u e > < / i t e m > < i t e m > < k e y > < s t r i n g > F B y e r O t h e r R e m a r k s < / s t r i n g > < / k e y > < v a l u e > < i n t > 2 < / i n t > < / v a l u e > < / i t e m > < i t e m > < k e y > < s t r i n g > P r o j e c t P h a s e C o u n t < / s t r i n g > < / k e y > < v a l u e > < i n t > 2 < / i n t > < / v a l u e > < / i t e m > < i t e m > < k e y > < s t r i n g > P r o j e c t T y p e s C o u n t < / s t r i n g > < / k e y > < v a l u e > < i n t > 2 < / i n t > < / v a l u e > < / i t e m > < i t e m > < k e y > < s t r i n g > F u n c t i o n B u i l d i n g C a t e g o r y C o u n t < / s t r i n g > < / k e y > < v a l u e > < i n t > 2 < / i n t > < / v a l u e > < / i t e m > < i t e m > < k e y > < s t r i n g > P r o j e c t C o m p e t i t i o n F o r m C o u n t < / s t r i n g > < / k e y > < v a l u e > < i n t > 2 < / i n t > < / v a l u e > < / i t e m > < i t e m > < k e y > < s t r i n g > P r o j e c t C o n t r a c t i n g F o r m C o u n t < / s t r i n g > < / k e y > < v a l u e > < i n t > 2 < / i n t > < / v a l u e > < / i t e m > < i t e m > < k e y > < s t r i n g > P r o j e c t E n v i r o n m e n t a l S t a n d a r d C o u n t < / s t r i n g > < / k e y > < v a l u e > < i n t > 2 < / i n t > < / v a l u e > < / i t e m > < i t e m > < k e y > < s t r i n g > P r o j e c t A w a r d s C o u n t < / s t r i n g > < / k e y > < v a l u e > < i n t > 2 < / i n t > < / v a l u e > < / i t e m > < i t e m > < k e y > < s t r i n g > P r o j e c t R o l e M o d e l C o u n t < / s t r i n g > < / k e y > < v a l u e > < i n t > 2 < / i n t > < / v a l u e > < / i t e m > < i t e m > < k e y > < s t r i n g > P r o j e c t R e s e a r c h C o u n t < / s t r i n g > < / k e y > < v a l u e > < i n t > 2 < / i n t > < / v a l u e > < / i t e m > < i t e m > < k e y > < s t r i n g > P r o j e c t A r c h i t e c t u r e G u i d e C o u n t < / s t r i n g > < / k e y > < v a l u e > < i n t > 2 < / i n t > < / v a l u e > < / i t e m > < i t e m > < k e y > < s t r i n g > B u i l d e r s C o u n t < / s t r i n g > < / k e y > < v a l u e > < i n t > 2 < / i n t > < / v a l u e > < / i t e m > < i t e m > < k e y > < s t r i n g > A r c h i t e c t A R K C o u n t < / s t r i n g > < / k e y > < v a l u e > < i n t > 2 < / i n t > < / v a l u e > < / i t e m > < i t e m > < k e y > < s t r i n g > A r c h i t e c t L A R K C o u n t < / s t r i n g > < / k e y > < v a l u e > < i n t > 2 < / i n t > < / v a l u e > < / i t e m > < i t e m > < k e y > < s t r i n g > A r c h i t e c t I A R K C o u n t < / s t r i n g > < / k e y > < v a l u e > < i n t > 2 < / i n t > < / v a l u e > < / i t e m > < i t e m > < k e y > < s t r i n g > O r i g i n a l A r c h i t e c t C o u n t < / s t r i n g > < / k e y > < v a l u e > < i n t > 2 < / i n t > < / v a l u e > < / i t e m > < i t e m > < k e y > < s t r i n g > P r o j e c t M a n a g a g e r s C o u n t < / s t r i n g > < / k e y > < v a l u e > < i n t > 2 < / i n t > < / v a l u e > < / i t e m > < i t e m > < k e y > < s t r i n g > E n v i r o n m e n t C o n s u l t a n t s C o u n t < / s t r i n g > < / k e y > < v a l u e > < i n t > 2 < / i n t > < / v a l u e > < / i t e m > < i t e m > < k e y > < s t r i n g > E n e r g y C o n s u l t a n t s C o u n t < / s t r i n g > < / k e y > < v a l u e > < i n t > 2 < / i n t > < / v a l u e > < / i t e m > < i t e m > < k e y > < s t r i n g > U n i v e r s a l D e s i g n C o n s u l t a n t s C o u n t < / s t r i n g > < / k e y > < v a l u e > < i n t > 2 < / i n t > < / v a l u e > < / i t e m > < i t e m > < k e y > < s t r i n g > A d v i s o r I n g B y g g N a m e < / s t r i n g > < / k e y > < v a l u e > < i n t > 2 < / i n t > < / v a l u e > < / i t e m > < i t e m > < k e y > < s t r i n g > A d v i s o r I n g B y g g I d < / s t r i n g > < / k e y > < v a l u e > < i n t > 2 < / i n t > < / v a l u e > < / i t e m > < i t e m > < k e y > < s t r i n g > A d v i s o r I n g V V S N a m e < / s t r i n g > < / k e y > < v a l u e > < i n t > 2 < / i n t > < / v a l u e > < / i t e m > < i t e m > < k e y > < s t r i n g > A d v i s o r I n g V V S I d < / s t r i n g > < / k e y > < v a l u e > < i n t > 2 < / i n t > < / v a l u e > < / i t e m > < i t e m > < k e y > < s t r i n g > A d v i s o r I n g E l e k t r o N a m e < / s t r i n g > < / k e y > < v a l u e > < i n t > 2 < / i n t > < / v a l u e > < / i t e m > < i t e m > < k e y > < s t r i n g > A d v i s o r I n g E l e k t r o I d < / s t r i n g > < / k e y > < v a l u e > < i n t > 2 < / i n t > < / v a l u e > < / i t e m > < i t e m > < k e y > < s t r i n g > A d v i s o r i n g B u i l d i n g P h y s i c s N a m e < / s t r i n g > < / k e y > < v a l u e > < i n t > 2 < / i n t > < / v a l u e > < / i t e m > < i t e m > < k e y > < s t r i n g > A d v i s o r i n g B u i l d i n g P h y s i c s I d < / s t r i n g > < / k e y > < v a l u e > < i n t > 2 < / i n t > < / v a l u e > < / i t e m > < i t e m > < k e y > < s t r i n g > A d v i s o r I n g F i r e S a f e t y N a m e < / s t r i n g > < / k e y > < v a l u e > < i n t > 2 < / i n t > < / v a l u e > < / i t e m > < i t e m > < k e y > < s t r i n g > A d v i s o r I n g F i r e S a f e t y I d < / s t r i n g > < / k e y > < v a l u e > < i n t > 2 < / i n t > < / v a l u e > < / i t e m > < i t e m > < k e y > < s t r i n g > A d v i s o r I n g A c o u s t i c s N a m e < / s t r i n g > < / k e y > < v a l u e > < i n t > 2 < / i n t > < / v a l u e > < / i t e m > < i t e m > < k e y > < s t r i n g > A d v i s o r I n g A c o u s t i c s I d < / s t r i n g > < / k e y > < v a l u e > < i n t > 2 < / i n t > < / v a l u e > < / i t e m > < i t e m > < k e y > < s t r i n g > O t h e r A d v i s o r s < / s t r i n g > < / k e y > < v a l u e > < i n t > 2 < / i n t > < / v a l u e > < / i t e m > < i t e m > < k e y > < s t r i n g > C o n t r a c t o r s C o u n t < / s t r i n g > < / k e y > < v a l u e > < i n t > 2 < / i n t > < / v a l u e > < / i t e m > < i t e m > < k e y > < s t r i n g > C o n s t r u c t i o n M a n a g e m e n t C o u n t < / s t r i n g > < / k e y > < v a l u e > < i n t > 2 < / i n t > < / v a l u e > < / i t e m > < i t e m > < k e y > < s t r i n g > S u p p l i e r s C o u n t < / s t r i n g > < / k e y > < v a l u e > < i n t > 2 < / i n t > < / v a l u e > < / i t e m > < i t e m > < k e y > < s t r i n g > S u b C o n t r a c t o r s < / s t r i n g > < / k e y > < v a l u e > < i n t > 2 < / i n t > < / v a l u e > < / i t e m > < i t e m > < k e y > < s t r i n g > S h o w K e y F i g u r e s < / s t r i n g > < / k e y > < v a l u e > < i n t > 2 < / i n t > < / v a l u e > < / i t e m > < i t e m > < k e y > < s t r i n g > A r e a U s e d < / s t r i n g > < / k e y > < v a l u e > < i n t > 2 < / i n t > < / v a l u e > < / i t e m > < i t e m > < k e y > < s t r i n g > N u m b e r O f R e s i d e n t s < / s t r i n g > < / k e y > < v a l u e > < i n t > 2 < / i n t > < / v a l u e > < / i t e m > < i t e m > < k e y > < s t r i n g > S q u a r e F o o t B T A < / s t r i n g > < / k e y > < v a l u e > < i n t > 2 < / i n t > < / v a l u e > < / i t e m > < i t e m > < k e y > < s t r i n g > G r o s s S q u a r e F o o t B T A < / s t r i n g > < / k e y > < v a l u e > < i n t > 2 < / i n t > < / v a l u e > < / i t e m > < i t e m > < k e y > < s t r i n g > G r o s s S q u a r e F o o t < / s t r i n g > < / k e y > < v a l u e > < i n t > 2 < / i n t > < / v a l u e > < / i t e m > < i t e m > < k e y > < s t r i n g > G r o s s S q u a r e F o o t H e a t e d < / s t r i n g > < / k e y > < v a l u e > < i n t > 2 < / i n t > < / v a l u e > < / i t e m > < i t e m > < k e y > < s t r i n g > S q u a r e F o o t G l a s s < / s t r i n g > < / k e y > < v a l u e > < i n t > 2 < / i n t > < / v a l u e > < / i t e m > < i t e m > < k e y > < s t r i n g > C o m p a c t n e s s F a c t o r < / s t r i n g > < / k e y > < v a l u e > < i n t > 2 < / i n t > < / v a l u e > < / i t e m > < i t e m > < k e y > < s t r i n g > G r e e n A r e a I n c e a s e < / s t r i n g > < / k e y > < v a l u e > < i n t > 2 < / i n t > < / v a l u e > < / i t e m > < i t e m > < k e y > < s t r i n g > H a r d A r e a R e d u c t i o n < / s t r i n g > < / k e y > < v a l u e > < i n t > 2 < / i n t > < / v a l u e > < / i t e m > < i t e m > < k e y > < s t r i n g > W a l k w a y s L e n g t h < / s t r i n g > < / k e y > < v a l u e > < i n t > 2 < / i n t > < / v a l u e > < / i t e m > < i t e m > < k e y > < s t r i n g > D i s t a n c e T o C o l l e c t i v e P o i n t < / s t r i n g > < / k e y > < v a l u e > < i n t > 2 < / i n t > < / v a l u e > < / i t e m > < i t e m > < k e y > < s t r i n g > D i s t a n c e T o C i t y C e n t e r < / s t r i n g > < / k e y > < v a l u e > < i n t > 2 < / i n t > < / v a l u e > < / i t e m > < i t e m > < k e y > < s t r i n g > P a r k i n g A r e a < / s t r i n g > < / k e y > < v a l u e > < i n t > 2 < / i n t > < / v a l u e > < / i t e m > < i t e m > < k e y > < s t r i n g > P a r k i n g S p o t s P e r U n i t < / s t r i n g > < / k e y > < v a l u e > < i n t > 2 < / i n t > < / v a l u e > < / i t e m > < i t e m > < k e y > < s t r i n g > B i k e P a r k i n g A r e a < / s t r i n g > < / k e y > < v a l u e > < i n t > 2 < / i n t > < / v a l u e > < / i t e m > < i t e m > < k e y > < s t r i n g > B i k e P a r k i n g S p o t s P e r U n i t < / s t r i n g > < / k e y > < v a l u e > < i n t > 2 < / i n t > < / v a l u e > < / i t e m > < i t e m > < k e y > < s t r i n g > F B y e r C O 2 < / s t r i n g > < / k e y > < v a l u e > < i n t > 2 < / i n t > < / v a l u e > < / i t e m > < i t e m > < k e y > < s t r i n g > C O 2 M e t h o d < / s t r i n g > < / k e y > < v a l u e > < i n t > 2 < / i n t > < / v a l u e > < / i t e m > < i t e m > < k e y > < s t r i n g > C O 2 R e f e r e n c e E n e r g y < / s t r i n g > < / k e y > < v a l u e > < i n t > 2 < / i n t > < / v a l u e > < / i t e m > < i t e m > < k e y > < s t r i n g > C O 2 R e f e r e n c e M a t e r i a l s < / s t r i n g > < / k e y > < v a l u e > < i n t > 2 < / i n t > < / v a l u e > < / i t e m > < i t e m > < k e y > < s t r i n g > C O 2 R e f e r e n c e T r a n s p o r t < / s t r i n g > < / k e y > < v a l u e > < i n t > 2 < / i n t > < / v a l u e > < / i t e m > < i t e m > < k e y > < s t r i n g > C O 2 D e s i g n e d E n e r g y < / s t r i n g > < / k e y > < v a l u e > < i n t > 2 < / i n t > < / v a l u e > < / i t e m > < i t e m > < k e y > < s t r i n g > C O 2 D e s i g n e d M a t e r i a l s < / s t r i n g > < / k e y > < v a l u e > < i n t > 2 < / i n t > < / v a l u e > < / i t e m > < i t e m > < k e y > < s t r i n g > C O 2 D e s i g n e d T r a n s p o r t < / s t r i n g > < / k e y > < v a l u e > < i n t > 2 < / i n t > < / v a l u e > < / i t e m > < i t e m > < k e y > < s t r i n g > C O 2 F i n i s h e d E n e r g y < / s t r i n g > < / k e y > < v a l u e > < i n t > 2 < / i n t > < / v a l u e > < / i t e m > < i t e m > < k e y > < s t r i n g > C O 2 F i n i s h e d M a t e r i a l s < / s t r i n g > < / k e y > < v a l u e > < i n t > 2 < / i n t > < / v a l u e > < / i t e m > < i t e m > < k e y > < s t r i n g > C O 2 F i n i s h e d T r a n s p o r t < / s t r i n g > < / k e y > < v a l u e > < i n t > 2 < / i n t > < / v a l u e > < / i t e m > < i t e m > < k e y > < s t r i n g > C O 2 I n U s e E n e r g y < / s t r i n g > < / k e y > < v a l u e > < i n t > 2 < / i n t > < / v a l u e > < / i t e m > < i t e m > < k e y > < s t r i n g > C O 2 I n U s e M a t e r i a l s < / s t r i n g > < / k e y > < v a l u e > < i n t > 2 < / i n t > < / v a l u e > < / i t e m > < i t e m > < k e y > < s t r i n g > C O 2 I n U s e T r a n s p o r t < / s t r i n g > < / k e y > < v a l u e > < i n t > 2 < / i n t > < / v a l u e > < / i t e m > < i t e m > < k e y > < s t r i n g > E n e r g y L a b e l < / s t r i n g > < / k e y > < v a l u e > < i n t > 2 < / i n t > < / v a l u e > < / i t e m > < i t e m > < k e y > < s t r i n g > H e a t R a t i n g < / s t r i n g > < / k e y > < v a l u e > < i n t > 2 < / i n t > < / v a l u e > < / i t e m > < i t e m > < k e y > < s t r i n g > E n e r g y C o n s u m p t i o n < / s t r i n g > < / k e y > < v a l u e > < i n t > 2 < / i n t > < / v a l u e > < / i t e m > < i t e m > < k e y > < s t r i n g > E n e r g y S o u r c e s < / s t r i n g > < / k e y > < v a l u e > < i n t > 2 < / i n t > < / v a l u e > < / i t e m > < i t e m > < k e y > < s t r i n g > N e t E n e r g y 3 7 0 0 < / s t r i n g > < / k e y > < v a l u e > < i n t > 2 < / i n t > < / v a l u e > < / i t e m > < i t e m > < k e y > < s t r i n g > E s t i m a t e d D e l i v e r e d E n e r g y 3 7 0 0 < / s t r i n g > < / k e y > < v a l u e > < i n t > 2 < / i n t > < / v a l u e > < / i t e m > < i t e m > < k e y > < s t r i n g > N e t E n e r g y < / s t r i n g > < / k e y > < v a l u e > < i n t > 2 < / i n t > < / v a l u e > < / i t e m > < i t e m > < k e y > < s t r i n g > E s t i m a t e d D e l i v e r e d E n e r g y < / s t r i n g > < / k e y > < v a l u e > < i n t > 2 < / i n t > < / v a l u e > < / i t e m > < i t e m > < k e y > < s t r i n g > E n e r g y S a v i n g s < / s t r i n g > < / k e y > < v a l u e > < i n t > 2 < / i n t > < / v a l u e > < / i t e m > < i t e m > < k e y > < s t r i n g > E n e r g y C o n v e r t e d F r o m E l e c t r i c i t y T o R e n e w a b l e < / s t r i n g > < / k e y > < v a l u e > < i n t > 2 < / i n t > < / v a l u e > < / i t e m > < i t e m > < k e y > < s t r i n g > E n e r g y C o n v e r t e d F r o m F o s s i l T o R e n e w a b l e < / s t r i n g > < / k e y > < v a l u e > < i n t > 2 < / i n t > < / v a l u e > < / i t e m > < i t e m > < k e y > < s t r i n g > E n e r g y D e l i v e r e d < / s t r i n g > < / k e y > < v a l u e > < i n t > 2 < / i n t > < / v a l u e > < / i t e m > < i t e m > < k e y > < s t r i n g > E n o v a F a c t s E n e r g y < / s t r i n g > < / k e y > < v a l u e > < i n t > 2 < / i n t > < / v a l u e > < / i t e m > < i t e m > < k e y > < s t r i n g > E n o v a F a c t s C o m f o r t < / s t r i n g > < / k e y > < v a l u e > < i n t > 2 < / i n t > < / v a l u e > < / i t e m > < i t e m > < k e y > < s t r i n g > U V a l u e R o o f < / s t r i n g > < / k e y > < v a l u e > < i n t > 2 < / i n t > < / v a l u e > < / i t e m > < i t e m > < k e y > < s t r i n g > U V a l u e F l o o r < / s t r i n g > < / k e y > < v a l u e > < i n t > 2 < / i n t > < / v a l u e > < / i t e m > < i t e m > < k e y > < s t r i n g > U V a l u e W a l l < / s t r i n g > < / k e y > < v a l u e > < i n t > 2 < / i n t > < / v a l u e > < / i t e m > < i t e m > < k e y > < s t r i n g > U V a l u e W i n d o w < / s t r i n g > < / k e y > < v a l u e > < i n t > 2 < / i n t > < / v a l u e > < / i t e m > < i t e m > < k e y > < s t r i n g > M e a s u r e d A i r T i g h t n e s s < / s t r i n g > < / k e y > < v a l u e > < i n t > 2 < / i n t > < / v a l u e > < / i t e m > < i t e m > < k e y > < s t r i n g > S p e c i f i c F a n P o w e r < / s t r i n g > < / k e y > < v a l u e > < i n t > 2 < / i n t > < / v a l u e > < / i t e m > < i t e m > < k e y > < s t r i n g > H e a t R e c o v e r y E f f i c i e n c y < / s t r i n g > < / k e y > < v a l u e > < i n t > 2 < / i n t > < / v a l u e > < / i t e m > < i t e m > < k e y > < s t r i n g > R o o m H e a t i n g < / s t r i n g > < / k e y > < v a l u e > < i n t > 2 < / i n t > < / v a l u e > < / i t e m > < i t e m > < k e y > < s t r i n g > V e n t i l a t i o n H e a t i n g < / s t r i n g > < / k e y > < v a l u e > < i n t > 2 < / i n t > < / v a l u e > < / i t e m > < i t e m > < k e y > < s t r i n g > D o m e s t i c H o t W a t e r < / s t r i n g > < / k e y > < v a l u e > < i n t > 2 < / i n t > < / v a l u e > < / i t e m > < i t e m > < k e y > < s t r i n g > F a n A d m i n i s t r a t i o n < / s t r i n g > < / k e y > < v a l u e > < i n t > 2 < / i n t > < / v a l u e > < / i t e m > < i t e m > < k e y > < s t r i n g > P u m p A d m i n i s t r a t i o n < / s t r i n g > < / k e y > < v a l u e > < i n t > 2 < / i n t > < / v a l u e > < / i t e m > < i t e m > < k e y > < s t r i n g > L i g h t i n g < / s t r i n g > < / k e y > < v a l u e > < i n t > 2 < / i n t > < / v a l u e > < / i t e m > < i t e m > < k e y > < s t r i n g > T e c h n i c a l E q u i p m e n t < / s t r i n g > < / k e y > < v a l u e > < i n t > 2 < / i n t > < / v a l u e > < / i t e m > < i t e m > < k e y > < s t r i n g > R o o m C o o l i n g < / s t r i n g > < / k e y > < v a l u e > < i n t > 2 < / i n t > < / v a l u e > < / i t e m > < i t e m > < k e y > < s t r i n g > V e n t i l a t i o n C o o l i n g < / s t r i n g > < / k e y > < v a l u e > < i n t > 2 < / i n t > < / v a l u e > < / i t e m > < i t e m > < k e y > < s t r i n g > O t h e r E n e r g y P o s t s < / s t r i n g > < / k e y > < v a l u e > < i n t > 2 < / i n t > < / v a l u e > < / i t e m > < i t e m > < k e y > < s t r i n g > E n e r g y E f f i c i e n c y M e t h o d < / s t r i n g > < / k e y > < v a l u e > < i n t > 2 < / i n t > < / v a l u e > < / i t e m > < i t e m > < k e y > < s t r i n g > M a n u f a c t u r e r s < / s t r i n g > < / k e y > < v a l u e > < i n t > 2 < / i n t > < / v a l u e > < / i t e m > < i t e m > < k e y > < s t r i n g > B u i l d i n g C o s t s < / s t r i n g > < / k e y > < v a l u e > < i n t > 2 < / i n t > < / v a l u e > < / i t e m > < i t e m > < k e y > < s t r i n g > M e r k o s t n a d M 2 < / s t r i n g > < / k e y > < v a l u e > < i n t > 2 < / i n t > < / v a l u e > < / i t e m > < i t e m > < k e y > < s t r i n g > M e r k o s t n a d E n e r g i M 2 E n o v a < / s t r i n g > < / k e y > < v a l u e > < i n t > 2 < / i n t > < / v a l u e > < / i t e m > < i t e m > < k e y > < s t r i n g > M e r k o s t n a d U n i v e r s e l l U t f o r m i n g M 2 < / s t r i n g > < / k e y > < v a l u e > < i n t > 2 < / i n t > < / v a l u e > < / i t e m > < i t e m > < k e y > < s t r i n g > P r o j e c t S u p p o r t E n o v a < / s t r i n g > < / k e y > < v a l u e > < i n t > 2 < / i n t > < / v a l u e > < / i t e m > < i t e m > < k e y > < s t r i n g > P r o j e c t S u p p o r t H u s b a n k e n < / s t r i n g > < / k e y > < v a l u e > < i n t > 2 < / i n t > < / v a l u e > < / i t e m > < i t e m > < k e y > < s t r i n g > P u b l i s h e d I n < / s t r i n g > < / k e y > < v a l u e > < i n t > 2 < / i n t > < / v a l u e > < / i t e m > < i t e m > < k e y > < s t r i n g > R e f e r e n c e s < / s t r i n g > < / k e y > < v a l u e > < i n t > 2 < / i n t > < / v a l u e > < / i t e m > < i t e m > < k e y > < s t r i n g > S e a r c h S u m m a r y < / s t r i n g > < / k e y > < v a l u e > < i n t > 2 < / i n t > < / v a l u e > < / i t e m > < i t e m > < k e y > < s t r i n g > L e g g   t i l   k o l o n n e < / s t r i n g > < / k e y > < v a l u e > < i n t > 2 < / i n t > < / v a l u e > < / i t e m > < / C o l u m n P o s i t i v e P a t t e r n > < C o l u m n N e g a t i v e P a t t e r n > < i t e m > < k e y > < s t r i n g > I d < / s t r i n g > < / k e y > < v a l u e > < i n t > 1 2 < / i n t > < / v a l u e > < / i t e m > < i t e m > < k e y > < s t r i n g > L i s t O r d e r < / s t r i n g > < / k e y > < v a l u e > < i n t > 1 2 < / i n t > < / v a l u e > < / i t e m > < i t e m > < k e y > < s t r i n g > I m a g e U r l < / s t r i n g > < / k e y > < v a l u e > < i n t > 1 2 < / i n t > < / v a l u e > < / i t e m > < i t e m > < k e y > < s t r i n g > T h u m b n a i l U r l < / s t r i n g > < / k e y > < v a l u e > < i n t > 1 2 < / i n t > < / v a l u e > < / i t e m > < i t e m > < k e y > < s t r i n g > N a m e < / s t r i n g > < / k e y > < v a l u e > < i n t > 1 2 < / i n t > < / v a l u e > < / i t e m > < i t e m > < k e y > < s t r i n g > A u t h o r < / s t r i n g > < / k e y > < v a l u e > < i n t > 1 2 < / i n t > < / v a l u e > < / i t e m > < i t e m > < k e y > < s t r i n g > U p d a t e d < / s t r i n g > < / k e y > < v a l u e > < i n t > 1 2 < / i n t > < / v a l u e > < / i t e m > < i t e m > < k e y > < s t r i n g > S u b T i t l e < / s t r i n g > < / k e y > < v a l u e > < i n t > 1 2 < / i n t > < / v a l u e > < / i t e m > < i t e m > < k e y > < s t r i n g > A u t h o r S i g n a t u r e < / s t r i n g > < / k e y > < v a l u e > < i n t > 1 2 < / i n t > < / v a l u e > < / i t e m > < i t e m > < k e y > < s t r i n g > P r o j e c t O w n e r N a m e < / s t r i n g > < / k e y > < v a l u e > < i n t > 1 2 < / i n t > < / v a l u e > < / i t e m > < i t e m > < k e y > < s t r i n g > P r o j e c t O w n e r I d < / s t r i n g > < / k e y > < v a l u e > < i n t > 1 2 < / i n t > < / v a l u e > < / i t e m > < i t e m > < k e y > < s t r i n g > E d i t o r i a l R e s p o n s i b i l i t y < / s t r i n g > < / k e y > < v a l u e > < i n t > 1 2 < / i n t > < / v a l u e > < / i t e m > < i t e m > < k e y > < s t r i n g > S h o r t D e s c r i p t i o n < / s t r i n g > < / k e y > < v a l u e > < i n t > 1 2 < / i n t > < / v a l u e > < / i t e m > < i t e m > < k e y > < s t r i n g > G e n e r a l P r o j e c t T y p e < / s t r i n g > < / k e y > < v a l u e > < i n t > 1 2 < / i n t > < / v a l u e > < / i t e m > < i t e m > < k e y > < s t r i n g > P r o j e c t S t a t u s < / s t r i n g > < / k e y > < v a l u e > < i n t > 1 2 < / i n t > < / v a l u e > < / i t e m > < i t e m > < k e y > < s t r i n g > F i n i s h e d P r o j e c t < / s t r i n g > < / k e y > < v a l u e > < i n t > 1 2 < / i n t > < / v a l u e > < / i t e m > < i t e m > < k e y > < s t r i n g > E n g l i s h C o n t e n t < / s t r i n g > < / k e y > < v a l u e > < i n t > 1 2 < / i n t > < / v a l u e > < / i t e m > < i t e m > < k e y > < s t r i n g > H i d e O n E c o b o x < / s t r i n g > < / k e y > < v a l u e > < i n t > 1 2 < / i n t > < / v a l u e > < / i t e m > < i t e m > < k e y > < s t r i n g > H i d e F r o m P r o j e c t F r o n t P a g e < / s t r i n g > < / k e y > < v a l u e > < i n t > 1 2 < / i n t > < / v a l u e > < / i t e m > < i t e m > < k e y > < s t r i n g > C o n t a c t < / s t r i n g > < / k e y > < v a l u e > < i n t > 1 2 < / i n t > < / v a l u e > < / i t e m > < i t e m > < k e y > < s t r i n g > C o n t a c t P h o n e < / s t r i n g > < / k e y > < v a l u e > < i n t > 1 2 < / i n t > < / v a l u e > < / i t e m > < i t e m > < k e y > < s t r i n g > C o n t a c t E m a i l < / s t r i n g > < / k e y > < v a l u e > < i n t > 1 2 < / i n t > < / v a l u e > < / i t e m > < i t e m > < k e y > < s t r i n g > F B y e r E x t e r n a l T a g s C o u n t < / s t r i n g > < / k e y > < v a l u e > < i n t > 1 2 < / i n t > < / v a l u e > < / i t e m > < i t e m > < k e y > < s t r i n g > E x t e r n a l T a g s C o u n t < / s t r i n g > < / k e y > < v a l u e > < i n t > 1 2 < / i n t > < / v a l u e > < / i t e m > < i t e m > < k e y > < s t r i n g > E x t e r n a l P r o j e c t D B U s e r s C o u n t < / s t r i n g > < / k e y > < v a l u e > < i n t > 1 2 < / i n t > < / v a l u e > < / i t e m > < i t e m > < k e y > < s t r i n g > E c o M e a s u r e s C o u n t < / s t r i n g > < / k e y > < v a l u e > < i n t > 1 2 < / i n t > < / v a l u e > < / i t e m > < i t e m > < k e y > < s t r i n g > E c o n o m y H e a d e r < / s t r i n g > < / k e y > < v a l u e > < i n t > 1 2 < / i n t > < / v a l u e > < / i t e m > < i t e m > < k e y > < s t r i n g > E c o n o m y < / s t r i n g > < / k e y > < v a l u e > < i n t > 1 2 < / i n t > < / v a l u e > < / i t e m > < i t e m > < k e y > < s t r i n g > C o s t B e n e f i t E v a l u a t i o n s C o u n t < / s t r i n g > < / k e y > < v a l u e > < i n t > 1 2 < / i n t > < / v a l u e > < / i t e m > < i t e m > < k e y > < s t r i n g > C l o s i n g P a r a g r a p h H e a d e r < / s t r i n g > < / k e y > < v a l u e > < i n t > 1 2 < / i n t > < / v a l u e > < / i t e m > < i t e m > < k e y > < s t r i n g > C l o s i n g P a r a g r a p h < / s t r i n g > < / k e y > < v a l u e > < i n t > 1 2 < / i n t > < / v a l u e > < / i t e m > < i t e m > < k e y > < s t r i n g > P r o j e c t r e s p o n s i b l e F B N a m e < / s t r i n g > < / k e y > < v a l u e > < i n t > 1 2 < / i n t > < / v a l u e > < / i t e m > < i t e m > < k e y > < s t r i n g > P r o j e c t r e s p o n s i b l e F B I d < / s t r i n g > < / k e y > < v a l u e > < i n t > 1 2 < / i n t > < / v a l u e > < / i t e m > < i t e m > < k e y > < s t r i n g > R e s p o n s i b l e D e p a r t m e n t < / s t r i n g > < / k e y > < v a l u e > < i n t > 1 2 < / i n t > < / v a l u e > < / i t e m > < i t e m > < k e y > < s t r i n g > P r o j e c t A d d r e s s < / s t r i n g > < / k e y > < v a l u e > < i n t > 1 2 < / i n t > < / v a l u e > < / i t e m > < i t e m > < k e y > < s t r i n g > L o c a t i o n < / s t r i n g > < / k e y > < v a l u e > < i n t > 1 2 < / i n t > < / v a l u e > < / i t e m > < i t e m > < k e y > < s t r i n g > M u n i c i p a l i t i e s C o u n t < / s t r i n g > < / k e y > < v a l u e > < i n t > 1 2 < / i n t > < / v a l u e > < / i t e m > < i t e m > < k e y > < s t r i n g > M a p L a t i t u d e < / s t r i n g > < / k e y > < v a l u e > < i n t > 1 2 < / i n t > < / v a l u e > < / i t e m > < i t e m > < k e y > < s t r i n g > M a p L o n g i t u d e < / s t r i n g > < / k e y > < v a l u e > < i n t > 1 2 < / i n t > < / v a l u e > < / i t e m > < i t e m > < k e y > < s t r i n g > M a p Z o o m L e v e l < / s t r i n g > < / k e y > < v a l u e > < i n t > 1 2 < / i n t > < / v a l u e > < / i t e m > < i t e m > < k e y > < s t r i n g > P r o j e c t P e r i o d < / s t r i n g > < / k e y > < v a l u e > < i n t > 1 2 < / i n t > < / v a l u e > < / i t e m > < i t e m > < k e y > < s t r i n g > C o n s t r u c t i o n S t a r t e d Y e a r < / s t r i n g > < / k e y > < v a l u e > < i n t > 1 2 < / i n t > < / v a l u e > < / i t e m > < i t e m > < k e y > < s t r i n g > C o n s t r u c t i o n C o m p l e t e d Y e a r < / s t r i n g > < / k e y > < v a l u e > < i n t > 1 2 < / i n t > < / v a l u e > < / i t e m > < i t e m > < k e y > < s t r i n g > P a r t n e r s C o u n t < / s t r i n g > < / k e y > < v a l u e > < i n t > 1 2 < / i n t > < / v a l u e > < / i t e m > < i t e m > < k e y > < s t r i n g > O t h e r s I n v o l v e d < / s t r i n g > < / k e y > < v a l u e > < i n t > 1 2 < / i n t > < / v a l u e > < / i t e m > < i t e m > < k e y > < s t r i n g > K e y w o r d M e a s u r e s C o u n t < / s t r i n g > < / k e y > < v a l u e > < i n t > 1 2 < / i n t > < / v a l u e > < / i t e m > < i t e m > < k e y > < s t r i n g > C o l l a b o r a t i o n < / s t r i n g > < / k e y > < v a l u e > < i n t > 1 2 < / i n t > < / v a l u e > < / i t e m > < i t e m > < k e y > < s t r i n g > M u n i c i p a l i t i e s C o l l a b o r a t i o n < / s t r i n g > < / k e y > < v a l u e > < i n t > 1 2 < / i n t > < / v a l u e > < / i t e m > < i t e m > < k e y > < s t r i n g > P r i v a t e C o l l a b o r a t i o n < / s t r i n g > < / k e y > < v a l u e > < i n t > 1 2 < / i n t > < / v a l u e > < / i t e m > < i t e m > < k e y > < s t r i n g > O t h e r C o l l a b o r a t i o n < / s t r i n g > < / k e y > < v a l u e > < i n t > 1 2 < / i n t > < / v a l u e > < / i t e m > < i t e m > < k e y > < s t r i n g > P r o g r e s s D e s c r i p t i o n < / s t r i n g > < / k e y > < v a l u e > < i n t > 1 2 < / i n t > < / v a l u e > < / i t e m > < i t e m > < k e y > < s t r i n g > P r o g r e s s S t a t u s < / s t r i n g > < / k e y > < v a l u e > < i n t > 1 2 < / i n t > < / v a l u e > < / i t e m > < i t e m > < k e y > < s t r i n g > F B y e r O t h e r R e s u l t s < / s t r i n g > < / k e y > < v a l u e > < i n t > 1 2 < / i n t > < / v a l u e > < / i t e m > < i t e m > < k e y > < s t r i n g > F B y e r C o s t s < / s t r i n g > < / k e y > < v a l u e > < i n t > 1 2 < / i n t > < / v a l u e > < / i t e m > < i t e m > < k e y > < s t r i n g > F B y e r I m p o r t a n c e < / s t r i n g > < / k e y > < v a l u e > < i n t > 1 2 < / i n t > < / v a l u e > < / i t e m > < i t e m > < k e y > < s t r i n g > F B y e r T i m e U s a g e < / s t r i n g > < / k e y > < v a l u e > < i n t > 1 2 < / i n t > < / v a l u e > < / i t e m > < i t e m > < k e y > < s t r i n g > F B y e r P e o p l e I n f o r m e d < / s t r i n g > < / k e y > < v a l u e > < i n t > 1 2 < / i n t > < / v a l u e > < / i t e m > < i t e m > < k e y > < s t r i n g > F B y e r O t h e r R e m a r k s < / s t r i n g > < / k e y > < v a l u e > < i n t > 1 2 < / i n t > < / v a l u e > < / i t e m > < i t e m > < k e y > < s t r i n g > P r o j e c t P h a s e C o u n t < / s t r i n g > < / k e y > < v a l u e > < i n t > 1 2 < / i n t > < / v a l u e > < / i t e m > < i t e m > < k e y > < s t r i n g > P r o j e c t T y p e s C o u n t < / s t r i n g > < / k e y > < v a l u e > < i n t > 1 2 < / i n t > < / v a l u e > < / i t e m > < i t e m > < k e y > < s t r i n g > F u n c t i o n B u i l d i n g C a t e g o r y C o u n t < / s t r i n g > < / k e y > < v a l u e > < i n t > 1 2 < / i n t > < / v a l u e > < / i t e m > < i t e m > < k e y > < s t r i n g > P r o j e c t C o m p e t i t i o n F o r m C o u n t < / s t r i n g > < / k e y > < v a l u e > < i n t > 1 2 < / i n t > < / v a l u e > < / i t e m > < i t e m > < k e y > < s t r i n g > P r o j e c t C o n t r a c t i n g F o r m C o u n t < / s t r i n g > < / k e y > < v a l u e > < i n t > 1 2 < / i n t > < / v a l u e > < / i t e m > < i t e m > < k e y > < s t r i n g > P r o j e c t E n v i r o n m e n t a l S t a n d a r d C o u n t < / s t r i n g > < / k e y > < v a l u e > < i n t > 1 2 < / i n t > < / v a l u e > < / i t e m > < i t e m > < k e y > < s t r i n g > P r o j e c t A w a r d s C o u n t < / s t r i n g > < / k e y > < v a l u e > < i n t > 1 2 < / i n t > < / v a l u e > < / i t e m > < i t e m > < k e y > < s t r i n g > P r o j e c t R o l e M o d e l C o u n t < / s t r i n g > < / k e y > < v a l u e > < i n t > 1 2 < / i n t > < / v a l u e > < / i t e m > < i t e m > < k e y > < s t r i n g > P r o j e c t R e s e a r c h C o u n t < / s t r i n g > < / k e y > < v a l u e > < i n t > 1 2 < / i n t > < / v a l u e > < / i t e m > < i t e m > < k e y > < s t r i n g > P r o j e c t A r c h i t e c t u r e G u i d e C o u n t < / s t r i n g > < / k e y > < v a l u e > < i n t > 1 2 < / i n t > < / v a l u e > < / i t e m > < i t e m > < k e y > < s t r i n g > B u i l d e r s C o u n t < / s t r i n g > < / k e y > < v a l u e > < i n t > 1 2 < / i n t > < / v a l u e > < / i t e m > < i t e m > < k e y > < s t r i n g > A r c h i t e c t A R K C o u n t < / s t r i n g > < / k e y > < v a l u e > < i n t > 1 2 < / i n t > < / v a l u e > < / i t e m > < i t e m > < k e y > < s t r i n g > A r c h i t e c t L A R K C o u n t < / s t r i n g > < / k e y > < v a l u e > < i n t > 1 2 < / i n t > < / v a l u e > < / i t e m > < i t e m > < k e y > < s t r i n g > A r c h i t e c t I A R K C o u n t < / s t r i n g > < / k e y > < v a l u e > < i n t > 1 2 < / i n t > < / v a l u e > < / i t e m > < i t e m > < k e y > < s t r i n g > O r i g i n a l A r c h i t e c t C o u n t < / s t r i n g > < / k e y > < v a l u e > < i n t > 1 2 < / i n t > < / v a l u e > < / i t e m > < i t e m > < k e y > < s t r i n g > P r o j e c t M a n a g a g e r s C o u n t < / s t r i n g > < / k e y > < v a l u e > < i n t > 1 2 < / i n t > < / v a l u e > < / i t e m > < i t e m > < k e y > < s t r i n g > E n v i r o n m e n t C o n s u l t a n t s C o u n t < / s t r i n g > < / k e y > < v a l u e > < i n t > 1 2 < / i n t > < / v a l u e > < / i t e m > < i t e m > < k e y > < s t r i n g > E n e r g y C o n s u l t a n t s C o u n t < / s t r i n g > < / k e y > < v a l u e > < i n t > 1 2 < / i n t > < / v a l u e > < / i t e m > < i t e m > < k e y > < s t r i n g > U n i v e r s a l D e s i g n C o n s u l t a n t s C o u n t < / s t r i n g > < / k e y > < v a l u e > < i n t > 1 2 < / i n t > < / v a l u e > < / i t e m > < i t e m > < k e y > < s t r i n g > A d v i s o r I n g B y g g N a m e < / s t r i n g > < / k e y > < v a l u e > < i n t > 1 2 < / i n t > < / v a l u e > < / i t e m > < i t e m > < k e y > < s t r i n g > A d v i s o r I n g B y g g I d < / s t r i n g > < / k e y > < v a l u e > < i n t > 1 2 < / i n t > < / v a l u e > < / i t e m > < i t e m > < k e y > < s t r i n g > A d v i s o r I n g V V S N a m e < / s t r i n g > < / k e y > < v a l u e > < i n t > 1 2 < / i n t > < / v a l u e > < / i t e m > < i t e m > < k e y > < s t r i n g > A d v i s o r I n g V V S I d < / s t r i n g > < / k e y > < v a l u e > < i n t > 1 2 < / i n t > < / v a l u e > < / i t e m > < i t e m > < k e y > < s t r i n g > A d v i s o r I n g E l e k t r o N a m e < / s t r i n g > < / k e y > < v a l u e > < i n t > 1 2 < / i n t > < / v a l u e > < / i t e m > < i t e m > < k e y > < s t r i n g > A d v i s o r I n g E l e k t r o I d < / s t r i n g > < / k e y > < v a l u e > < i n t > 1 2 < / i n t > < / v a l u e > < / i t e m > < i t e m > < k e y > < s t r i n g > A d v i s o r i n g B u i l d i n g P h y s i c s N a m e < / s t r i n g > < / k e y > < v a l u e > < i n t > 1 2 < / i n t > < / v a l u e > < / i t e m > < i t e m > < k e y > < s t r i n g > A d v i s o r i n g B u i l d i n g P h y s i c s I d < / s t r i n g > < / k e y > < v a l u e > < i n t > 1 2 < / i n t > < / v a l u e > < / i t e m > < i t e m > < k e y > < s t r i n g > A d v i s o r I n g F i r e S a f e t y N a m e < / s t r i n g > < / k e y > < v a l u e > < i n t > 1 2 < / i n t > < / v a l u e > < / i t e m > < i t e m > < k e y > < s t r i n g > A d v i s o r I n g F i r e S a f e t y I d < / s t r i n g > < / k e y > < v a l u e > < i n t > 1 2 < / i n t > < / v a l u e > < / i t e m > < i t e m > < k e y > < s t r i n g > A d v i s o r I n g A c o u s t i c s N a m e < / s t r i n g > < / k e y > < v a l u e > < i n t > 1 2 < / i n t > < / v a l u e > < / i t e m > < i t e m > < k e y > < s t r i n g > A d v i s o r I n g A c o u s t i c s I d < / s t r i n g > < / k e y > < v a l u e > < i n t > 1 2 < / i n t > < / v a l u e > < / i t e m > < i t e m > < k e y > < s t r i n g > O t h e r A d v i s o r s < / s t r i n g > < / k e y > < v a l u e > < i n t > 1 2 < / i n t > < / v a l u e > < / i t e m > < i t e m > < k e y > < s t r i n g > C o n t r a c t o r s C o u n t < / s t r i n g > < / k e y > < v a l u e > < i n t > 1 2 < / i n t > < / v a l u e > < / i t e m > < i t e m > < k e y > < s t r i n g > C o n s t r u c t i o n M a n a g e m e n t C o u n t < / s t r i n g > < / k e y > < v a l u e > < i n t > 1 2 < / i n t > < / v a l u e > < / i t e m > < i t e m > < k e y > < s t r i n g > S u p p l i e r s C o u n t < / s t r i n g > < / k e y > < v a l u e > < i n t > 1 2 < / i n t > < / v a l u e > < / i t e m > < i t e m > < k e y > < s t r i n g > S u b C o n t r a c t o r s < / s t r i n g > < / k e y > < v a l u e > < i n t > 1 2 < / i n t > < / v a l u e > < / i t e m > < i t e m > < k e y > < s t r i n g > S h o w K e y F i g u r e s < / s t r i n g > < / k e y > < v a l u e > < i n t > 1 2 < / i n t > < / v a l u e > < / i t e m > < i t e m > < k e y > < s t r i n g > A r e a U s e d < / s t r i n g > < / k e y > < v a l u e > < i n t > 1 2 < / i n t > < / v a l u e > < / i t e m > < i t e m > < k e y > < s t r i n g > N u m b e r O f R e s i d e n t s < / s t r i n g > < / k e y > < v a l u e > < i n t > 1 2 < / i n t > < / v a l u e > < / i t e m > < i t e m > < k e y > < s t r i n g > S q u a r e F o o t B T A < / s t r i n g > < / k e y > < v a l u e > < i n t > 1 2 < / i n t > < / v a l u e > < / i t e m > < i t e m > < k e y > < s t r i n g > G r o s s S q u a r e F o o t B T A < / s t r i n g > < / k e y > < v a l u e > < i n t > 1 2 < / i n t > < / v a l u e > < / i t e m > < i t e m > < k e y > < s t r i n g > G r o s s S q u a r e F o o t < / s t r i n g > < / k e y > < v a l u e > < i n t > 1 2 < / i n t > < / v a l u e > < / i t e m > < i t e m > < k e y > < s t r i n g > G r o s s S q u a r e F o o t H e a t e d < / s t r i n g > < / k e y > < v a l u e > < i n t > 1 2 < / i n t > < / v a l u e > < / i t e m > < i t e m > < k e y > < s t r i n g > S q u a r e F o o t G l a s s < / s t r i n g > < / k e y > < v a l u e > < i n t > 1 2 < / i n t > < / v a l u e > < / i t e m > < i t e m > < k e y > < s t r i n g > C o m p a c t n e s s F a c t o r < / s t r i n g > < / k e y > < v a l u e > < i n t > 1 2 < / i n t > < / v a l u e > < / i t e m > < i t e m > < k e y > < s t r i n g > G r e e n A r e a I n c e a s e < / s t r i n g > < / k e y > < v a l u e > < i n t > 1 2 < / i n t > < / v a l u e > < / i t e m > < i t e m > < k e y > < s t r i n g > H a r d A r e a R e d u c t i o n < / s t r i n g > < / k e y > < v a l u e > < i n t > 1 2 < / i n t > < / v a l u e > < / i t e m > < i t e m > < k e y > < s t r i n g > W a l k w a y s L e n g t h < / s t r i n g > < / k e y > < v a l u e > < i n t > 1 2 < / i n t > < / v a l u e > < / i t e m > < i t e m > < k e y > < s t r i n g > D i s t a n c e T o C o l l e c t i v e P o i n t < / s t r i n g > < / k e y > < v a l u e > < i n t > 1 2 < / i n t > < / v a l u e > < / i t e m > < i t e m > < k e y > < s t r i n g > D i s t a n c e T o C i t y C e n t e r < / s t r i n g > < / k e y > < v a l u e > < i n t > 1 2 < / i n t > < / v a l u e > < / i t e m > < i t e m > < k e y > < s t r i n g > P a r k i n g A r e a < / s t r i n g > < / k e y > < v a l u e > < i n t > 1 2 < / i n t > < / v a l u e > < / i t e m > < i t e m > < k e y > < s t r i n g > P a r k i n g S p o t s P e r U n i t < / s t r i n g > < / k e y > < v a l u e > < i n t > 1 2 < / i n t > < / v a l u e > < / i t e m > < i t e m > < k e y > < s t r i n g > B i k e P a r k i n g A r e a < / s t r i n g > < / k e y > < v a l u e > < i n t > 1 2 < / i n t > < / v a l u e > < / i t e m > < i t e m > < k e y > < s t r i n g > B i k e P a r k i n g S p o t s P e r U n i t < / s t r i n g > < / k e y > < v a l u e > < i n t > 1 2 < / i n t > < / v a l u e > < / i t e m > < i t e m > < k e y > < s t r i n g > F B y e r C O 2 < / s t r i n g > < / k e y > < v a l u e > < i n t > 1 2 < / i n t > < / v a l u e > < / i t e m > < i t e m > < k e y > < s t r i n g > C O 2 M e t h o d < / s t r i n g > < / k e y > < v a l u e > < i n t > 1 2 < / i n t > < / v a l u e > < / i t e m > < i t e m > < k e y > < s t r i n g > C O 2 R e f e r e n c e E n e r g y < / s t r i n g > < / k e y > < v a l u e > < i n t > 1 2 < / i n t > < / v a l u e > < / i t e m > < i t e m > < k e y > < s t r i n g > C O 2 R e f e r e n c e M a t e r i a l s < / s t r i n g > < / k e y > < v a l u e > < i n t > 1 2 < / i n t > < / v a l u e > < / i t e m > < i t e m > < k e y > < s t r i n g > C O 2 R e f e r e n c e T r a n s p o r t < / s t r i n g > < / k e y > < v a l u e > < i n t > 1 2 < / i n t > < / v a l u e > < / i t e m > < i t e m > < k e y > < s t r i n g > C O 2 D e s i g n e d E n e r g y < / s t r i n g > < / k e y > < v a l u e > < i n t > 1 2 < / i n t > < / v a l u e > < / i t e m > < i t e m > < k e y > < s t r i n g > C O 2 D e s i g n e d M a t e r i a l s < / s t r i n g > < / k e y > < v a l u e > < i n t > 1 2 < / i n t > < / v a l u e > < / i t e m > < i t e m > < k e y > < s t r i n g > C O 2 D e s i g n e d T r a n s p o r t < / s t r i n g > < / k e y > < v a l u e > < i n t > 1 2 < / i n t > < / v a l u e > < / i t e m > < i t e m > < k e y > < s t r i n g > C O 2 F i n i s h e d E n e r g y < / s t r i n g > < / k e y > < v a l u e > < i n t > 1 2 < / i n t > < / v a l u e > < / i t e m > < i t e m > < k e y > < s t r i n g > C O 2 F i n i s h e d M a t e r i a l s < / s t r i n g > < / k e y > < v a l u e > < i n t > 1 2 < / i n t > < / v a l u e > < / i t e m > < i t e m > < k e y > < s t r i n g > C O 2 F i n i s h e d T r a n s p o r t < / s t r i n g > < / k e y > < v a l u e > < i n t > 1 2 < / i n t > < / v a l u e > < / i t e m > < i t e m > < k e y > < s t r i n g > C O 2 I n U s e E n e r g y < / s t r i n g > < / k e y > < v a l u e > < i n t > 1 2 < / i n t > < / v a l u e > < / i t e m > < i t e m > < k e y > < s t r i n g > C O 2 I n U s e M a t e r i a l s < / s t r i n g > < / k e y > < v a l u e > < i n t > 1 2 < / i n t > < / v a l u e > < / i t e m > < i t e m > < k e y > < s t r i n g > C O 2 I n U s e T r a n s p o r t < / s t r i n g > < / k e y > < v a l u e > < i n t > 1 2 < / i n t > < / v a l u e > < / i t e m > < i t e m > < k e y > < s t r i n g > E n e r g y L a b e l < / s t r i n g > < / k e y > < v a l u e > < i n t > 1 2 < / i n t > < / v a l u e > < / i t e m > < i t e m > < k e y > < s t r i n g > H e a t R a t i n g < / s t r i n g > < / k e y > < v a l u e > < i n t > 1 2 < / i n t > < / v a l u e > < / i t e m > < i t e m > < k e y > < s t r i n g > E n e r g y C o n s u m p t i o n < / s t r i n g > < / k e y > < v a l u e > < i n t > 1 2 < / i n t > < / v a l u e > < / i t e m > < i t e m > < k e y > < s t r i n g > E n e r g y S o u r c e s < / s t r i n g > < / k e y > < v a l u e > < i n t > 1 2 < / i n t > < / v a l u e > < / i t e m > < i t e m > < k e y > < s t r i n g > N e t E n e r g y 3 7 0 0 < / s t r i n g > < / k e y > < v a l u e > < i n t > 1 2 < / i n t > < / v a l u e > < / i t e m > < i t e m > < k e y > < s t r i n g > E s t i m a t e d D e l i v e r e d E n e r g y 3 7 0 0 < / s t r i n g > < / k e y > < v a l u e > < i n t > 1 2 < / i n t > < / v a l u e > < / i t e m > < i t e m > < k e y > < s t r i n g > N e t E n e r g y < / s t r i n g > < / k e y > < v a l u e > < i n t > 1 2 < / i n t > < / v a l u e > < / i t e m > < i t e m > < k e y > < s t r i n g > E s t i m a t e d D e l i v e r e d E n e r g y < / s t r i n g > < / k e y > < v a l u e > < i n t > 1 2 < / i n t > < / v a l u e > < / i t e m > < i t e m > < k e y > < s t r i n g > E n e r g y S a v i n g s < / s t r i n g > < / k e y > < v a l u e > < i n t > 1 2 < / i n t > < / v a l u e > < / i t e m > < i t e m > < k e y > < s t r i n g > E n e r g y C o n v e r t e d F r o m E l e c t r i c i t y T o R e n e w a b l e < / s t r i n g > < / k e y > < v a l u e > < i n t > 1 2 < / i n t > < / v a l u e > < / i t e m > < i t e m > < k e y > < s t r i n g > E n e r g y C o n v e r t e d F r o m F o s s i l T o R e n e w a b l e < / s t r i n g > < / k e y > < v a l u e > < i n t > 1 2 < / i n t > < / v a l u e > < / i t e m > < i t e m > < k e y > < s t r i n g > E n e r g y D e l i v e r e d < / s t r i n g > < / k e y > < v a l u e > < i n t > 1 2 < / i n t > < / v a l u e > < / i t e m > < i t e m > < k e y > < s t r i n g > E n o v a F a c t s E n e r g y < / s t r i n g > < / k e y > < v a l u e > < i n t > 1 2 < / i n t > < / v a l u e > < / i t e m > < i t e m > < k e y > < s t r i n g > E n o v a F a c t s C o m f o r t < / s t r i n g > < / k e y > < v a l u e > < i n t > 1 2 < / i n t > < / v a l u e > < / i t e m > < i t e m > < k e y > < s t r i n g > U V a l u e R o o f < / s t r i n g > < / k e y > < v a l u e > < i n t > 1 2 < / i n t > < / v a l u e > < / i t e m > < i t e m > < k e y > < s t r i n g > U V a l u e F l o o r < / s t r i n g > < / k e y > < v a l u e > < i n t > 1 2 < / i n t > < / v a l u e > < / i t e m > < i t e m > < k e y > < s t r i n g > U V a l u e W a l l < / s t r i n g > < / k e y > < v a l u e > < i n t > 1 2 < / i n t > < / v a l u e > < / i t e m > < i t e m > < k e y > < s t r i n g > U V a l u e W i n d o w < / s t r i n g > < / k e y > < v a l u e > < i n t > 1 2 < / i n t > < / v a l u e > < / i t e m > < i t e m > < k e y > < s t r i n g > M e a s u r e d A i r T i g h t n e s s < / s t r i n g > < / k e y > < v a l u e > < i n t > 1 2 < / i n t > < / v a l u e > < / i t e m > < i t e m > < k e y > < s t r i n g > S p e c i f i c F a n P o w e r < / s t r i n g > < / k e y > < v a l u e > < i n t > 1 2 < / i n t > < / v a l u e > < / i t e m > < i t e m > < k e y > < s t r i n g > H e a t R e c o v e r y E f f i c i e n c y < / s t r i n g > < / k e y > < v a l u e > < i n t > 1 2 < / i n t > < / v a l u e > < / i t e m > < i t e m > < k e y > < s t r i n g > R o o m H e a t i n g < / s t r i n g > < / k e y > < v a l u e > < i n t > 1 2 < / i n t > < / v a l u e > < / i t e m > < i t e m > < k e y > < s t r i n g > V e n t i l a t i o n H e a t i n g < / s t r i n g > < / k e y > < v a l u e > < i n t > 1 2 < / i n t > < / v a l u e > < / i t e m > < i t e m > < k e y > < s t r i n g > D o m e s t i c H o t W a t e r < / s t r i n g > < / k e y > < v a l u e > < i n t > 1 2 < / i n t > < / v a l u e > < / i t e m > < i t e m > < k e y > < s t r i n g > F a n A d m i n i s t r a t i o n < / s t r i n g > < / k e y > < v a l u e > < i n t > 1 2 < / i n t > < / v a l u e > < / i t e m > < i t e m > < k e y > < s t r i n g > P u m p A d m i n i s t r a t i o n < / s t r i n g > < / k e y > < v a l u e > < i n t > 1 2 < / i n t > < / v a l u e > < / i t e m > < i t e m > < k e y > < s t r i n g > L i g h t i n g < / s t r i n g > < / k e y > < v a l u e > < i n t > 1 2 < / i n t > < / v a l u e > < / i t e m > < i t e m > < k e y > < s t r i n g > T e c h n i c a l E q u i p m e n t < / s t r i n g > < / k e y > < v a l u e > < i n t > 1 2 < / i n t > < / v a l u e > < / i t e m > < i t e m > < k e y > < s t r i n g > R o o m C o o l i n g < / s t r i n g > < / k e y > < v a l u e > < i n t > 1 2 < / i n t > < / v a l u e > < / i t e m > < i t e m > < k e y > < s t r i n g > V e n t i l a t i o n C o o l i n g < / s t r i n g > < / k e y > < v a l u e > < i n t > 1 2 < / i n t > < / v a l u e > < / i t e m > < i t e m > < k e y > < s t r i n g > O t h e r E n e r g y P o s t s < / s t r i n g > < / k e y > < v a l u e > < i n t > 1 2 < / i n t > < / v a l u e > < / i t e m > < i t e m > < k e y > < s t r i n g > E n e r g y E f f i c i e n c y M e t h o d < / s t r i n g > < / k e y > < v a l u e > < i n t > 1 2 < / i n t > < / v a l u e > < / i t e m > < i t e m > < k e y > < s t r i n g > M a n u f a c t u r e r s < / s t r i n g > < / k e y > < v a l u e > < i n t > 1 2 < / i n t > < / v a l u e > < / i t e m > < i t e m > < k e y > < s t r i n g > B u i l d i n g C o s t s < / s t r i n g > < / k e y > < v a l u e > < i n t > 1 2 < / i n t > < / v a l u e > < / i t e m > < i t e m > < k e y > < s t r i n g > M e r k o s t n a d M 2 < / s t r i n g > < / k e y > < v a l u e > < i n t > 1 2 < / i n t > < / v a l u e > < / i t e m > < i t e m > < k e y > < s t r i n g > M e r k o s t n a d E n e r g i M 2 E n o v a < / s t r i n g > < / k e y > < v a l u e > < i n t > 1 2 < / i n t > < / v a l u e > < / i t e m > < i t e m > < k e y > < s t r i n g > M e r k o s t n a d U n i v e r s e l l U t f o r m i n g M 2 < / s t r i n g > < / k e y > < v a l u e > < i n t > 1 2 < / i n t > < / v a l u e > < / i t e m > < i t e m > < k e y > < s t r i n g > P r o j e c t S u p p o r t E n o v a < / s t r i n g > < / k e y > < v a l u e > < i n t > 1 2 < / i n t > < / v a l u e > < / i t e m > < i t e m > < k e y > < s t r i n g > P r o j e c t S u p p o r t H u s b a n k e n < / s t r i n g > < / k e y > < v a l u e > < i n t > 1 2 < / i n t > < / v a l u e > < / i t e m > < i t e m > < k e y > < s t r i n g > P u b l i s h e d I n < / s t r i n g > < / k e y > < v a l u e > < i n t > 1 2 < / i n t > < / v a l u e > < / i t e m > < i t e m > < k e y > < s t r i n g > R e f e r e n c e s < / s t r i n g > < / k e y > < v a l u e > < i n t > 1 2 < / i n t > < / v a l u e > < / i t e m > < i t e m > < k e y > < s t r i n g > S e a r c h S u m m a r y < / s t r i n g > < / k e y > < v a l u e > < i n t > 1 2 < / i n t > < / v a l u e > < / i t e m > < i t e m > < k e y > < s t r i n g > L e g g   t i l   k o l o n n e < / s t r i n g > < / k e y > < v a l u e > < i n t > 1 2 < / i n t > < / v a l u e > < / i t e m > < / C o l u m n N e g a t i v e P a t t e r n > < C o l u m n W i d t h s > < i t e m > < k e y > < s t r i n g > I d < / s t r i n g > < / k e y > < v a l u e > < i n t > 4 7 < / i n t > < / v a l u e > < / i t e m > < i t e m > < k e y > < s t r i n g > L i s t O r d e r < / s t r i n g > < / k e y > < v a l u e > < i n t > 9 2 < / i n t > < / v a l u e > < / i t e m > < i t e m > < k e y > < s t r i n g > I m a g e U r l < / s t r i n g > < / k e y > < v a l u e > < i n t > 9 1 < / i n t > < / v a l u e > < / i t e m > < i t e m > < k e y > < s t r i n g > T h u m b n a i l U r l < / s t r i n g > < / k e y > < v a l u e > < i n t > 1 1 9 < / i n t > < / v a l u e > < / i t e m > < i t e m > < k e y > < s t r i n g > N a m e < / s t r i n g > < / k e y > < v a l u e > < i n t > 7 2 < / i n t > < / v a l u e > < / i t e m > < i t e m > < k e y > < s t r i n g > A u t h o r < / s t r i n g > < / k e y > < v a l u e > < i n t > 7 8 < / i n t > < / v a l u e > < / i t e m > < i t e m > < k e y > < s t r i n g > U p d a t e d < / s t r i n g > < / k e y > < v a l u e > < i n t > 8 8 < / i n t > < / v a l u e > < / i t e m > < i t e m > < k e y > < s t r i n g > S u b T i t l e < / s t r i n g > < / k e y > < v a l u e > < i n t > 8 6 < / i n t > < / v a l u e > < / i t e m > < i t e m > < k e y > < s t r i n g > A u t h o r S i g n a t u r e < / s t r i n g > < / k e y > < v a l u e > < i n t > 1 3 7 < / i n t > < / v a l u e > < / i t e m > < i t e m > < k e y > < s t r i n g > P r o j e c t O w n e r N a m e < / s t r i n g > < / k e y > < v a l u e > < i n t > 1 5 8 < / i n t > < / v a l u e > < / i t e m > < i t e m > < k e y > < s t r i n g > P r o j e c t O w n e r I d < / s t r i n g > < / k e y > < v a l u e > < i n t > 1 3 3 < / i n t > < / v a l u e > < / i t e m > < i t e m > < k e y > < s t r i n g > E d i t o r i a l R e s p o n s i b i l i t y < / s t r i n g > < / k e y > < v a l u e > < i n t > 1 7 5 < / i n t > < / v a l u e > < / i t e m > < i t e m > < k e y > < s t r i n g > S h o r t D e s c r i p t i o n < / s t r i n g > < / k e y > < v a l u e > < i n t > 1 3 8 < / i n t > < / v a l u e > < / i t e m > < i t e m > < k e y > < s t r i n g > G e n e r a l P r o j e c t T y p e < / s t r i n g > < / k e y > < v a l u e > < i n t > 1 5 7 < / i n t > < / v a l u e > < / i t e m > < i t e m > < k e y > < s t r i n g > P r o j e c t S t a t u s < / s t r i n g > < / k e y > < v a l u e > < i n t > 1 1 7 < / i n t > < / v a l u e > < / i t e m > < i t e m > < k e y > < s t r i n g > F i n i s h e d P r o j e c t < / s t r i n g > < / k e y > < v a l u e > < i n t > 1 3 2 < / i n t > < / v a l u e > < / i t e m > < i t e m > < k e y > < s t r i n g > E n g l i s h C o n t e n t < / s t r i n g > < / k e y > < v a l u e > < i n t > 1 2 9 < / i n t > < / v a l u e > < / i t e m > < i t e m > < k e y > < s t r i n g > H i d e O n E c o b o x < / s t r i n g > < / k e y > < v a l u e > < i n t > 1 2 6 < / i n t > < / v a l u e > < / i t e m > < i t e m > < k e y > < s t r i n g > H i d e F r o m P r o j e c t F r o n t P a g e < / s t r i n g > < / k e y > < v a l u e > < i n t > 2 0 3 < / i n t > < / v a l u e > < / i t e m > < i t e m > < k e y > < s t r i n g > C o n t a c t < / s t r i n g > < / k e y > < v a l u e > < i n t > 8 2 < / i n t > < / v a l u e > < / i t e m > < i t e m > < k e y > < s t r i n g > C o n t a c t P h o n e < / s t r i n g > < / k e y > < v a l u e > < i n t > 1 2 2 < / i n t > < / v a l u e > < / i t e m > < i t e m > < k e y > < s t r i n g > C o n t a c t E m a i l < / s t r i n g > < / k e y > < v a l u e > < i n t > 1 1 6 < / i n t > < / v a l u e > < / i t e m > < i t e m > < k e y > < s t r i n g > F B y e r E x t e r n a l T a g s C o u n t < / s t r i n g > < / k e y > < v a l u e > < i n t > 1 8 4 < / i n t > < / v a l u e > < / i t e m > < i t e m > < k e y > < s t r i n g > E x t e r n a l T a g s C o u n t < / s t r i n g > < / k e y > < v a l u e > < i n t > 1 4 9 < / i n t > < / v a l u e > < / i t e m > < i t e m > < k e y > < s t r i n g > E x t e r n a l P r o j e c t D B U s e r s C o u n t < / s t r i n g > < / k e y > < v a l u e > < i n t > 2 1 8 < / i n t > < / v a l u e > < / i t e m > < i t e m > < k e y > < s t r i n g > E c o M e a s u r e s C o u n t < / s t r i n g > < / k e y > < v a l u e > < i n t > 1 5 3 < / i n t > < / v a l u e > < / i t e m > < i t e m > < k e y > < s t r i n g > E c o n o m y H e a d e r < / s t r i n g > < / k e y > < v a l u e > < i n t > 1 3 6 < / i n t > < / v a l u e > < / i t e m > < i t e m > < k e y > < s t r i n g > E c o n o m y < / s t r i n g > < / k e y > < v a l u e > < i n t > 9 1 < / i n t > < / v a l u e > < / i t e m > < i t e m > < k e y > < s t r i n g > C o s t B e n e f i t E v a l u a t i o n s C o u n t < / s t r i n g > < / k e y > < v a l u e > < i n t > 2 1 4 < / i n t > < / v a l u e > < / i t e m > < i t e m > < k e y > < s t r i n g > C l o s i n g P a r a g r a p h H e a d e r < / s t r i n g > < / k e y > < v a l u e > < i n t > 1 8 7 < / i n t > < / v a l u e > < / i t e m > < i t e m > < k e y > < s t r i n g > C l o s i n g P a r a g r a p h < / s t r i n g > < / k e y > < v a l u e > < i n t > 1 4 2 < / i n t > < / v a l u e > < / i t e m > < i t e m > < k e y > < s t r i n g > P r o j e c t r e s p o n s i b l e F B N a m e < / s t r i n g > < / k e y > < v a l u e > < i n t > 2 0 4 < / i n t > < / v a l u e > < / i t e m > < i t e m > < k e y > < s t r i n g > P r o j e c t r e s p o n s i b l e F B I d < / s t r i n g > < / k e y > < v a l u e > < i n t > 1 7 9 < / i n t > < / v a l u e > < / i t e m > < i t e m > < k e y > < s t r i n g > R e s p o n s i b l e D e p a r t m e n t < / s t r i n g > < / k e y > < v a l u e > < i n t > 1 8 6 < / i n t > < / v a l u e > < / i t e m > < i t e m > < k e y > < s t r i n g > P r o j e c t A d d r e s s < / s t r i n g > < / k e y > < v a l u e > < i n t > 1 2 9 < / i n t > < / v a l u e > < / i t e m > < i t e m > < k e y > < s t r i n g > L o c a t i o n < / s t r i n g > < / k e y > < v a l u e > < i n t > 8 6 < / i n t > < / v a l u e > < / i t e m > < i t e m > < k e y > < s t r i n g > M u n i c i p a l i t i e s C o u n t < / s t r i n g > < / k e y > < v a l u e > < i n t > 1 5 9 < / i n t > < / v a l u e > < / i t e m > < i t e m > < k e y > < s t r i n g > M a p L a t i t u d e < / s t r i n g > < / k e y > < v a l u e > < i n t > 1 1 2 < / i n t > < / v a l u e > < / i t e m > < i t e m > < k e y > < s t r i n g > M a p L o n g i t u d e < / s t r i n g > < / k e y > < v a l u e > < i n t > 1 2 4 < / i n t > < / v a l u e > < / i t e m > < i t e m > < k e y > < s t r i n g > M a p Z o o m L e v e l < / s t r i n g > < / k e y > < v a l u e > < i n t > 1 3 0 < / i n t > < / v a l u e > < / i t e m > < i t e m > < k e y > < s t r i n g > P r o j e c t P e r i o d < / s t r i n g > < / k e y > < v a l u e > < i n t > 1 2 0 < / i n t > < / v a l u e > < / i t e m > < i t e m > < k e y > < s t r i n g > C o n s t r u c t i o n S t a r t e d Y e a r < / s t r i n g > < / k e y > < v a l u e > < i n t > 1 8 4 < / i n t > < / v a l u e > < / i t e m > < i t e m > < k e y > < s t r i n g > C o n s t r u c t i o n C o m p l e t e d Y e a r < / s t r i n g > < / k e y > < v a l u e > < i n t > 2 0 8 < / i n t > < / v a l u e > < / i t e m > < i t e m > < k e y > < s t r i n g > P a r t n e r s C o u n t < / s t r i n g > < / k e y > < v a l u e > < i n t > 1 2 4 < / i n t > < / v a l u e > < / i t e m > < i t e m > < k e y > < s t r i n g > O t h e r s I n v o l v e d < / s t r i n g > < / k e y > < v a l u e > < i n t > 1 3 1 < / i n t > < / v a l u e > < / i t e m > < i t e m > < k e y > < s t r i n g > K e y w o r d M e a s u r e s C o u n t < / s t r i n g > < / k e y > < v a l u e > < i n t > 1 8 7 < / i n t > < / v a l u e > < / i t e m > < i t e m > < k e y > < s t r i n g > C o l l a b o r a t i o n < / s t r i n g > < / k e y > < v a l u e > < i n t > 1 1 8 < / i n t > < / v a l u e > < / i t e m > < i t e m > < k e y > < s t r i n g > M u n i c i p a l i t i e s C o l l a b o r a t i o n < / s t r i n g > < / k e y > < v a l u e > < i n t > 2 0 5 < / i n t > < / v a l u e > < / i t e m > < i t e m > < k e y > < s t r i n g > P r i v a t e C o l l a b o r a t i o n < / s t r i n g > < / k e y > < v a l u e > < i n t > 1 6 2 < / i n t > < / v a l u e > < / i t e m > < i t e m > < k e y > < s t r i n g > O t h e r C o l l a b o r a t i o n < / s t r i n g > < / k e y > < v a l u e > < i n t > 1 5 4 < / i n t > < / v a l u e > < / i t e m > < i t e m > < k e y > < s t r i n g > P r o g r e s s D e s c r i p t i o n < / s t r i n g > < / k e y > < v a l u e > < i n t > 1 5 8 < / i n t > < / v a l u e > < / i t e m > < i t e m > < k e y > < s t r i n g > P r o g r e s s S t a t u s < / s t r i n g > < / k e y > < v a l u e > < i n t > 1 2 6 < / i n t > < / v a l u e > < / i t e m > < i t e m > < k e y > < s t r i n g > F B y e r O t h e r R e s u l t s < / s t r i n g > < / k e y > < v a l u e > < i n t > 1 5 1 < / i n t > < / v a l u e > < / i t e m > < i t e m > < k e y > < s t r i n g > F B y e r C o s t s < / s t r i n g > < / k e y > < v a l u e > < i n t > 1 0 3 < / i n t > < / v a l u e > < / i t e m > < i t e m > < k e y > < s t r i n g > F B y e r I m p o r t a n c e < / s t r i n g > < / k e y > < v a l u e > < i n t > 1 4 1 < / i n t > < / v a l u e > < / i t e m > < i t e m > < k e y > < s t r i n g > F B y e r T i m e U s a g e < / s t r i n g > < / k e y > < v a l u e > < i n t > 1 3 8 < / i n t > < / v a l u e > < / i t e m > < i t e m > < k e y > < s t r i n g > F B y e r P e o p l e I n f o r m e d < / s t r i n g > < / k e y > < v a l u e > < i n t > 1 7 2 < / i n t > < / v a l u e > < / i t e m > < i t e m > < k e y > < s t r i n g > F B y e r O t h e r R e m a r k s < / s t r i n g > < / k e y > < v a l u e > < i n t > 1 5 9 < / i n t > < / v a l u e > < / i t e m > < i t e m > < k e y > < s t r i n g > P r o j e c t P h a s e C o u n t < / s t r i n g > < / k e y > < v a l u e > < i n t > 1 5 3 < / i n t > < / v a l u e > < / i t e m > < i t e m > < k e y > < s t r i n g > P r o j e c t T y p e s C o u n t < / s t r i n g > < / k e y > < v a l u e > < i n t > 1 5 1 < / i n t > < / v a l u e > < / i t e m > < i t e m > < k e y > < s t r i n g > F u n c t i o n B u i l d i n g C a t e g o r y C o u n t < / s t r i n g > < / k e y > < v a l u e > < i n t > 2 3 1 < / i n t > < / v a l u e > < / i t e m > < i t e m > < k e y > < s t r i n g > P r o j e c t C o m p e t i t i o n F o r m C o u n t < / s t r i n g > < / k e y > < v a l u e > < i n t > 2 2 4 < / i n t > < / v a l u e > < / i t e m > < i t e m > < k e y > < s t r i n g > P r o j e c t C o n t r a c t i n g F o r m C o u n t < / s t r i n g > < / k e y > < v a l u e > < i n t > 2 1 8 < / i n t > < / v a l u e > < / i t e m > < i t e m > < k e y > < s t r i n g > P r o j e c t E n v i r o n m e n t a l S t a n d a r d C o u n t < / s t r i n g > < / k e y > < v a l u e > < i n t > 2 6 2 < / i n t > < / v a l u e > < / i t e m > < i t e m > < k e y > < s t r i n g > P r o j e c t A w a r d s C o u n t < / s t r i n g > < / k e y > < v a l u e > < i n t > 1 6 2 < / i n t > < / v a l u e > < / i t e m > < i t e m > < k e y > < s t r i n g > P r o j e c t R o l e M o d e l C o u n t < / s t r i n g > < / k e y > < v a l u e > < i n t > 1 8 4 < / i n t > < / v a l u e > < / i t e m > < i t e m > < k e y > < s t r i n g > P r o j e c t R e s e a r c h C o u n t < / s t r i n g > < / k e y > < v a l u e > < i n t > 1 7 2 < / i n t > < / v a l u e > < / i t e m > < i t e m > < k e y > < s t r i n g > P r o j e c t A r c h i t e c t u r e G u i d e C o u n t < / s t r i n g > < / k e y > < v a l u e > < i n t > 2 3 0 < / i n t > < / v a l u e > < / i t e m > < i t e m > < k e y > < s t r i n g > B u i l d e r s C o u n t < / s t r i n g > < / k e y > < v a l u e > < i n t > 1 2 3 < / i n t > < / v a l u e > < / i t e m > < i t e m > < k e y > < s t r i n g > A r c h i t e c t A R K C o u n t < / s t r i n g > < / k e y > < v a l u e > < i n t > 1 5 2 < / i n t > < / v a l u e > < / i t e m > < i t e m > < k e y > < s t r i n g > A r c h i t e c t L A R K C o u n t < / s t r i n g > < / k e y > < v a l u e > < i n t > 1 5 8 < / i n t > < / v a l u e > < / i t e m > < i t e m > < k e y > < s t r i n g > A r c h i t e c t I A R K C o u n t < / s t r i n g > < / k e y > < v a l u e > < i n t > 1 5 6 < / i n t > < / v a l u e > < / i t e m > < i t e m > < k e y > < s t r i n g > O r i g i n a l A r c h i t e c t C o u n t < / s t r i n g > < / k e y > < v a l u e > < i n t > 1 7 7 < / i n t > < / v a l u e > < / i t e m > < i t e m > < k e y > < s t r i n g > P r o j e c t M a n a g a g e r s C o u n t < / s t r i n g > < / k e y > < v a l u e > < i n t > 1 9 0 < / i n t > < / v a l u e > < / i t e m > < i t e m > < k e y > < s t r i n g > E n v i r o n m e n t C o n s u l t a n t s C o u n t < / s t r i n g > < / k e y > < v a l u e > < i n t > 2 2 5 < / i n t > < / v a l u e > < / i t e m > < i t e m > < k e y > < s t r i n g > E n e r g y C o n s u l t a n t s C o u n t < / s t r i n g > < / k e y > < v a l u e > < i n t > 1 8 7 < / i n t > < / v a l u e > < / i t e m > < i t e m > < k e y > < s t r i n g > U n i v e r s a l D e s i g n C o n s u l t a n t s C o u n t < / s t r i n g > < / k e y > < v a l u e > < i n t > 2 4 5 < / i n t > < / v a l u e > < / i t e m > < i t e m > < k e y > < s t r i n g > A d v i s o r I n g B y g g N a m e < / s t r i n g > < / k e y > < v a l u e > < i n t > 1 6 7 < / i n t > < / v a l u e > < / i t e m > < i t e m > < k e y > < s t r i n g > A d v i s o r I n g B y g g I d < / s t r i n g > < / k e y > < v a l u e > < i n t > 1 4 2 < / i n t > < / v a l u e > < / i t e m > < i t e m > < k e y > < s t r i n g > A d v i s o r I n g V V S N a m e < / s t r i n g > < / k e y > < v a l u e > < i n t > 1 6 3 < / i n t > < / v a l u e > < / i t e m > < i t e m > < k e y > < s t r i n g > A d v i s o r I n g V V S I d < / s t r i n g > < / k e y > < v a l u e > < i n t > 1 3 8 < / i n t > < / v a l u e > < / i t e m > < i t e m > < k e y > < s t r i n g > A d v i s o r I n g E l e k t r o N a m e < / s t r i n g > < / k e y > < v a l u e > < i n t > 1 8 2 < / i n t > < / v a l u e > < / i t e m > < i t e m > < k e y > < s t r i n g > A d v i s o r I n g E l e k t r o I d < / s t r i n g > < / k e y > < v a l u e > < i n t > 1 5 7 < / i n t > < / v a l u e > < / i t e m > < i t e m > < k e y > < s t r i n g > A d v i s o r i n g B u i l d i n g P h y s i c s N a m e < / s t r i n g > < / k e y > < v a l u e > < i n t > 2 3 4 < / i n t > < / v a l u e > < / i t e m > < i t e m > < k e y > < s t r i n g > A d v i s o r i n g B u i l d i n g P h y s i c s I d < / s t r i n g > < / k e y > < v a l u e > < i n t > 2 0 9 < / i n t > < / v a l u e > < / i t e m > < i t e m > < k e y > < s t r i n g > A d v i s o r I n g F i r e S a f e t y N a m e < / s t r i n g > < / k e y > < v a l u e > < i n t > 2 0 1 < / i n t > < / v a l u e > < / i t e m > < i t e m > < k e y > < s t r i n g > A d v i s o r I n g F i r e S a f e t y I d < / s t r i n g > < / k e y > < v a l u e > < i n t > 1 7 6 < / i n t > < / v a l u e > < / i t e m > < i t e m > < k e y > < s t r i n g > A d v i s o r I n g A c o u s t i c s N a m e < / s t r i n g > < / k e y > < v a l u e > < i n t > 1 9 5 < / i n t > < / v a l u e > < / i t e m > < i t e m > < k e y > < s t r i n g > A d v i s o r I n g A c o u s t i c s I d < / s t r i n g > < / k e y > < v a l u e > < i n t > 1 7 0 < / i n t > < / v a l u e > < / i t e m > < i t e m > < k e y > < s t r i n g > O t h e r A d v i s o r s < / s t r i n g > < / k e y > < v a l u e > < i n t > 1 2 4 < / i n t > < / v a l u e > < / i t e m > < i t e m > < k e y > < s t r i n g > C o n t r a c t o r s C o u n t < / s t r i n g > < / k e y > < v a l u e > < i n t > 1 4 3 < / i n t > < / v a l u e > < / i t e m > < i t e m > < k e y > < s t r i n g > C o n s t r u c t i o n M a n a g e m e n t C o u n t < / s t r i n g > < / k e y > < v a l u e > < i n t > 2 3 2 < / i n t > < / v a l u e > < / i t e m > < i t e m > < k e y > < s t r i n g > S u p p l i e r s C o u n t < / s t r i n g > < / k e y > < v a l u e > < i n t > 1 3 0 < / i n t > < / v a l u e > < / i t e m > < i t e m > < k e y > < s t r i n g > S u b C o n t r a c t o r s < / s t r i n g > < / k e y > < v a l u e > < i n t > 1 2 9 < / i n t > < / v a l u e > < / i t e m > < i t e m > < k e y > < s t r i n g > S h o w K e y F i g u r e s < / s t r i n g > < / k e y > < v a l u e > < i n t > 1 3 7 < / i n t > < / v a l u e > < / i t e m > < i t e m > < k e y > < s t r i n g > A r e a U s e d < / s t r i n g > < / k e y > < v a l u e > < i n t > 9 5 < / i n t > < / v a l u e > < / i t e m > < i t e m > < k e y > < s t r i n g > N u m b e r O f R e s i d e n t s < / s t r i n g > < / k e y > < v a l u e > < i n t > 1 6 2 < / i n t > < / v a l u e > < / i t e m > < i t e m > < k e y > < s t r i n g > S q u a r e F o o t B T A < / s t r i n g > < / k e y > < v a l u e > < i n t > 1 2 9 < / i n t > < / v a l u e > < / i t e m > < i t e m > < k e y > < s t r i n g > G r o s s S q u a r e F o o t B T A < / s t r i n g > < / k e y > < v a l u e > < i n t > 1 6 3 < / i n t > < / v a l u e > < / i t e m > < i t e m > < k e y > < s t r i n g > G r o s s S q u a r e F o o t < / s t r i n g > < / k e y > < v a l u e > < i n t > 1 4 0 < / i n t > < / v a l u e > < / i t e m > < i t e m > < k e y > < s t r i n g > G r o s s S q u a r e F o o t H e a t e d < / s t r i n g > < / k e y > < v a l u e > < i n t > 1 8 5 < / i n t > < / v a l u e > < / i t e m > < i t e m > < k e y > < s t r i n g > S q u a r e F o o t G l a s s < / s t r i n g > < / k e y > < v a l u e > < i n t > 1 3 8 < / i n t > < / v a l u e > < / i t e m > < i t e m > < k e y > < s t r i n g > C o m p a c t n e s s F a c t o r < / s t r i n g > < / k e y > < v a l u e > < i n t > 1 5 5 < / i n t > < / v a l u e > < / i t e m > < i t e m > < k e y > < s t r i n g > G r e e n A r e a I n c e a s e < / s t r i n g > < / k e y > < v a l u e > < i n t > 1 4 9 < / i n t > < / v a l u e > < / i t e m > < i t e m > < k e y > < s t r i n g > H a r d A r e a R e d u c t i o n < / s t r i n g > < / k e y > < v a l u e > < i n t > 1 5 5 < / i n t > < / v a l u e > < / i t e m > < i t e m > < k e y > < s t r i n g > W a l k w a y s L e n g t h < / s t r i n g > < / k e y > < v a l u e > < i n t > 1 3 8 < / i n t > < / v a l u e > < / i t e m > < i t e m > < k e y > < s t r i n g > D i s t a n c e T o C o l l e c t i v e P o i n t < / s t r i n g > < / k e y > < v a l u e > < i n t > 1 9 6 < / i n t > < / v a l u e > < / i t e m > < i t e m > < k e y > < s t r i n g > D i s t a n c e T o C i t y C e n t e r < / s t r i n g > < / k e y > < v a l u e > < i n t > 1 6 8 < / i n t > < / v a l u e > < / i t e m > < i t e m > < k e y > < s t r i n g > P a r k i n g A r e a < / s t r i n g > < / k e y > < v a l u e > < i n t > 1 1 0 < / i n t > < / v a l u e > < / i t e m > < i t e m > < k e y > < s t r i n g > P a r k i n g S p o t s P e r U n i t < / s t r i n g > < / k e y > < v a l u e > < i n t > 1 6 2 < / i n t > < / v a l u e > < / i t e m > < i t e m > < k e y > < s t r i n g > B i k e P a r k i n g A r e a < / s t r i n g > < / k e y > < v a l u e > < i n t > 1 3 7 < / i n t > < / v a l u e > < / i t e m > < i t e m > < k e y > < s t r i n g > B i k e P a r k i n g S p o t s P e r U n i t < / s t r i n g > < / k e y > < v a l u e > < i n t > 1 8 9 < / i n t > < / v a l u e > < / i t e m > < i t e m > < k e y > < s t r i n g > F B y e r C O 2 < / s t r i n g > < / k e y > < v a l u e > < i n t > 9 5 < / i n t > < / v a l u e > < / i t e m > < i t e m > < k e y > < s t r i n g > C O 2 M e t h o d < / s t r i n g > < / k e y > < v a l u e > < i n t > 1 0 9 < / i n t > < / v a l u e > < / i t e m > < i t e m > < k e y > < s t r i n g > C O 2 R e f e r e n c e E n e r g y < / s t r i n g > < / k e y > < v a l u e > < i n t > 1 6 6 < / i n t > < / v a l u e > < / i t e m > < i t e m > < k e y > < s t r i n g > C O 2 R e f e r e n c e M a t e r i a l s < / s t r i n g > < / k e y > < v a l u e > < i n t > 1 8 2 < / i n t > < / v a l u e > < / i t e m > < i t e m > < k e y > < s t r i n g > C O 2 R e f e r e n c e T r a n s p o r t < / s t r i n g > < / k e y > < v a l u e > < i n t > 1 8 2 < / i n t > < / v a l u e > < / i t e m > < i t e m > < k e y > < s t r i n g > C O 2 D e s i g n e d E n e r g y < / s t r i n g > < / k e y > < v a l u e > < i n t > 1 6 0 < / i n t > < / v a l u e > < / i t e m > < i t e m > < k e y > < s t r i n g > C O 2 D e s i g n e d M a t e r i a l s < / s t r i n g > < / k e y > < v a l u e > < i n t > 1 7 6 < / i n t > < / v a l u e > < / i t e m > < i t e m > < k e y > < s t r i n g > C O 2 D e s i g n e d T r a n s p o r t < / s t r i n g > < / k e y > < v a l u e > < i n t > 1 7 6 < / i n t > < / v a l u e > < / i t e m > < i t e m > < k e y > < s t r i n g > C O 2 F i n i s h e d E n e r g y < / s t r i n g > < / k e y > < v a l u e > < i n t > 1 5 5 < / i n t > < / v a l u e > < / i t e m > < i t e m > < k e y > < s t r i n g > C O 2 F i n i s h e d M a t e r i a l s < / s t r i n g > < / k e y > < v a l u e > < i n t > 1 7 1 < / i n t > < / v a l u e > < / i t e m > < i t e m > < k e y > < s t r i n g > C O 2 F i n i s h e d T r a n s p o r t < / s t r i n g > < / k e y > < v a l u e > < i n t > 1 7 1 < / i n t > < / v a l u e > < / i t e m > < i t e m > < k e y > < s t r i n g > C O 2 I n U s e E n e r g y < / s t r i n g > < / k e y > < v a l u e > < i n t > 1 3 7 < / i n t > < / v a l u e > < / i t e m > < i t e m > < k e y > < s t r i n g > C O 2 I n U s e M a t e r i a l s < / s t r i n g > < / k e y > < v a l u e > < i n t > 1 5 3 < / i n t > < / v a l u e > < / i t e m > < i t e m > < k e y > < s t r i n g > C O 2 I n U s e T r a n s p o r t < / s t r i n g > < / k e y > < v a l u e > < i n t > 1 5 3 < / i n t > < / v a l u e > < / i t e m > < i t e m > < k e y > < s t r i n g > E n e r g y L a b e l < / s t r i n g > < / k e y > < v a l u e > < i n t > 1 1 0 < / i n t > < / v a l u e > < / i t e m > < i t e m > < k e y > < s t r i n g > H e a t R a t i n g < / s t r i n g > < / k e y > < v a l u e > < i n t > 1 0 2 < / i n t > < / v a l u e > < / i t e m > < i t e m > < k e y > < s t r i n g > E n e r g y C o n s u m p t i o n < / s t r i n g > < / k e y > < v a l u e > < i n t > 1 5 9 < / i n t > < / v a l u e > < / i t e m > < i t e m > < k e y > < s t r i n g > E n e r g y S o u r c e s < / s t r i n g > < / k e y > < v a l u e > < i n t > 1 2 5 < / i n t > < / v a l u e > < / i t e m > < i t e m > < k e y > < s t r i n g > N e t E n e r g y 3 7 0 0 < / s t r i n g > < / k e y > < v a l u e > < i n t > 1 2 8 < / i n t > < / v a l u e > < / i t e m > < i t e m > < k e y > < s t r i n g > E s t i m a t e d D e l i v e r e d E n e r g y 3 7 0 0 < / s t r i n g > < / k e y > < v a l u e > < i n t > 2 2 7 < / i n t > < / v a l u e > < / i t e m > < i t e m > < k e y > < s t r i n g > N e t E n e r g y < / s t r i n g > < / k e y > < v a l u e > < i n t > 1 0 0 < / i n t > < / v a l u e > < / i t e m > < i t e m > < k e y > < s t r i n g > E s t i m a t e d D e l i v e r e d E n e r g y < / s t r i n g > < / k e y > < v a l u e > < i n t > 1 9 9 < / i n t > < / v a l u e > < / i t e m > < i t e m > < k e y > < s t r i n g > E n e r g y S a v i n g s < / s t r i n g > < / k e y > < v a l u e > < i n t > 1 2 3 < / i n t > < / v a l u e > < / i t e m > < i t e m > < k e y > < s t r i n g > E n e r g y C o n v e r t e d F r o m E l e c t r i c i t y T o R e n e w a b l e < / s t r i n g > < / k e y > < v a l u e > < i n t > 3 1 9 < / i n t > < / v a l u e > < / i t e m > < i t e m > < k e y > < s t r i n g > E n e r g y C o n v e r t e d F r o m F o s s i l T o R e n e w a b l e < / s t r i n g > < / k e y > < v a l u e > < i n t > 2 9 3 < / i n t > < / v a l u e > < / i t e m > < i t e m > < k e y > < s t r i n g > E n e r g y D e l i v e r e d < / s t r i n g > < / k e y > < v a l u e > < i n t > 1 3 8 < / i n t > < / v a l u e > < / i t e m > < i t e m > < k e y > < s t r i n g > E n o v a F a c t s E n e r g y < / s t r i n g > < / k e y > < v a l u e > < i n t > 1 4 5 < / i n t > < / v a l u e > < / i t e m > < i t e m > < k e y > < s t r i n g > E n o v a F a c t s C o m f o r t < / s t r i n g > < / k e y > < v a l u e > < i n t > 1 5 4 < / i n t > < / v a l u e > < / i t e m > < i t e m > < k e y > < s t r i n g > U V a l u e R o o f < / s t r i n g > < / k e y > < v a l u e > < i n t > 1 0 8 < / i n t > < / v a l u e > < / i t e m > < i t e m > < k e y > < s t r i n g > U V a l u e F l o o r < / s t r i n g > < / k e y > < v a l u e > < i n t > 1 1 1 < / i n t > < / v a l u e > < / i t e m > < i t e m > < k e y > < s t r i n g > U V a l u e W a l l < / s t r i n g > < / k e y > < v a l u e > < i n t > 1 0 6 < / i n t > < / v a l u e > < / i t e m > < i t e m > < k e y > < s t r i n g > U V a l u e W i n d o w < / s t r i n g > < / k e y > < v a l u e > < i n t > 1 3 1 < / i n t > < / v a l u e > < / i t e m > < i t e m > < k e y > < s t r i n g > M e a s u r e d A i r T i g h t n e s s < / s t r i n g > < / k e y > < v a l u e > < i n t > 1 7 4 < / i n t > < / v a l u e > < / i t e m > < i t e m > < k e y > < s t r i n g > S p e c i f i c F a n P o w e r < / s t r i n g > < / k e y > < v a l u e > < i n t > 1 4 4 < / i n t > < / v a l u e > < / i t e m > < i t e m > < k e y > < s t r i n g > H e a t R e c o v e r y E f f i c i e n c y < / s t r i n g > < / k e y > < v a l u e > < i n t > 1 7 9 < / i n t > < / v a l u e > < / i t e m > < i t e m > < k e y > < s t r i n g > R o o m H e a t i n g < / s t r i n g > < / k e y > < v a l u e > < i n t > 1 1 8 < / i n t > < / v a l u e > < / i t e m > < i t e m > < k e y > < s t r i n g > V e n t i l a t i o n H e a t i n g < / s t r i n g > < / k e y > < v a l u e > < i n t > 1 4 9 < / i n t > < / v a l u e > < / i t e m > < i t e m > < k e y > < s t r i n g > D o m e s t i c H o t W a t e r < / s t r i n g > < / k e y > < v a l u e > < i n t > 1 5 1 < / i n t > < / v a l u e > < / i t e m > < i t e m > < k e y > < s t r i n g > F a n A d m i n i s t r a t i o n < / s t r i n g > < / k e y > < v a l u e > < i n t > 1 4 9 < / i n t > < / v a l u e > < / i t e m > < i t e m > < k e y > < s t r i n g > P u m p A d m i n i s t r a t i o n < / s t r i n g > < / k e y > < v a l u e > < i n t > 1 6 3 < / i n t > < / v a l u e > < / i t e m > < i t e m > < k e y > < s t r i n g > L i g h t i n g < / s t r i n g > < / k e y > < v a l u e > < i n t > 8 3 < / i n t > < / v a l u e > < / i t e m > < i t e m > < k e y > < s t r i n g > T e c h n i c a l E q u i p m e n t < / s t r i n g > < / k e y > < v a l u e > < i n t > 1 6 0 < / i n t > < / v a l u e > < / i t e m > < i t e m > < k e y > < s t r i n g > R o o m C o o l i n g < / s t r i n g > < / k e y > < v a l u e > < i n t > 1 1 8 < / i n t > < / v a l u e > < / i t e m > < i t e m > < k e y > < s t r i n g > V e n t i l a t i o n C o o l i n g < / s t r i n g > < / k e y > < v a l u e > < i n t > 1 4 9 < / i n t > < / v a l u e > < / i t e m > < i t e m > < k e y > < s t r i n g > O t h e r E n e r g y P o s t s < / s t r i n g > < / k e y > < v a l u e > < i n t > 1 4 6 < / i n t > < / v a l u e > < / i t e m > < i t e m > < k e y > < s t r i n g > E n e r g y E f f i c i e n c y M e t h o d < / s t r i n g > < / k e y > < v a l u e > < i n t > 1 8 4 < / i n t > < / v a l u e > < / i t e m > < i t e m > < k e y > < s t r i n g > M a n u f a c t u r e r s < / s t r i n g > < / k e y > < v a l u e > < i n t > 1 2 5 < / i n t > < / v a l u e > < / i t e m > < i t e m > < k e y > < s t r i n g > B u i l d i n g C o s t s < / s t r i n g > < / k e y > < v a l u e > < i n t > 1 1 9 < / i n t > < / v a l u e > < / i t e m > < i t e m > < k e y > < s t r i n g > M e r k o s t n a d M 2 < / s t r i n g > < / k e y > < v a l u e > < i n t > 1 2 7 < / i n t > < / v a l u e > < / i t e m > < i t e m > < k e y > < s t r i n g > M e r k o s t n a d E n e r g i M 2 E n o v a < / s t r i n g > < / k e y > < v a l u e > < i n t > 2 0 3 < / i n t > < / v a l u e > < / i t e m > < i t e m > < k e y > < s t r i n g > M e r k o s t n a d U n i v e r s e l l U t f o r m i n g M 2 < / s t r i n g > < / k e y > < v a l u e > < i n t > 2 5 2 < / i n t > < / v a l u e > < / i t e m > < i t e m > < k e y > < s t r i n g > P r o j e c t S u p p o r t E n o v a < / s t r i n g > < / k e y > < v a l u e > < i n t > 1 6 5 < / i n t > < / v a l u e > < / i t e m > < i t e m > < k e y > < s t r i n g > P r o j e c t S u p p o r t H u s b a n k e n < / s t r i n g > < / k e y > < v a l u e > < i n t > 1 9 7 < / i n t > < / v a l u e > < / i t e m > < i t e m > < k e y > < s t r i n g > P u b l i s h e d I n < / s t r i n g > < / k e y > < v a l u e > < i n t > 1 0 9 < / i n t > < / v a l u e > < / i t e m > < i t e m > < k e y > < s t r i n g > R e f e r e n c e s < / s t r i n g > < / k e y > < v a l u e > < i n t > 1 0 5 < / i n t > < / v a l u e > < / i t e m > < i t e m > < k e y > < s t r i n g > S e a r c h S u m m a r y < / s t r i n g > < / k e y > < v a l u e > < i n t > 1 3 4 < / i n t > < / v a l u e > < / i t e m > < i t e m > < k e y > < s t r i n g > L e g g   t i l   k o l o n n e < / s t r i n g > < / k e y > < v a l u e > < i n t > 1 3 5 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 L i s t O r d e r < / s t r i n g > < / k e y > < v a l u e > < i n t > 1 < / i n t > < / v a l u e > < / i t e m > < i t e m > < k e y > < s t r i n g > I m a g e U r l < / s t r i n g > < / k e y > < v a l u e > < i n t > 2 < / i n t > < / v a l u e > < / i t e m > < i t e m > < k e y > < s t r i n g > T h u m b n a i l U r l < / s t r i n g > < / k e y > < v a l u e > < i n t > 3 < / i n t > < / v a l u e > < / i t e m > < i t e m > < k e y > < s t r i n g > N a m e < / s t r i n g > < / k e y > < v a l u e > < i n t > 4 < / i n t > < / v a l u e > < / i t e m > < i t e m > < k e y > < s t r i n g > A u t h o r < / s t r i n g > < / k e y > < v a l u e > < i n t > 5 < / i n t > < / v a l u e > < / i t e m > < i t e m > < k e y > < s t r i n g > U p d a t e d < / s t r i n g > < / k e y > < v a l u e > < i n t > 6 < / i n t > < / v a l u e > < / i t e m > < i t e m > < k e y > < s t r i n g > S u b T i t l e < / s t r i n g > < / k e y > < v a l u e > < i n t > 7 < / i n t > < / v a l u e > < / i t e m > < i t e m > < k e y > < s t r i n g > A u t h o r S i g n a t u r e < / s t r i n g > < / k e y > < v a l u e > < i n t > 8 < / i n t > < / v a l u e > < / i t e m > < i t e m > < k e y > < s t r i n g > P r o j e c t O w n e r N a m e < / s t r i n g > < / k e y > < v a l u e > < i n t > 9 < / i n t > < / v a l u e > < / i t e m > < i t e m > < k e y > < s t r i n g > P r o j e c t O w n e r I d < / s t r i n g > < / k e y > < v a l u e > < i n t > 1 0 < / i n t > < / v a l u e > < / i t e m > < i t e m > < k e y > < s t r i n g > E d i t o r i a l R e s p o n s i b i l i t y < / s t r i n g > < / k e y > < v a l u e > < i n t > 1 1 < / i n t > < / v a l u e > < / i t e m > < i t e m > < k e y > < s t r i n g > S h o r t D e s c r i p t i o n < / s t r i n g > < / k e y > < v a l u e > < i n t > 1 2 < / i n t > < / v a l u e > < / i t e m > < i t e m > < k e y > < s t r i n g > G e n e r a l P r o j e c t T y p e < / s t r i n g > < / k e y > < v a l u e > < i n t > 1 3 < / i n t > < / v a l u e > < / i t e m > < i t e m > < k e y > < s t r i n g > P r o j e c t S t a t u s < / s t r i n g > < / k e y > < v a l u e > < i n t > 1 4 < / i n t > < / v a l u e > < / i t e m > < i t e m > < k e y > < s t r i n g > F i n i s h e d P r o j e c t < / s t r i n g > < / k e y > < v a l u e > < i n t > 1 5 < / i n t > < / v a l u e > < / i t e m > < i t e m > < k e y > < s t r i n g > E n g l i s h C o n t e n t < / s t r i n g > < / k e y > < v a l u e > < i n t > 1 6 < / i n t > < / v a l u e > < / i t e m > < i t e m > < k e y > < s t r i n g > H i d e O n E c o b o x < / s t r i n g > < / k e y > < v a l u e > < i n t > 1 7 < / i n t > < / v a l u e > < / i t e m > < i t e m > < k e y > < s t r i n g > H i d e F r o m P r o j e c t F r o n t P a g e < / s t r i n g > < / k e y > < v a l u e > < i n t > 1 8 < / i n t > < / v a l u e > < / i t e m > < i t e m > < k e y > < s t r i n g > C o n t a c t < / s t r i n g > < / k e y > < v a l u e > < i n t > 1 9 < / i n t > < / v a l u e > < / i t e m > < i t e m > < k e y > < s t r i n g > C o n t a c t P h o n e < / s t r i n g > < / k e y > < v a l u e > < i n t > 2 0 < / i n t > < / v a l u e > < / i t e m > < i t e m > < k e y > < s t r i n g > C o n t a c t E m a i l < / s t r i n g > < / k e y > < v a l u e > < i n t > 2 1 < / i n t > < / v a l u e > < / i t e m > < i t e m > < k e y > < s t r i n g > F B y e r E x t e r n a l T a g s C o u n t < / s t r i n g > < / k e y > < v a l u e > < i n t > 2 2 < / i n t > < / v a l u e > < / i t e m > < i t e m > < k e y > < s t r i n g > E x t e r n a l T a g s C o u n t < / s t r i n g > < / k e y > < v a l u e > < i n t > 2 3 < / i n t > < / v a l u e > < / i t e m > < i t e m > < k e y > < s t r i n g > E x t e r n a l P r o j e c t D B U s e r s C o u n t < / s t r i n g > < / k e y > < v a l u e > < i n t > 2 4 < / i n t > < / v a l u e > < / i t e m > < i t e m > < k e y > < s t r i n g > E c o M e a s u r e s C o u n t < / s t r i n g > < / k e y > < v a l u e > < i n t > 2 5 < / i n t > < / v a l u e > < / i t e m > < i t e m > < k e y > < s t r i n g > E c o n o m y H e a d e r < / s t r i n g > < / k e y > < v a l u e > < i n t > 2 6 < / i n t > < / v a l u e > < / i t e m > < i t e m > < k e y > < s t r i n g > E c o n o m y < / s t r i n g > < / k e y > < v a l u e > < i n t > 2 7 < / i n t > < / v a l u e > < / i t e m > < i t e m > < k e y > < s t r i n g > C o s t B e n e f i t E v a l u a t i o n s C o u n t < / s t r i n g > < / k e y > < v a l u e > < i n t > 2 8 < / i n t > < / v a l u e > < / i t e m > < i t e m > < k e y > < s t r i n g > C l o s i n g P a r a g r a p h H e a d e r < / s t r i n g > < / k e y > < v a l u e > < i n t > 2 9 < / i n t > < / v a l u e > < / i t e m > < i t e m > < k e y > < s t r i n g > C l o s i n g P a r a g r a p h < / s t r i n g > < / k e y > < v a l u e > < i n t > 3 0 < / i n t > < / v a l u e > < / i t e m > < i t e m > < k e y > < s t r i n g > P r o j e c t r e s p o n s i b l e F B N a m e < / s t r i n g > < / k e y > < v a l u e > < i n t > 3 1 < / i n t > < / v a l u e > < / i t e m > < i t e m > < k e y > < s t r i n g > P r o j e c t r e s p o n s i b l e F B I d < / s t r i n g > < / k e y > < v a l u e > < i n t > 3 2 < / i n t > < / v a l u e > < / i t e m > < i t e m > < k e y > < s t r i n g > R e s p o n s i b l e D e p a r t m e n t < / s t r i n g > < / k e y > < v a l u e > < i n t > 3 3 < / i n t > < / v a l u e > < / i t e m > < i t e m > < k e y > < s t r i n g > P r o j e c t A d d r e s s < / s t r i n g > < / k e y > < v a l u e > < i n t > 3 4 < / i n t > < / v a l u e > < / i t e m > < i t e m > < k e y > < s t r i n g > L o c a t i o n < / s t r i n g > < / k e y > < v a l u e > < i n t > 3 5 < / i n t > < / v a l u e > < / i t e m > < i t e m > < k e y > < s t r i n g > M u n i c i p a l i t i e s C o u n t < / s t r i n g > < / k e y > < v a l u e > < i n t > 3 6 < / i n t > < / v a l u e > < / i t e m > < i t e m > < k e y > < s t r i n g > M a p L a t i t u d e < / s t r i n g > < / k e y > < v a l u e > < i n t > 3 7 < / i n t > < / v a l u e > < / i t e m > < i t e m > < k e y > < s t r i n g > M a p L o n g i t u d e < / s t r i n g > < / k e y > < v a l u e > < i n t > 3 8 < / i n t > < / v a l u e > < / i t e m > < i t e m > < k e y > < s t r i n g > M a p Z o o m L e v e l < / s t r i n g > < / k e y > < v a l u e > < i n t > 3 9 < / i n t > < / v a l u e > < / i t e m > < i t e m > < k e y > < s t r i n g > P r o j e c t P e r i o d < / s t r i n g > < / k e y > < v a l u e > < i n t > 4 0 < / i n t > < / v a l u e > < / i t e m > < i t e m > < k e y > < s t r i n g > C o n s t r u c t i o n S t a r t e d Y e a r < / s t r i n g > < / k e y > < v a l u e > < i n t > 4 1 < / i n t > < / v a l u e > < / i t e m > < i t e m > < k e y > < s t r i n g > C o n s t r u c t i o n C o m p l e t e d Y e a r < / s t r i n g > < / k e y > < v a l u e > < i n t > 4 2 < / i n t > < / v a l u e > < / i t e m > < i t e m > < k e y > < s t r i n g > P a r t n e r s C o u n t < / s t r i n g > < / k e y > < v a l u e > < i n t > 4 3 < / i n t > < / v a l u e > < / i t e m > < i t e m > < k e y > < s t r i n g > O t h e r s I n v o l v e d < / s t r i n g > < / k e y > < v a l u e > < i n t > 4 4 < / i n t > < / v a l u e > < / i t e m > < i t e m > < k e y > < s t r i n g > K e y w o r d M e a s u r e s C o u n t < / s t r i n g > < / k e y > < v a l u e > < i n t > 4 5 < / i n t > < / v a l u e > < / i t e m > < i t e m > < k e y > < s t r i n g > C o l l a b o r a t i o n < / s t r i n g > < / k e y > < v a l u e > < i n t > 4 6 < / i n t > < / v a l u e > < / i t e m > < i t e m > < k e y > < s t r i n g > M u n i c i p a l i t i e s C o l l a b o r a t i o n < / s t r i n g > < / k e y > < v a l u e > < i n t > 4 7 < / i n t > < / v a l u e > < / i t e m > < i t e m > < k e y > < s t r i n g > P r i v a t e C o l l a b o r a t i o n < / s t r i n g > < / k e y > < v a l u e > < i n t > 4 8 < / i n t > < / v a l u e > < / i t e m > < i t e m > < k e y > < s t r i n g > O t h e r C o l l a b o r a t i o n < / s t r i n g > < / k e y > < v a l u e > < i n t > 4 9 < / i n t > < / v a l u e > < / i t e m > < i t e m > < k e y > < s t r i n g > P r o g r e s s D e s c r i p t i o n < / s t r i n g > < / k e y > < v a l u e > < i n t > 5 0 < / i n t > < / v a l u e > < / i t e m > < i t e m > < k e y > < s t r i n g > P r o g r e s s S t a t u s < / s t r i n g > < / k e y > < v a l u e > < i n t > 5 1 < / i n t > < / v a l u e > < / i t e m > < i t e m > < k e y > < s t r i n g > F B y e r O t h e r R e s u l t s < / s t r i n g > < / k e y > < v a l u e > < i n t > 5 2 < / i n t > < / v a l u e > < / i t e m > < i t e m > < k e y > < s t r i n g > F B y e r C o s t s < / s t r i n g > < / k e y > < v a l u e > < i n t > 5 3 < / i n t > < / v a l u e > < / i t e m > < i t e m > < k e y > < s t r i n g > F B y e r I m p o r t a n c e < / s t r i n g > < / k e y > < v a l u e > < i n t > 5 4 < / i n t > < / v a l u e > < / i t e m > < i t e m > < k e y > < s t r i n g > F B y e r T i m e U s a g e < / s t r i n g > < / k e y > < v a l u e > < i n t > 5 5 < / i n t > < / v a l u e > < / i t e m > < i t e m > < k e y > < s t r i n g > F B y e r P e o p l e I n f o r m e d < / s t r i n g > < / k e y > < v a l u e > < i n t > 5 6 < / i n t > < / v a l u e > < / i t e m > < i t e m > < k e y > < s t r i n g > F B y e r O t h e r R e m a r k s < / s t r i n g > < / k e y > < v a l u e > < i n t > 5 7 < / i n t > < / v a l u e > < / i t e m > < i t e m > < k e y > < s t r i n g > P r o j e c t P h a s e C o u n t < / s t r i n g > < / k e y > < v a l u e > < i n t > 5 8 < / i n t > < / v a l u e > < / i t e m > < i t e m > < k e y > < s t r i n g > P r o j e c t T y p e s C o u n t < / s t r i n g > < / k e y > < v a l u e > < i n t > 5 9 < / i n t > < / v a l u e > < / i t e m > < i t e m > < k e y > < s t r i n g > F u n c t i o n B u i l d i n g C a t e g o r y C o u n t < / s t r i n g > < / k e y > < v a l u e > < i n t > 6 0 < / i n t > < / v a l u e > < / i t e m > < i t e m > < k e y > < s t r i n g > P r o j e c t C o m p e t i t i o n F o r m C o u n t < / s t r i n g > < / k e y > < v a l u e > < i n t > 6 1 < / i n t > < / v a l u e > < / i t e m > < i t e m > < k e y > < s t r i n g > P r o j e c t C o n t r a c t i n g F o r m C o u n t < / s t r i n g > < / k e y > < v a l u e > < i n t > 6 2 < / i n t > < / v a l u e > < / i t e m > < i t e m > < k e y > < s t r i n g > P r o j e c t E n v i r o n m e n t a l S t a n d a r d C o u n t < / s t r i n g > < / k e y > < v a l u e > < i n t > 6 3 < / i n t > < / v a l u e > < / i t e m > < i t e m > < k e y > < s t r i n g > P r o j e c t A w a r d s C o u n t < / s t r i n g > < / k e y > < v a l u e > < i n t > 6 4 < / i n t > < / v a l u e > < / i t e m > < i t e m > < k e y > < s t r i n g > P r o j e c t R o l e M o d e l C o u n t < / s t r i n g > < / k e y > < v a l u e > < i n t > 6 5 < / i n t > < / v a l u e > < / i t e m > < i t e m > < k e y > < s t r i n g > P r o j e c t R e s e a r c h C o u n t < / s t r i n g > < / k e y > < v a l u e > < i n t > 6 6 < / i n t > < / v a l u e > < / i t e m > < i t e m > < k e y > < s t r i n g > P r o j e c t A r c h i t e c t u r e G u i d e C o u n t < / s t r i n g > < / k e y > < v a l u e > < i n t > 6 7 < / i n t > < / v a l u e > < / i t e m > < i t e m > < k e y > < s t r i n g > B u i l d e r s C o u n t < / s t r i n g > < / k e y > < v a l u e > < i n t > 6 8 < / i n t > < / v a l u e > < / i t e m > < i t e m > < k e y > < s t r i n g > A r c h i t e c t A R K C o u n t < / s t r i n g > < / k e y > < v a l u e > < i n t > 6 9 < / i n t > < / v a l u e > < / i t e m > < i t e m > < k e y > < s t r i n g > A r c h i t e c t L A R K C o u n t < / s t r i n g > < / k e y > < v a l u e > < i n t > 7 0 < / i n t > < / v a l u e > < / i t e m > < i t e m > < k e y > < s t r i n g > A r c h i t e c t I A R K C o u n t < / s t r i n g > < / k e y > < v a l u e > < i n t > 7 1 < / i n t > < / v a l u e > < / i t e m > < i t e m > < k e y > < s t r i n g > O r i g i n a l A r c h i t e c t C o u n t < / s t r i n g > < / k e y > < v a l u e > < i n t > 7 2 < / i n t > < / v a l u e > < / i t e m > < i t e m > < k e y > < s t r i n g > P r o j e c t M a n a g a g e r s C o u n t < / s t r i n g > < / k e y > < v a l u e > < i n t > 7 3 < / i n t > < / v a l u e > < / i t e m > < i t e m > < k e y > < s t r i n g > E n v i r o n m e n t C o n s u l t a n t s C o u n t < / s t r i n g > < / k e y > < v a l u e > < i n t > 7 4 < / i n t > < / v a l u e > < / i t e m > < i t e m > < k e y > < s t r i n g > E n e r g y C o n s u l t a n t s C o u n t < / s t r i n g > < / k e y > < v a l u e > < i n t > 7 5 < / i n t > < / v a l u e > < / i t e m > < i t e m > < k e y > < s t r i n g > U n i v e r s a l D e s i g n C o n s u l t a n t s C o u n t < / s t r i n g > < / k e y > < v a l u e > < i n t > 7 6 < / i n t > < / v a l u e > < / i t e m > < i t e m > < k e y > < s t r i n g > A d v i s o r I n g B y g g N a m e < / s t r i n g > < / k e y > < v a l u e > < i n t > 7 7 < / i n t > < / v a l u e > < / i t e m > < i t e m > < k e y > < s t r i n g > A d v i s o r I n g B y g g I d < / s t r i n g > < / k e y > < v a l u e > < i n t > 7 8 < / i n t > < / v a l u e > < / i t e m > < i t e m > < k e y > < s t r i n g > A d v i s o r I n g V V S N a m e < / s t r i n g > < / k e y > < v a l u e > < i n t > 7 9 < / i n t > < / v a l u e > < / i t e m > < i t e m > < k e y > < s t r i n g > A d v i s o r I n g V V S I d < / s t r i n g > < / k e y > < v a l u e > < i n t > 8 0 < / i n t > < / v a l u e > < / i t e m > < i t e m > < k e y > < s t r i n g > A d v i s o r I n g E l e k t r o N a m e < / s t r i n g > < / k e y > < v a l u e > < i n t > 8 1 < / i n t > < / v a l u e > < / i t e m > < i t e m > < k e y > < s t r i n g > A d v i s o r I n g E l e k t r o I d < / s t r i n g > < / k e y > < v a l u e > < i n t > 8 2 < / i n t > < / v a l u e > < / i t e m > < i t e m > < k e y > < s t r i n g > A d v i s o r i n g B u i l d i n g P h y s i c s N a m e < / s t r i n g > < / k e y > < v a l u e > < i n t > 8 3 < / i n t > < / v a l u e > < / i t e m > < i t e m > < k e y > < s t r i n g > A d v i s o r i n g B u i l d i n g P h y s i c s I d < / s t r i n g > < / k e y > < v a l u e > < i n t > 8 4 < / i n t > < / v a l u e > < / i t e m > < i t e m > < k e y > < s t r i n g > A d v i s o r I n g F i r e S a f e t y N a m e < / s t r i n g > < / k e y > < v a l u e > < i n t > 8 5 < / i n t > < / v a l u e > < / i t e m > < i t e m > < k e y > < s t r i n g > A d v i s o r I n g F i r e S a f e t y I d < / s t r i n g > < / k e y > < v a l u e > < i n t > 8 6 < / i n t > < / v a l u e > < / i t e m > < i t e m > < k e y > < s t r i n g > A d v i s o r I n g A c o u s t i c s N a m e < / s t r i n g > < / k e y > < v a l u e > < i n t > 8 7 < / i n t > < / v a l u e > < / i t e m > < i t e m > < k e y > < s t r i n g > A d v i s o r I n g A c o u s t i c s I d < / s t r i n g > < / k e y > < v a l u e > < i n t > 8 8 < / i n t > < / v a l u e > < / i t e m > < i t e m > < k e y > < s t r i n g > O t h e r A d v i s o r s < / s t r i n g > < / k e y > < v a l u e > < i n t > 8 9 < / i n t > < / v a l u e > < / i t e m > < i t e m > < k e y > < s t r i n g > C o n t r a c t o r s C o u n t < / s t r i n g > < / k e y > < v a l u e > < i n t > 9 0 < / i n t > < / v a l u e > < / i t e m > < i t e m > < k e y > < s t r i n g > C o n s t r u c t i o n M a n a g e m e n t C o u n t < / s t r i n g > < / k e y > < v a l u e > < i n t > 9 1 < / i n t > < / v a l u e > < / i t e m > < i t e m > < k e y > < s t r i n g > S u p p l i e r s C o u n t < / s t r i n g > < / k e y > < v a l u e > < i n t > 9 2 < / i n t > < / v a l u e > < / i t e m > < i t e m > < k e y > < s t r i n g > S u b C o n t r a c t o r s < / s t r i n g > < / k e y > < v a l u e > < i n t > 9 3 < / i n t > < / v a l u e > < / i t e m > < i t e m > < k e y > < s t r i n g > S h o w K e y F i g u r e s < / s t r i n g > < / k e y > < v a l u e > < i n t > 9 4 < / i n t > < / v a l u e > < / i t e m > < i t e m > < k e y > < s t r i n g > A r e a U s e d < / s t r i n g > < / k e y > < v a l u e > < i n t > 9 5 < / i n t > < / v a l u e > < / i t e m > < i t e m > < k e y > < s t r i n g > N u m b e r O f R e s i d e n t s < / s t r i n g > < / k e y > < v a l u e > < i n t > 9 6 < / i n t > < / v a l u e > < / i t e m > < i t e m > < k e y > < s t r i n g > S q u a r e F o o t B T A < / s t r i n g > < / k e y > < v a l u e > < i n t > 9 7 < / i n t > < / v a l u e > < / i t e m > < i t e m > < k e y > < s t r i n g > G r o s s S q u a r e F o o t B T A < / s t r i n g > < / k e y > < v a l u e > < i n t > 9 8 < / i n t > < / v a l u e > < / i t e m > < i t e m > < k e y > < s t r i n g > G r o s s S q u a r e F o o t < / s t r i n g > < / k e y > < v a l u e > < i n t > 9 9 < / i n t > < / v a l u e > < / i t e m > < i t e m > < k e y > < s t r i n g > G r o s s S q u a r e F o o t H e a t e d < / s t r i n g > < / k e y > < v a l u e > < i n t > 1 0 0 < / i n t > < / v a l u e > < / i t e m > < i t e m > < k e y > < s t r i n g > S q u a r e F o o t G l a s s < / s t r i n g > < / k e y > < v a l u e > < i n t > 1 0 1 < / i n t > < / v a l u e > < / i t e m > < i t e m > < k e y > < s t r i n g > C o m p a c t n e s s F a c t o r < / s t r i n g > < / k e y > < v a l u e > < i n t > 1 0 2 < / i n t > < / v a l u e > < / i t e m > < i t e m > < k e y > < s t r i n g > G r e e n A r e a I n c e a s e < / s t r i n g > < / k e y > < v a l u e > < i n t > 1 0 3 < / i n t > < / v a l u e > < / i t e m > < i t e m > < k e y > < s t r i n g > H a r d A r e a R e d u c t i o n < / s t r i n g > < / k e y > < v a l u e > < i n t > 1 0 4 < / i n t > < / v a l u e > < / i t e m > < i t e m > < k e y > < s t r i n g > W a l k w a y s L e n g t h < / s t r i n g > < / k e y > < v a l u e > < i n t > 1 0 5 < / i n t > < / v a l u e > < / i t e m > < i t e m > < k e y > < s t r i n g > D i s t a n c e T o C o l l e c t i v e P o i n t < / s t r i n g > < / k e y > < v a l u e > < i n t > 1 0 6 < / i n t > < / v a l u e > < / i t e m > < i t e m > < k e y > < s t r i n g > D i s t a n c e T o C i t y C e n t e r < / s t r i n g > < / k e y > < v a l u e > < i n t > 1 0 7 < / i n t > < / v a l u e > < / i t e m > < i t e m > < k e y > < s t r i n g > P a r k i n g A r e a < / s t r i n g > < / k e y > < v a l u e > < i n t > 1 0 8 < / i n t > < / v a l u e > < / i t e m > < i t e m > < k e y > < s t r i n g > P a r k i n g S p o t s P e r U n i t < / s t r i n g > < / k e y > < v a l u e > < i n t > 1 0 9 < / i n t > < / v a l u e > < / i t e m > < i t e m > < k e y > < s t r i n g > B i k e P a r k i n g A r e a < / s t r i n g > < / k e y > < v a l u e > < i n t > 1 1 0 < / i n t > < / v a l u e > < / i t e m > < i t e m > < k e y > < s t r i n g > B i k e P a r k i n g S p o t s P e r U n i t < / s t r i n g > < / k e y > < v a l u e > < i n t > 1 1 1 < / i n t > < / v a l u e > < / i t e m > < i t e m > < k e y > < s t r i n g > F B y e r C O 2 < / s t r i n g > < / k e y > < v a l u e > < i n t > 1 1 2 < / i n t > < / v a l u e > < / i t e m > < i t e m > < k e y > < s t r i n g > C O 2 M e t h o d < / s t r i n g > < / k e y > < v a l u e > < i n t > 1 1 3 < / i n t > < / v a l u e > < / i t e m > < i t e m > < k e y > < s t r i n g > C O 2 R e f e r e n c e E n e r g y < / s t r i n g > < / k e y > < v a l u e > < i n t > 1 1 4 < / i n t > < / v a l u e > < / i t e m > < i t e m > < k e y > < s t r i n g > C O 2 R e f e r e n c e M a t e r i a l s < / s t r i n g > < / k e y > < v a l u e > < i n t > 1 1 5 < / i n t > < / v a l u e > < / i t e m > < i t e m > < k e y > < s t r i n g > C O 2 R e f e r e n c e T r a n s p o r t < / s t r i n g > < / k e y > < v a l u e > < i n t > 1 1 6 < / i n t > < / v a l u e > < / i t e m > < i t e m > < k e y > < s t r i n g > C O 2 D e s i g n e d E n e r g y < / s t r i n g > < / k e y > < v a l u e > < i n t > 1 1 7 < / i n t > < / v a l u e > < / i t e m > < i t e m > < k e y > < s t r i n g > C O 2 D e s i g n e d M a t e r i a l s < / s t r i n g > < / k e y > < v a l u e > < i n t > 1 1 8 < / i n t > < / v a l u e > < / i t e m > < i t e m > < k e y > < s t r i n g > C O 2 D e s i g n e d T r a n s p o r t < / s t r i n g > < / k e y > < v a l u e > < i n t > 1 1 9 < / i n t > < / v a l u e > < / i t e m > < i t e m > < k e y > < s t r i n g > C O 2 F i n i s h e d E n e r g y < / s t r i n g > < / k e y > < v a l u e > < i n t > 1 2 0 < / i n t > < / v a l u e > < / i t e m > < i t e m > < k e y > < s t r i n g > C O 2 F i n i s h e d M a t e r i a l s < / s t r i n g > < / k e y > < v a l u e > < i n t > 1 2 1 < / i n t > < / v a l u e > < / i t e m > < i t e m > < k e y > < s t r i n g > C O 2 F i n i s h e d T r a n s p o r t < / s t r i n g > < / k e y > < v a l u e > < i n t > 1 2 2 < / i n t > < / v a l u e > < / i t e m > < i t e m > < k e y > < s t r i n g > C O 2 I n U s e E n e r g y < / s t r i n g > < / k e y > < v a l u e > < i n t > 1 2 3 < / i n t > < / v a l u e > < / i t e m > < i t e m > < k e y > < s t r i n g > C O 2 I n U s e M a t e r i a l s < / s t r i n g > < / k e y > < v a l u e > < i n t > 1 2 4 < / i n t > < / v a l u e > < / i t e m > < i t e m > < k e y > < s t r i n g > C O 2 I n U s e T r a n s p o r t < / s t r i n g > < / k e y > < v a l u e > < i n t > 1 2 5 < / i n t > < / v a l u e > < / i t e m > < i t e m > < k e y > < s t r i n g > E n e r g y L a b e l < / s t r i n g > < / k e y > < v a l u e > < i n t > 1 2 6 < / i n t > < / v a l u e > < / i t e m > < i t e m > < k e y > < s t r i n g > H e a t R a t i n g < / s t r i n g > < / k e y > < v a l u e > < i n t > 1 2 7 < / i n t > < / v a l u e > < / i t e m > < i t e m > < k e y > < s t r i n g > E n e r g y C o n s u m p t i o n < / s t r i n g > < / k e y > < v a l u e > < i n t > 1 2 8 < / i n t > < / v a l u e > < / i t e m > < i t e m > < k e y > < s t r i n g > E n e r g y S o u r c e s < / s t r i n g > < / k e y > < v a l u e > < i n t > 1 2 9 < / i n t > < / v a l u e > < / i t e m > < i t e m > < k e y > < s t r i n g > N e t E n e r g y 3 7 0 0 < / s t r i n g > < / k e y > < v a l u e > < i n t > 1 3 0 < / i n t > < / v a l u e > < / i t e m > < i t e m > < k e y > < s t r i n g > E s t i m a t e d D e l i v e r e d E n e r g y 3 7 0 0 < / s t r i n g > < / k e y > < v a l u e > < i n t > 1 3 1 < / i n t > < / v a l u e > < / i t e m > < i t e m > < k e y > < s t r i n g > N e t E n e r g y < / s t r i n g > < / k e y > < v a l u e > < i n t > 1 3 2 < / i n t > < / v a l u e > < / i t e m > < i t e m > < k e y > < s t r i n g > E s t i m a t e d D e l i v e r e d E n e r g y < / s t r i n g > < / k e y > < v a l u e > < i n t > 1 3 3 < / i n t > < / v a l u e > < / i t e m > < i t e m > < k e y > < s t r i n g > E n e r g y S a v i n g s < / s t r i n g > < / k e y > < v a l u e > < i n t > 1 3 4 < / i n t > < / v a l u e > < / i t e m > < i t e m > < k e y > < s t r i n g > E n e r g y C o n v e r t e d F r o m E l e c t r i c i t y T o R e n e w a b l e < / s t r i n g > < / k e y > < v a l u e > < i n t > 1 3 5 < / i n t > < / v a l u e > < / i t e m > < i t e m > < k e y > < s t r i n g > E n e r g y C o n v e r t e d F r o m F o s s i l T o R e n e w a b l e < / s t r i n g > < / k e y > < v a l u e > < i n t > 1 3 6 < / i n t > < / v a l u e > < / i t e m > < i t e m > < k e y > < s t r i n g > E n e r g y D e l i v e r e d < / s t r i n g > < / k e y > < v a l u e > < i n t > 1 3 7 < / i n t > < / v a l u e > < / i t e m > < i t e m > < k e y > < s t r i n g > E n o v a F a c t s E n e r g y < / s t r i n g > < / k e y > < v a l u e > < i n t > 1 3 8 < / i n t > < / v a l u e > < / i t e m > < i t e m > < k e y > < s t r i n g > E n o v a F a c t s C o m f o r t < / s t r i n g > < / k e y > < v a l u e > < i n t > 1 3 9 < / i n t > < / v a l u e > < / i t e m > < i t e m > < k e y > < s t r i n g > U V a l u e R o o f < / s t r i n g > < / k e y > < v a l u e > < i n t > 1 4 0 < / i n t > < / v a l u e > < / i t e m > < i t e m > < k e y > < s t r i n g > U V a l u e F l o o r < / s t r i n g > < / k e y > < v a l u e > < i n t > 1 4 1 < / i n t > < / v a l u e > < / i t e m > < i t e m > < k e y > < s t r i n g > U V a l u e W a l l < / s t r i n g > < / k e y > < v a l u e > < i n t > 1 4 2 < / i n t > < / v a l u e > < / i t e m > < i t e m > < k e y > < s t r i n g > U V a l u e W i n d o w < / s t r i n g > < / k e y > < v a l u e > < i n t > 1 4 3 < / i n t > < / v a l u e > < / i t e m > < i t e m > < k e y > < s t r i n g > M e a s u r e d A i r T i g h t n e s s < / s t r i n g > < / k e y > < v a l u e > < i n t > 1 4 4 < / i n t > < / v a l u e > < / i t e m > < i t e m > < k e y > < s t r i n g > S p e c i f i c F a n P o w e r < / s t r i n g > < / k e y > < v a l u e > < i n t > 1 4 5 < / i n t > < / v a l u e > < / i t e m > < i t e m > < k e y > < s t r i n g > H e a t R e c o v e r y E f f i c i e n c y < / s t r i n g > < / k e y > < v a l u e > < i n t > 1 4 6 < / i n t > < / v a l u e > < / i t e m > < i t e m > < k e y > < s t r i n g > R o o m H e a t i n g < / s t r i n g > < / k e y > < v a l u e > < i n t > 1 4 7 < / i n t > < / v a l u e > < / i t e m > < i t e m > < k e y > < s t r i n g > V e n t i l a t i o n H e a t i n g < / s t r i n g > < / k e y > < v a l u e > < i n t > 1 4 8 < / i n t > < / v a l u e > < / i t e m > < i t e m > < k e y > < s t r i n g > D o m e s t i c H o t W a t e r < / s t r i n g > < / k e y > < v a l u e > < i n t > 1 4 9 < / i n t > < / v a l u e > < / i t e m > < i t e m > < k e y > < s t r i n g > F a n A d m i n i s t r a t i o n < / s t r i n g > < / k e y > < v a l u e > < i n t > 1 5 0 < / i n t > < / v a l u e > < / i t e m > < i t e m > < k e y > < s t r i n g > P u m p A d m i n i s t r a t i o n < / s t r i n g > < / k e y > < v a l u e > < i n t > 1 5 1 < / i n t > < / v a l u e > < / i t e m > < i t e m > < k e y > < s t r i n g > L i g h t i n g < / s t r i n g > < / k e y > < v a l u e > < i n t > 1 5 2 < / i n t > < / v a l u e > < / i t e m > < i t e m > < k e y > < s t r i n g > T e c h n i c a l E q u i p m e n t < / s t r i n g > < / k e y > < v a l u e > < i n t > 1 5 3 < / i n t > < / v a l u e > < / i t e m > < i t e m > < k e y > < s t r i n g > R o o m C o o l i n g < / s t r i n g > < / k e y > < v a l u e > < i n t > 1 5 4 < / i n t > < / v a l u e > < / i t e m > < i t e m > < k e y > < s t r i n g > V e n t i l a t i o n C o o l i n g < / s t r i n g > < / k e y > < v a l u e > < i n t > 1 5 5 < / i n t > < / v a l u e > < / i t e m > < i t e m > < k e y > < s t r i n g > O t h e r E n e r g y P o s t s < / s t r i n g > < / k e y > < v a l u e > < i n t > 1 5 6 < / i n t > < / v a l u e > < / i t e m > < i t e m > < k e y > < s t r i n g > E n e r g y E f f i c i e n c y M e t h o d < / s t r i n g > < / k e y > < v a l u e > < i n t > 1 5 7 < / i n t > < / v a l u e > < / i t e m > < i t e m > < k e y > < s t r i n g > M a n u f a c t u r e r s < / s t r i n g > < / k e y > < v a l u e > < i n t > 1 5 8 < / i n t > < / v a l u e > < / i t e m > < i t e m > < k e y > < s t r i n g > B u i l d i n g C o s t s < / s t r i n g > < / k e y > < v a l u e > < i n t > 1 5 9 < / i n t > < / v a l u e > < / i t e m > < i t e m > < k e y > < s t r i n g > M e r k o s t n a d M 2 < / s t r i n g > < / k e y > < v a l u e > < i n t > 1 6 0 < / i n t > < / v a l u e > < / i t e m > < i t e m > < k e y > < s t r i n g > M e r k o s t n a d E n e r g i M 2 E n o v a < / s t r i n g > < / k e y > < v a l u e > < i n t > 1 6 1 < / i n t > < / v a l u e > < / i t e m > < i t e m > < k e y > < s t r i n g > M e r k o s t n a d U n i v e r s e l l U t f o r m i n g M 2 < / s t r i n g > < / k e y > < v a l u e > < i n t > 1 6 2 < / i n t > < / v a l u e > < / i t e m > < i t e m > < k e y > < s t r i n g > P r o j e c t S u p p o r t E n o v a < / s t r i n g > < / k e y > < v a l u e > < i n t > 1 6 3 < / i n t > < / v a l u e > < / i t e m > < i t e m > < k e y > < s t r i n g > P r o j e c t S u p p o r t H u s b a n k e n < / s t r i n g > < / k e y > < v a l u e > < i n t > 1 6 4 < / i n t > < / v a l u e > < / i t e m > < i t e m > < k e y > < s t r i n g > P u b l i s h e d I n < / s t r i n g > < / k e y > < v a l u e > < i n t > 1 6 5 < / i n t > < / v a l u e > < / i t e m > < i t e m > < k e y > < s t r i n g > R e f e r e n c e s < / s t r i n g > < / k e y > < v a l u e > < i n t > 1 6 6 < / i n t > < / v a l u e > < / i t e m > < i t e m > < k e y > < s t r i n g > S e a r c h S u m m a r y < / s t r i n g > < / k e y > < v a l u e > < i n t > 1 6 7 < / i n t > < / v a l u e > < / i t e m > < i t e m > < k e y > < s t r i n g > L e g g   t i l   k o l o n n e < / s t r i n g > < / k e y > < v a l u e > < i n t > 1 6 8 < / i n t > < / v a l u e > < / i t e m > < / C o l u m n D i s p l a y I n d e x > < C o l u m n F r o z e n   / > < C o l u m n H i d d e n   / > < C o l u m n C h e c k e d   / > < C o l u m n F i l t e r > < i t e m > < k e y > < s t r i n g > E n e r g y L a b e l < / s t r i n g > < / k e y > < v a l u e > < F i l t e r E x p r e s s i o n   x s i : n i l = " t r u e "   / > < / v a l u e > < / i t e m > < / C o l u m n F i l t e r > < S e l e c t i o n F i l t e r > < i t e m > < k e y > < s t r i n g > E n e r g y L a b e l < / s t r i n g > < / k e y > < v a l u e > < S e l e c t i o n F i l t e r > < S e l e c t i o n T y p e > D e s e l e c t < / S e l e c t i o n T y p e > < I t e m s > < a n y T y p e   x s i : t y p e = " x s d : s t r i n g " > n o n e < / a n y T y p e > < / I t e m s > < / S e l e c t i o n F i l t e r > < / v a l u e > < / i t e m > < / S e l e c t i o n F i l t e r > < F i l t e r P a r a m e t e r s > < i t e m > < k e y > < s t r i n g > E n e r g y L a b e l < / s t r i n g > < / k e y > < v a l u e > < C o m m a n d P a r a m e t e r s   / > < / v a l u e > < / i t e m > < / F i l t e r P a r a m e t e r s > < S o r t B y C o l u m n > S q u a r e F o o t G l a s s < / S o r t B y C o l u m n > < I s S o r t D e s c e n d i n g > t r u e 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7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EC8561B693247A205301C4AA5CDE3" ma:contentTypeVersion="17" ma:contentTypeDescription="Opprett et nytt dokument." ma:contentTypeScope="" ma:versionID="5fc3a2ae9e40d010bcde25f19c713daa">
  <xsd:schema xmlns:xsd="http://www.w3.org/2001/XMLSchema" xmlns:xs="http://www.w3.org/2001/XMLSchema" xmlns:p="http://schemas.microsoft.com/office/2006/metadata/properties" xmlns:ns2="737cb0d7-2b67-4950-802b-d125605fc250" xmlns:ns3="6425d6e2-2d12-4dbe-9b0d-2abb69d74db6" targetNamespace="http://schemas.microsoft.com/office/2006/metadata/properties" ma:root="true" ma:fieldsID="2afb2a2d409553a2749bd1d54be5b512" ns2:_="" ns3:_="">
    <xsd:import namespace="737cb0d7-2b67-4950-802b-d125605fc250"/>
    <xsd:import namespace="6425d6e2-2d12-4dbe-9b0d-2abb69d74d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Dato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cb0d7-2b67-4950-802b-d125605fc2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6898210-b397-4e92-9435-2f30e2d0131f}" ma:internalName="TaxCatchAll" ma:showField="CatchAllData" ma:web="737cb0d7-2b67-4950-802b-d125605fc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5d6e2-2d12-4dbe-9b0d-2abb69d74d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o" ma:index="20" nillable="true" ma:displayName="Dato" ma:format="DateOnly" ma:internalName="Dato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57bf6439-6bc2-4a06-bccd-8ca5585f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6425d6e2-2d12-4dbe-9b0d-2abb69d74db6" xsi:nil="true"/>
    <SharedWithUsers xmlns="737cb0d7-2b67-4950-802b-d125605fc250">
      <UserInfo>
        <DisplayName>Stein Stoknes</DisplayName>
        <AccountId>22</AccountId>
        <AccountType/>
      </UserInfo>
    </SharedWithUsers>
    <lcf76f155ced4ddcb4097134ff3c332f xmlns="6425d6e2-2d12-4dbe-9b0d-2abb69d74db6">
      <Terms xmlns="http://schemas.microsoft.com/office/infopath/2007/PartnerControls"/>
    </lcf76f155ced4ddcb4097134ff3c332f>
    <TaxCatchAll xmlns="737cb0d7-2b67-4950-802b-d125605fc250" xsi:nil="true"/>
  </documentManagement>
</p:properties>
</file>

<file path=customXml/itemProps1.xml><?xml version="1.0" encoding="utf-8"?>
<ds:datastoreItem xmlns:ds="http://schemas.openxmlformats.org/officeDocument/2006/customXml" ds:itemID="{8E6AAF7D-3B5F-498F-A360-C5D04AC6F723}">
  <ds:schemaRefs>
    <ds:schemaRef ds:uri="http://gemini/pivotcustomization/ClientWindowXML"/>
  </ds:schemaRefs>
</ds:datastoreItem>
</file>

<file path=customXml/itemProps10.xml><?xml version="1.0" encoding="utf-8"?>
<ds:datastoreItem xmlns:ds="http://schemas.openxmlformats.org/officeDocument/2006/customXml" ds:itemID="{D526AAEA-51A7-448C-9080-358F60141CC0}">
  <ds:schemaRefs>
    <ds:schemaRef ds:uri="http://gemini/workbookcustomization/LinkedTables"/>
  </ds:schemaRefs>
</ds:datastoreItem>
</file>

<file path=customXml/itemProps11.xml><?xml version="1.0" encoding="utf-8"?>
<ds:datastoreItem xmlns:ds="http://schemas.openxmlformats.org/officeDocument/2006/customXml" ds:itemID="{30CAC8DF-796F-4925-8C26-06FAD00CA4F5}">
  <ds:schemaRefs>
    <ds:schemaRef ds:uri="http://gemini/pivotcustomization/LinkedTableUpdateMode"/>
  </ds:schemaRefs>
</ds:datastoreItem>
</file>

<file path=customXml/itemProps12.xml><?xml version="1.0" encoding="utf-8"?>
<ds:datastoreItem xmlns:ds="http://schemas.openxmlformats.org/officeDocument/2006/customXml" ds:itemID="{777D292D-F75D-40A4-8E4D-BBFFB8846413}">
  <ds:schemaRefs>
    <ds:schemaRef ds:uri="http://gemini/pivotcustomization/ManualCalcMode"/>
  </ds:schemaRefs>
</ds:datastoreItem>
</file>

<file path=customXml/itemProps13.xml><?xml version="1.0" encoding="utf-8"?>
<ds:datastoreItem xmlns:ds="http://schemas.openxmlformats.org/officeDocument/2006/customXml" ds:itemID="{6412F10B-0C1A-4B01-BD04-A7206D458D75}">
  <ds:schemaRefs>
    <ds:schemaRef ds:uri="http://gemini/pivotcustomization/TableOrder"/>
  </ds:schemaRefs>
</ds:datastoreItem>
</file>

<file path=customXml/itemProps2.xml><?xml version="1.0" encoding="utf-8"?>
<ds:datastoreItem xmlns:ds="http://schemas.openxmlformats.org/officeDocument/2006/customXml" ds:itemID="{C7089FEB-AB9C-4927-BC3B-2C2BB34F1EB4}">
  <ds:schemaRefs>
    <ds:schemaRef ds:uri="http://gemini/workbookcustomization/SandboxNonEmpty"/>
  </ds:schemaRefs>
</ds:datastoreItem>
</file>

<file path=customXml/itemProps3.xml><?xml version="1.0" encoding="utf-8"?>
<ds:datastoreItem xmlns:ds="http://schemas.openxmlformats.org/officeDocument/2006/customXml" ds:itemID="{EEA35D8D-F005-4C23-BDFD-FD528CD88C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851E7C-018D-4450-A294-9B2692C8C755}">
  <ds:schemaRefs>
    <ds:schemaRef ds:uri="http://gemini/workbookcustomization/MetadataRecoveryInformation"/>
  </ds:schemaRefs>
</ds:datastoreItem>
</file>

<file path=customXml/itemProps5.xml><?xml version="1.0" encoding="utf-8"?>
<ds:datastoreItem xmlns:ds="http://schemas.openxmlformats.org/officeDocument/2006/customXml" ds:itemID="{D885A4AA-C017-4FD7-BEF1-A57620CB6462}">
  <ds:schemaRefs>
    <ds:schemaRef ds:uri="http://gemini/pivotcustomization/TableXML_69be90fd-006b-422a-8280-57cea090d578"/>
  </ds:schemaRefs>
</ds:datastoreItem>
</file>

<file path=customXml/itemProps6.xml><?xml version="1.0" encoding="utf-8"?>
<ds:datastoreItem xmlns:ds="http://schemas.openxmlformats.org/officeDocument/2006/customXml" ds:itemID="{E5BF256C-1D92-4B18-8CB3-70167808C5AE}">
  <ds:schemaRefs>
    <ds:schemaRef ds:uri="http://gemini/pivotcustomization/TableCountInSandbox"/>
  </ds:schemaRefs>
</ds:datastoreItem>
</file>

<file path=customXml/itemProps7.xml><?xml version="1.0" encoding="utf-8"?>
<ds:datastoreItem xmlns:ds="http://schemas.openxmlformats.org/officeDocument/2006/customXml" ds:itemID="{33D08921-5AE0-4FE5-9136-78590A00D139}">
  <ds:schemaRefs>
    <ds:schemaRef ds:uri="http://gemini/workbookcustomization/RelationshipAutoDetectionEnabled"/>
  </ds:schemaRefs>
</ds:datastoreItem>
</file>

<file path=customXml/itemProps8.xml><?xml version="1.0" encoding="utf-8"?>
<ds:datastoreItem xmlns:ds="http://schemas.openxmlformats.org/officeDocument/2006/customXml" ds:itemID="{C2226F7D-8C62-48DA-9540-054D071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cb0d7-2b67-4950-802b-d125605fc250"/>
    <ds:schemaRef ds:uri="6425d6e2-2d12-4dbe-9b0d-2abb69d74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26C04309-CDF4-4F1D-836B-93C25CCE2758}">
  <ds:schemaRefs>
    <ds:schemaRef ds:uri="http://purl.org/dc/elements/1.1/"/>
    <ds:schemaRef ds:uri="http://schemas.microsoft.com/office/2006/documentManagement/types"/>
    <ds:schemaRef ds:uri="737cb0d7-2b67-4950-802b-d125605fc250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425d6e2-2d12-4dbe-9b0d-2abb69d74db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31</vt:i4>
      </vt:variant>
      <vt:variant>
        <vt:lpstr>Navngitte områder</vt:lpstr>
      </vt:variant>
      <vt:variant>
        <vt:i4>1959</vt:i4>
      </vt:variant>
    </vt:vector>
  </HeadingPairs>
  <TitlesOfParts>
    <vt:vector size="1990" baseType="lpstr">
      <vt:lpstr>OPPLYSNINGER</vt:lpstr>
      <vt:lpstr>Verdier (kun for FutureBuilt)</vt:lpstr>
      <vt:lpstr>Relations</vt:lpstr>
      <vt:lpstr>Enumerations</vt:lpstr>
      <vt:lpstr>FylkeKommune</vt:lpstr>
      <vt:lpstr>MiljoTiltak</vt:lpstr>
      <vt:lpstr>ProjectExport</vt:lpstr>
      <vt:lpstr>MeasureExport</vt:lpstr>
      <vt:lpstr>EcoProject</vt:lpstr>
      <vt:lpstr>EcoMeasure</vt:lpstr>
      <vt:lpstr>tbl_ArchitectureOffices</vt:lpstr>
      <vt:lpstr>tbl_Companys</vt:lpstr>
      <vt:lpstr>tbl_ConsultingCompanys</vt:lpstr>
      <vt:lpstr>tbl_ArchitectureGuides</vt:lpstr>
      <vt:lpstr>tbl_ProjectAwardss</vt:lpstr>
      <vt:lpstr>tbl_ProjectCompetitions</vt:lpstr>
      <vt:lpstr>tbl_ContractingForms</vt:lpstr>
      <vt:lpstr>tbl_EnvironmentalStandards</vt:lpstr>
      <vt:lpstr>tbl_ProjectPhases</vt:lpstr>
      <vt:lpstr>tbl_RoleModels</vt:lpstr>
      <vt:lpstr>tbl_Researchs</vt:lpstr>
      <vt:lpstr>tbl_ExternalProjectDBUsers</vt:lpstr>
      <vt:lpstr>tbl_ExternalTags</vt:lpstr>
      <vt:lpstr>tbl_FByerExternalTags</vt:lpstr>
      <vt:lpstr>tbl_Municipalitys</vt:lpstr>
      <vt:lpstr>tbl_Countys</vt:lpstr>
      <vt:lpstr>tbl_ProjectTypes</vt:lpstr>
      <vt:lpstr>tbl_EcoMeasureTypes</vt:lpstr>
      <vt:lpstr>tbl_EcoMeasureTypeCategorys</vt:lpstr>
      <vt:lpstr>tbl_EcoMeasures</vt:lpstr>
      <vt:lpstr>tbl_ArchitectofficeCategorys</vt:lpstr>
      <vt:lpstr>AdvisorIngAcoustics</vt:lpstr>
      <vt:lpstr>AdvisorIngBuildingPhysics</vt:lpstr>
      <vt:lpstr>AdvisorIngBygg</vt:lpstr>
      <vt:lpstr>AdvisorIngElektro</vt:lpstr>
      <vt:lpstr>AdvisorIngFireSafety</vt:lpstr>
      <vt:lpstr>AdvisorIngVVS</vt:lpstr>
      <vt:lpstr>ArchitectARK</vt:lpstr>
      <vt:lpstr>ArchitectIARK</vt:lpstr>
      <vt:lpstr>ArchitectLARK</vt:lpstr>
      <vt:lpstr>AreaUsed</vt:lpstr>
      <vt:lpstr>AuthorSignature</vt:lpstr>
      <vt:lpstr>BikeParkingArea</vt:lpstr>
      <vt:lpstr>BikeParkingSpotsPerUnit</vt:lpstr>
      <vt:lpstr>Builders</vt:lpstr>
      <vt:lpstr>BuildingCosts</vt:lpstr>
      <vt:lpstr>ChangeLog</vt:lpstr>
      <vt:lpstr>ClosingParagraph</vt:lpstr>
      <vt:lpstr>ClosingParagraphHeader</vt:lpstr>
      <vt:lpstr>CO2DesignedEnergy</vt:lpstr>
      <vt:lpstr>CO2DesignedMaterials</vt:lpstr>
      <vt:lpstr>CO2DesignedTransport</vt:lpstr>
      <vt:lpstr>CO2DesignesEnergy</vt:lpstr>
      <vt:lpstr>CO2FinishedEnergy</vt:lpstr>
      <vt:lpstr>CO2FinishedMaterials</vt:lpstr>
      <vt:lpstr>CO2FinishedTransport</vt:lpstr>
      <vt:lpstr>CO2InUseEnergy</vt:lpstr>
      <vt:lpstr>CO2InUseMaterials</vt:lpstr>
      <vt:lpstr>CO2InUseTransport</vt:lpstr>
      <vt:lpstr>CO2Method</vt:lpstr>
      <vt:lpstr>CO2ReferenceEnergy</vt:lpstr>
      <vt:lpstr>CO2ReferenceMaterials</vt:lpstr>
      <vt:lpstr>CO2ReferenceTransport</vt:lpstr>
      <vt:lpstr>Collaboration</vt:lpstr>
      <vt:lpstr>CompactnessFactor</vt:lpstr>
      <vt:lpstr>ConstructionCompletedYear</vt:lpstr>
      <vt:lpstr>ConstructionManagement</vt:lpstr>
      <vt:lpstr>ConstructionStartedYear</vt:lpstr>
      <vt:lpstr>Contact</vt:lpstr>
      <vt:lpstr>ContactEmail</vt:lpstr>
      <vt:lpstr>ContactPhone</vt:lpstr>
      <vt:lpstr>Contractors</vt:lpstr>
      <vt:lpstr>CostBenefitEvaluations</vt:lpstr>
      <vt:lpstr>Dele_ChangeLogDate</vt:lpstr>
      <vt:lpstr>Dele_ChangeLogText</vt:lpstr>
      <vt:lpstr>Dele_ParagraphText</vt:lpstr>
      <vt:lpstr>Dele_ParagraphTitle</vt:lpstr>
      <vt:lpstr>Dele_QuickLinkExternalUrl</vt:lpstr>
      <vt:lpstr>Dele_QuickLinkText</vt:lpstr>
      <vt:lpstr>Deletegn</vt:lpstr>
      <vt:lpstr>DistanceToCityCenter</vt:lpstr>
      <vt:lpstr>DistanceToCollectivePoint</vt:lpstr>
      <vt:lpstr>DomesticHotWater</vt:lpstr>
      <vt:lpstr>EcoMeasureDescription_E1</vt:lpstr>
      <vt:lpstr>EcoMeasureDescription_E2</vt:lpstr>
      <vt:lpstr>EcoMeasureDescription_E3</vt:lpstr>
      <vt:lpstr>EcoMeasureDescription_E4</vt:lpstr>
      <vt:lpstr>EcoMeasureDescription_E5</vt:lpstr>
      <vt:lpstr>EcoMeasureDescription_E6</vt:lpstr>
      <vt:lpstr>EcoMeasureDescription_E7</vt:lpstr>
      <vt:lpstr>EcoMeasureDescription_E8</vt:lpstr>
      <vt:lpstr>EcoMeasureEditAccess_E1</vt:lpstr>
      <vt:lpstr>EcoMeasureEditAccess_E2</vt:lpstr>
      <vt:lpstr>EcoMeasureEditAccess_E3</vt:lpstr>
      <vt:lpstr>EcoMeasureEditAccess_E4</vt:lpstr>
      <vt:lpstr>EcoMeasureEditAccess_E5</vt:lpstr>
      <vt:lpstr>EcoMeasureEditAccess_E6</vt:lpstr>
      <vt:lpstr>EcoMeasureEditAccess_E7</vt:lpstr>
      <vt:lpstr>EcoMeasureEditAccess_E8</vt:lpstr>
      <vt:lpstr>EcoMeasureEnova_E1</vt:lpstr>
      <vt:lpstr>EcoMeasureEnova_E2</vt:lpstr>
      <vt:lpstr>EcoMeasureEnova_E3</vt:lpstr>
      <vt:lpstr>EcoMeasureEnova_E4</vt:lpstr>
      <vt:lpstr>EcoMeasureEnova_E5</vt:lpstr>
      <vt:lpstr>EcoMeasureEnova_E6</vt:lpstr>
      <vt:lpstr>EcoMeasureEnova_E7</vt:lpstr>
      <vt:lpstr>EcoMeasureEnova_E8</vt:lpstr>
      <vt:lpstr>EcoMeasureId_E1</vt:lpstr>
      <vt:lpstr>EcoMeasureId_E2</vt:lpstr>
      <vt:lpstr>EcoMeasureId_E3</vt:lpstr>
      <vt:lpstr>EcoMeasureId_E4</vt:lpstr>
      <vt:lpstr>EcoMeasureId_E5</vt:lpstr>
      <vt:lpstr>EcoMeasureId_E6</vt:lpstr>
      <vt:lpstr>EcoMeasureId_E7</vt:lpstr>
      <vt:lpstr>EcoMeasureId_E8</vt:lpstr>
      <vt:lpstr>EcoMeasureMeasureType_E1</vt:lpstr>
      <vt:lpstr>EcoMeasureMeasureType_E2</vt:lpstr>
      <vt:lpstr>EcoMeasureMeasureType_E3</vt:lpstr>
      <vt:lpstr>EcoMeasureMeasureType_E4</vt:lpstr>
      <vt:lpstr>EcoMeasureMeasureType_E5</vt:lpstr>
      <vt:lpstr>EcoMeasureMeasureType_E6</vt:lpstr>
      <vt:lpstr>EcoMeasureMeasureType_E7</vt:lpstr>
      <vt:lpstr>EcoMeasureMeasureType_E8</vt:lpstr>
      <vt:lpstr>EcoMeasureName_E1</vt:lpstr>
      <vt:lpstr>EcoMeasureName_E2</vt:lpstr>
      <vt:lpstr>EcoMeasureName_E3</vt:lpstr>
      <vt:lpstr>EcoMeasureName_E4</vt:lpstr>
      <vt:lpstr>EcoMeasureName_E5</vt:lpstr>
      <vt:lpstr>EcoMeasureName_E6</vt:lpstr>
      <vt:lpstr>EcoMeasureName_E7</vt:lpstr>
      <vt:lpstr>EcoMeasureName_E8</vt:lpstr>
      <vt:lpstr>EcoMeasureProject_E1</vt:lpstr>
      <vt:lpstr>EcoMeasureProject_E2</vt:lpstr>
      <vt:lpstr>EcoMeasureProject_E3</vt:lpstr>
      <vt:lpstr>EcoMeasureProject_E4</vt:lpstr>
      <vt:lpstr>EcoMeasureProject_E5</vt:lpstr>
      <vt:lpstr>EcoMeasureProject_E6</vt:lpstr>
      <vt:lpstr>EcoMeasureProject_E7</vt:lpstr>
      <vt:lpstr>EcoMeasureProject_E8</vt:lpstr>
      <vt:lpstr>EcoMeasurePublishAccess_E1</vt:lpstr>
      <vt:lpstr>EcoMeasurePublishAccess_E2</vt:lpstr>
      <vt:lpstr>EcoMeasurePublishAccess_E3</vt:lpstr>
      <vt:lpstr>EcoMeasurePublishAccess_E4</vt:lpstr>
      <vt:lpstr>EcoMeasurePublishAccess_E5</vt:lpstr>
      <vt:lpstr>EcoMeasurePublishAccess_E6</vt:lpstr>
      <vt:lpstr>EcoMeasurePublishAccess_E7</vt:lpstr>
      <vt:lpstr>EcoMeasurePublishAccess_E8</vt:lpstr>
      <vt:lpstr>EcoMeasures</vt:lpstr>
      <vt:lpstr>Economy</vt:lpstr>
      <vt:lpstr>EconomyHeader</vt:lpstr>
      <vt:lpstr>EcoProjectTemplate</vt:lpstr>
      <vt:lpstr>EditAccess</vt:lpstr>
      <vt:lpstr>EditorialResponsibility</vt:lpstr>
      <vt:lpstr>EnergyConsultants</vt:lpstr>
      <vt:lpstr>EnergyConsumption</vt:lpstr>
      <vt:lpstr>EnergyConvertedFromElectricityToRenewable</vt:lpstr>
      <vt:lpstr>EnergyConvertedFromFossilToRenewable</vt:lpstr>
      <vt:lpstr>EnergyDelivered</vt:lpstr>
      <vt:lpstr>EnergyEfficiencyMethod</vt:lpstr>
      <vt:lpstr>EnergyLabel</vt:lpstr>
      <vt:lpstr>EnergySavings</vt:lpstr>
      <vt:lpstr>EnergySources</vt:lpstr>
      <vt:lpstr>EnovaFactsComfort</vt:lpstr>
      <vt:lpstr>EnovaFactsEnergy</vt:lpstr>
      <vt:lpstr>Enumeration_Checkbox</vt:lpstr>
      <vt:lpstr>Enumeration_EnergyLabel</vt:lpstr>
      <vt:lpstr>Enumeration_FByerImportance</vt:lpstr>
      <vt:lpstr>Enumeration_FByerTimeUsage</vt:lpstr>
      <vt:lpstr>Enumeration_GeneralProjectType</vt:lpstr>
      <vt:lpstr>Enumeration_HeatRating</vt:lpstr>
      <vt:lpstr>Enumeration_MapZoomLevel</vt:lpstr>
      <vt:lpstr>Enumeration_ProgressStatus</vt:lpstr>
      <vt:lpstr>EnvironmentConsultants</vt:lpstr>
      <vt:lpstr>EstimatedDeliveredEnergy</vt:lpstr>
      <vt:lpstr>EstimatedDeliveredEnergy3700</vt:lpstr>
      <vt:lpstr>ExternalProjectDBUsers</vt:lpstr>
      <vt:lpstr>ExternalTags</vt:lpstr>
      <vt:lpstr>FanAdministration</vt:lpstr>
      <vt:lpstr>FByerCO2</vt:lpstr>
      <vt:lpstr>FByerCosts</vt:lpstr>
      <vt:lpstr>FByerExternalTags</vt:lpstr>
      <vt:lpstr>FByerImportance</vt:lpstr>
      <vt:lpstr>FbyerOtherRemarks</vt:lpstr>
      <vt:lpstr>FByerOtherResults</vt:lpstr>
      <vt:lpstr>FByerPeopleInformed</vt:lpstr>
      <vt:lpstr>FByerTimeUsage</vt:lpstr>
      <vt:lpstr>FinishedProject</vt:lpstr>
      <vt:lpstr>FK_CountyTitleA_I1</vt:lpstr>
      <vt:lpstr>FK_CountyTitleA_I10</vt:lpstr>
      <vt:lpstr>FK_CountyTitleA_I11</vt:lpstr>
      <vt:lpstr>FK_CountyTitleA_I12</vt:lpstr>
      <vt:lpstr>FK_CountyTitleA_I13</vt:lpstr>
      <vt:lpstr>FK_CountyTitleA_I14</vt:lpstr>
      <vt:lpstr>FK_CountyTitleA_I15</vt:lpstr>
      <vt:lpstr>FK_CountyTitleA_I16</vt:lpstr>
      <vt:lpstr>FK_CountyTitleA_I17</vt:lpstr>
      <vt:lpstr>FK_CountyTitleA_I18</vt:lpstr>
      <vt:lpstr>FK_CountyTitleA_I19</vt:lpstr>
      <vt:lpstr>FK_CountyTitleA_I2</vt:lpstr>
      <vt:lpstr>FK_CountyTitleA_I20</vt:lpstr>
      <vt:lpstr>FK_CountyTitleA_I21</vt:lpstr>
      <vt:lpstr>FK_CountyTitleA_I22</vt:lpstr>
      <vt:lpstr>FK_CountyTitleA_I3</vt:lpstr>
      <vt:lpstr>FK_CountyTitleA_I4</vt:lpstr>
      <vt:lpstr>FK_CountyTitleA_I5</vt:lpstr>
      <vt:lpstr>FK_CountyTitleA_I6</vt:lpstr>
      <vt:lpstr>FK_CountyTitleA_I7</vt:lpstr>
      <vt:lpstr>FK_CountyTitleA_I8</vt:lpstr>
      <vt:lpstr>FK_CountyTitleA_I9</vt:lpstr>
      <vt:lpstr>FK_CountyTitleB_I1</vt:lpstr>
      <vt:lpstr>FK_CountyTitleB_I10</vt:lpstr>
      <vt:lpstr>FK_CountyTitleB_I11</vt:lpstr>
      <vt:lpstr>FK_CountyTitleB_I12</vt:lpstr>
      <vt:lpstr>FK_CountyTitleB_I13</vt:lpstr>
      <vt:lpstr>FK_CountyTitleB_I14</vt:lpstr>
      <vt:lpstr>FK_CountyTitleB_I15</vt:lpstr>
      <vt:lpstr>FK_CountyTitleB_I16</vt:lpstr>
      <vt:lpstr>FK_CountyTitleB_I17</vt:lpstr>
      <vt:lpstr>FK_CountyTitleB_I18</vt:lpstr>
      <vt:lpstr>FK_CountyTitleB_I19</vt:lpstr>
      <vt:lpstr>FK_CountyTitleB_I2</vt:lpstr>
      <vt:lpstr>FK_CountyTitleB_I20</vt:lpstr>
      <vt:lpstr>FK_CountyTitleB_I21</vt:lpstr>
      <vt:lpstr>FK_CountyTitleB_I22</vt:lpstr>
      <vt:lpstr>FK_CountyTitleB_I3</vt:lpstr>
      <vt:lpstr>FK_CountyTitleB_I4</vt:lpstr>
      <vt:lpstr>FK_CountyTitleB_I5</vt:lpstr>
      <vt:lpstr>FK_CountyTitleB_I6</vt:lpstr>
      <vt:lpstr>FK_CountyTitleB_I7</vt:lpstr>
      <vt:lpstr>FK_CountyTitleB_I8</vt:lpstr>
      <vt:lpstr>FK_CountyTitleB_I9</vt:lpstr>
      <vt:lpstr>FK_MunicipalitiesTitle_I1_1</vt:lpstr>
      <vt:lpstr>FK_MunicipalitiesTitle_I1_10</vt:lpstr>
      <vt:lpstr>FK_MunicipalitiesTitle_I1_11</vt:lpstr>
      <vt:lpstr>FK_MunicipalitiesTitle_I1_12</vt:lpstr>
      <vt:lpstr>FK_MunicipalitiesTitle_I1_13</vt:lpstr>
      <vt:lpstr>FK_MunicipalitiesTitle_I1_14</vt:lpstr>
      <vt:lpstr>FK_MunicipalitiesTitle_I1_15</vt:lpstr>
      <vt:lpstr>FK_MunicipalitiesTitle_I1_16</vt:lpstr>
      <vt:lpstr>FK_MunicipalitiesTitle_I1_17</vt:lpstr>
      <vt:lpstr>FK_MunicipalitiesTitle_I1_18</vt:lpstr>
      <vt:lpstr>FK_MunicipalitiesTitle_I1_19</vt:lpstr>
      <vt:lpstr>FK_MunicipalitiesTitle_I1_2</vt:lpstr>
      <vt:lpstr>FK_MunicipalitiesTitle_I1_20</vt:lpstr>
      <vt:lpstr>FK_MunicipalitiesTitle_I1_21</vt:lpstr>
      <vt:lpstr>FK_MunicipalitiesTitle_I1_22</vt:lpstr>
      <vt:lpstr>FK_MunicipalitiesTitle_I1_23</vt:lpstr>
      <vt:lpstr>FK_MunicipalitiesTitle_I1_24</vt:lpstr>
      <vt:lpstr>FK_MunicipalitiesTitle_I1_25</vt:lpstr>
      <vt:lpstr>FK_MunicipalitiesTitle_I1_26</vt:lpstr>
      <vt:lpstr>FK_MunicipalitiesTitle_I1_27</vt:lpstr>
      <vt:lpstr>FK_MunicipalitiesTitle_I1_28</vt:lpstr>
      <vt:lpstr>FK_MunicipalitiesTitle_I1_29</vt:lpstr>
      <vt:lpstr>FK_MunicipalitiesTitle_I1_3</vt:lpstr>
      <vt:lpstr>FK_MunicipalitiesTitle_I1_30</vt:lpstr>
      <vt:lpstr>FK_MunicipalitiesTitle_I1_31</vt:lpstr>
      <vt:lpstr>FK_MunicipalitiesTitle_I1_32</vt:lpstr>
      <vt:lpstr>FK_MunicipalitiesTitle_I1_33</vt:lpstr>
      <vt:lpstr>FK_MunicipalitiesTitle_I1_34</vt:lpstr>
      <vt:lpstr>FK_MunicipalitiesTitle_I1_35</vt:lpstr>
      <vt:lpstr>FK_MunicipalitiesTitle_I1_36</vt:lpstr>
      <vt:lpstr>FK_MunicipalitiesTitle_I1_37</vt:lpstr>
      <vt:lpstr>FK_MunicipalitiesTitle_I1_38</vt:lpstr>
      <vt:lpstr>FK_MunicipalitiesTitle_I1_39</vt:lpstr>
      <vt:lpstr>FK_MunicipalitiesTitle_I1_4</vt:lpstr>
      <vt:lpstr>FK_MunicipalitiesTitle_I1_40</vt:lpstr>
      <vt:lpstr>FK_MunicipalitiesTitle_I1_41</vt:lpstr>
      <vt:lpstr>FK_MunicipalitiesTitle_I1_42</vt:lpstr>
      <vt:lpstr>FK_MunicipalitiesTitle_I1_43</vt:lpstr>
      <vt:lpstr>FK_MunicipalitiesTitle_I1_44</vt:lpstr>
      <vt:lpstr>FK_MunicipalitiesTitle_I1_45</vt:lpstr>
      <vt:lpstr>FK_MunicipalitiesTitle_I1_46</vt:lpstr>
      <vt:lpstr>FK_MunicipalitiesTitle_I1_47</vt:lpstr>
      <vt:lpstr>FK_MunicipalitiesTitle_I1_48</vt:lpstr>
      <vt:lpstr>FK_MunicipalitiesTitle_I1_49</vt:lpstr>
      <vt:lpstr>FK_MunicipalitiesTitle_I1_5</vt:lpstr>
      <vt:lpstr>FK_MunicipalitiesTitle_I1_50</vt:lpstr>
      <vt:lpstr>FK_MunicipalitiesTitle_I1_6</vt:lpstr>
      <vt:lpstr>FK_MunicipalitiesTitle_I1_7</vt:lpstr>
      <vt:lpstr>FK_MunicipalitiesTitle_I1_8</vt:lpstr>
      <vt:lpstr>FK_MunicipalitiesTitle_I1_9</vt:lpstr>
      <vt:lpstr>FK_MunicipalitiesTitle_I10_1</vt:lpstr>
      <vt:lpstr>FK_MunicipalitiesTitle_I10_10</vt:lpstr>
      <vt:lpstr>FK_MunicipalitiesTitle_I10_11</vt:lpstr>
      <vt:lpstr>FK_MunicipalitiesTitle_I10_12</vt:lpstr>
      <vt:lpstr>FK_MunicipalitiesTitle_I10_13</vt:lpstr>
      <vt:lpstr>FK_MunicipalitiesTitle_I10_14</vt:lpstr>
      <vt:lpstr>FK_MunicipalitiesTitle_I10_15</vt:lpstr>
      <vt:lpstr>FK_MunicipalitiesTitle_I10_16</vt:lpstr>
      <vt:lpstr>FK_MunicipalitiesTitle_I10_17</vt:lpstr>
      <vt:lpstr>FK_MunicipalitiesTitle_I10_18</vt:lpstr>
      <vt:lpstr>FK_MunicipalitiesTitle_I10_19</vt:lpstr>
      <vt:lpstr>FK_MunicipalitiesTitle_I10_2</vt:lpstr>
      <vt:lpstr>FK_MunicipalitiesTitle_I10_20</vt:lpstr>
      <vt:lpstr>FK_MunicipalitiesTitle_I10_21</vt:lpstr>
      <vt:lpstr>FK_MunicipalitiesTitle_I10_22</vt:lpstr>
      <vt:lpstr>FK_MunicipalitiesTitle_I10_23</vt:lpstr>
      <vt:lpstr>FK_MunicipalitiesTitle_I10_24</vt:lpstr>
      <vt:lpstr>FK_MunicipalitiesTitle_I10_25</vt:lpstr>
      <vt:lpstr>FK_MunicipalitiesTitle_I10_26</vt:lpstr>
      <vt:lpstr>FK_MunicipalitiesTitle_I10_27</vt:lpstr>
      <vt:lpstr>FK_MunicipalitiesTitle_I10_28</vt:lpstr>
      <vt:lpstr>FK_MunicipalitiesTitle_I10_29</vt:lpstr>
      <vt:lpstr>FK_MunicipalitiesTitle_I10_3</vt:lpstr>
      <vt:lpstr>FK_MunicipalitiesTitle_I10_30</vt:lpstr>
      <vt:lpstr>FK_MunicipalitiesTitle_I10_31</vt:lpstr>
      <vt:lpstr>FK_MunicipalitiesTitle_I10_32</vt:lpstr>
      <vt:lpstr>FK_MunicipalitiesTitle_I10_33</vt:lpstr>
      <vt:lpstr>FK_MunicipalitiesTitle_I10_34</vt:lpstr>
      <vt:lpstr>FK_MunicipalitiesTitle_I10_35</vt:lpstr>
      <vt:lpstr>FK_MunicipalitiesTitle_I10_36</vt:lpstr>
      <vt:lpstr>FK_MunicipalitiesTitle_I10_37</vt:lpstr>
      <vt:lpstr>FK_MunicipalitiesTitle_I10_38</vt:lpstr>
      <vt:lpstr>FK_MunicipalitiesTitle_I10_39</vt:lpstr>
      <vt:lpstr>FK_MunicipalitiesTitle_I10_4</vt:lpstr>
      <vt:lpstr>FK_MunicipalitiesTitle_I10_40</vt:lpstr>
      <vt:lpstr>FK_MunicipalitiesTitle_I10_41</vt:lpstr>
      <vt:lpstr>FK_MunicipalitiesTitle_I10_42</vt:lpstr>
      <vt:lpstr>FK_MunicipalitiesTitle_I10_43</vt:lpstr>
      <vt:lpstr>FK_MunicipalitiesTitle_I10_44</vt:lpstr>
      <vt:lpstr>FK_MunicipalitiesTitle_I10_45</vt:lpstr>
      <vt:lpstr>FK_MunicipalitiesTitle_I10_46</vt:lpstr>
      <vt:lpstr>FK_MunicipalitiesTitle_I10_47</vt:lpstr>
      <vt:lpstr>FK_MunicipalitiesTitle_I10_48</vt:lpstr>
      <vt:lpstr>FK_MunicipalitiesTitle_I10_49</vt:lpstr>
      <vt:lpstr>FK_MunicipalitiesTitle_I10_5</vt:lpstr>
      <vt:lpstr>FK_MunicipalitiesTitle_I10_50</vt:lpstr>
      <vt:lpstr>FK_MunicipalitiesTitle_I10_6</vt:lpstr>
      <vt:lpstr>FK_MunicipalitiesTitle_I10_7</vt:lpstr>
      <vt:lpstr>FK_MunicipalitiesTitle_I10_8</vt:lpstr>
      <vt:lpstr>FK_MunicipalitiesTitle_I10_9</vt:lpstr>
      <vt:lpstr>FK_MunicipalitiesTitle_I11_1</vt:lpstr>
      <vt:lpstr>FK_MunicipalitiesTitle_I11_10</vt:lpstr>
      <vt:lpstr>FK_MunicipalitiesTitle_I11_11</vt:lpstr>
      <vt:lpstr>FK_MunicipalitiesTitle_I11_12</vt:lpstr>
      <vt:lpstr>FK_MunicipalitiesTitle_I11_13</vt:lpstr>
      <vt:lpstr>FK_MunicipalitiesTitle_I11_14</vt:lpstr>
      <vt:lpstr>FK_MunicipalitiesTitle_I11_15</vt:lpstr>
      <vt:lpstr>FK_MunicipalitiesTitle_I11_16</vt:lpstr>
      <vt:lpstr>FK_MunicipalitiesTitle_I11_17</vt:lpstr>
      <vt:lpstr>FK_MunicipalitiesTitle_I11_18</vt:lpstr>
      <vt:lpstr>FK_MunicipalitiesTitle_I11_19</vt:lpstr>
      <vt:lpstr>FK_MunicipalitiesTitle_I11_2</vt:lpstr>
      <vt:lpstr>FK_MunicipalitiesTitle_I11_20</vt:lpstr>
      <vt:lpstr>FK_MunicipalitiesTitle_I11_21</vt:lpstr>
      <vt:lpstr>FK_MunicipalitiesTitle_I11_22</vt:lpstr>
      <vt:lpstr>FK_MunicipalitiesTitle_I11_23</vt:lpstr>
      <vt:lpstr>FK_MunicipalitiesTitle_I11_24</vt:lpstr>
      <vt:lpstr>FK_MunicipalitiesTitle_I11_25</vt:lpstr>
      <vt:lpstr>FK_MunicipalitiesTitle_I11_26</vt:lpstr>
      <vt:lpstr>FK_MunicipalitiesTitle_I11_27</vt:lpstr>
      <vt:lpstr>FK_MunicipalitiesTitle_I11_28</vt:lpstr>
      <vt:lpstr>FK_MunicipalitiesTitle_I11_29</vt:lpstr>
      <vt:lpstr>FK_MunicipalitiesTitle_I11_3</vt:lpstr>
      <vt:lpstr>FK_MunicipalitiesTitle_I11_30</vt:lpstr>
      <vt:lpstr>FK_MunicipalitiesTitle_I11_31</vt:lpstr>
      <vt:lpstr>FK_MunicipalitiesTitle_I11_32</vt:lpstr>
      <vt:lpstr>FK_MunicipalitiesTitle_I11_33</vt:lpstr>
      <vt:lpstr>FK_MunicipalitiesTitle_I11_34</vt:lpstr>
      <vt:lpstr>FK_MunicipalitiesTitle_I11_35</vt:lpstr>
      <vt:lpstr>FK_MunicipalitiesTitle_I11_36</vt:lpstr>
      <vt:lpstr>FK_MunicipalitiesTitle_I11_37</vt:lpstr>
      <vt:lpstr>FK_MunicipalitiesTitle_I11_38</vt:lpstr>
      <vt:lpstr>FK_MunicipalitiesTitle_I11_39</vt:lpstr>
      <vt:lpstr>FK_MunicipalitiesTitle_I11_4</vt:lpstr>
      <vt:lpstr>FK_MunicipalitiesTitle_I11_40</vt:lpstr>
      <vt:lpstr>FK_MunicipalitiesTitle_I11_41</vt:lpstr>
      <vt:lpstr>FK_MunicipalitiesTitle_I11_42</vt:lpstr>
      <vt:lpstr>FK_MunicipalitiesTitle_I11_43</vt:lpstr>
      <vt:lpstr>FK_MunicipalitiesTitle_I11_44</vt:lpstr>
      <vt:lpstr>FK_MunicipalitiesTitle_I11_45</vt:lpstr>
      <vt:lpstr>FK_MunicipalitiesTitle_I11_46</vt:lpstr>
      <vt:lpstr>FK_MunicipalitiesTitle_I11_47</vt:lpstr>
      <vt:lpstr>FK_MunicipalitiesTitle_I11_48</vt:lpstr>
      <vt:lpstr>FK_MunicipalitiesTitle_I11_49</vt:lpstr>
      <vt:lpstr>FK_MunicipalitiesTitle_I11_5</vt:lpstr>
      <vt:lpstr>FK_MunicipalitiesTitle_I11_50</vt:lpstr>
      <vt:lpstr>FK_MunicipalitiesTitle_I11_6</vt:lpstr>
      <vt:lpstr>FK_MunicipalitiesTitle_I11_7</vt:lpstr>
      <vt:lpstr>FK_MunicipalitiesTitle_I11_8</vt:lpstr>
      <vt:lpstr>FK_MunicipalitiesTitle_I11_9</vt:lpstr>
      <vt:lpstr>FK_MunicipalitiesTitle_I12_1</vt:lpstr>
      <vt:lpstr>FK_MunicipalitiesTitle_I12_10</vt:lpstr>
      <vt:lpstr>FK_MunicipalitiesTitle_I12_11</vt:lpstr>
      <vt:lpstr>FK_MunicipalitiesTitle_I12_12</vt:lpstr>
      <vt:lpstr>FK_MunicipalitiesTitle_I12_13</vt:lpstr>
      <vt:lpstr>FK_MunicipalitiesTitle_I12_14</vt:lpstr>
      <vt:lpstr>FK_MunicipalitiesTitle_I12_15</vt:lpstr>
      <vt:lpstr>FK_MunicipalitiesTitle_I12_16</vt:lpstr>
      <vt:lpstr>FK_MunicipalitiesTitle_I12_17</vt:lpstr>
      <vt:lpstr>FK_MunicipalitiesTitle_I12_18</vt:lpstr>
      <vt:lpstr>FK_MunicipalitiesTitle_I12_19</vt:lpstr>
      <vt:lpstr>FK_MunicipalitiesTitle_I12_2</vt:lpstr>
      <vt:lpstr>FK_MunicipalitiesTitle_I12_20</vt:lpstr>
      <vt:lpstr>FK_MunicipalitiesTitle_I12_21</vt:lpstr>
      <vt:lpstr>FK_MunicipalitiesTitle_I12_22</vt:lpstr>
      <vt:lpstr>FK_MunicipalitiesTitle_I12_23</vt:lpstr>
      <vt:lpstr>FK_MunicipalitiesTitle_I12_24</vt:lpstr>
      <vt:lpstr>FK_MunicipalitiesTitle_I12_25</vt:lpstr>
      <vt:lpstr>FK_MunicipalitiesTitle_I12_26</vt:lpstr>
      <vt:lpstr>FK_MunicipalitiesTitle_I12_27</vt:lpstr>
      <vt:lpstr>FK_MunicipalitiesTitle_I12_28</vt:lpstr>
      <vt:lpstr>FK_MunicipalitiesTitle_I12_29</vt:lpstr>
      <vt:lpstr>FK_MunicipalitiesTitle_I12_3</vt:lpstr>
      <vt:lpstr>FK_MunicipalitiesTitle_I12_30</vt:lpstr>
      <vt:lpstr>FK_MunicipalitiesTitle_I12_31</vt:lpstr>
      <vt:lpstr>FK_MunicipalitiesTitle_I12_32</vt:lpstr>
      <vt:lpstr>FK_MunicipalitiesTitle_I12_33</vt:lpstr>
      <vt:lpstr>FK_MunicipalitiesTitle_I12_34</vt:lpstr>
      <vt:lpstr>FK_MunicipalitiesTitle_I12_35</vt:lpstr>
      <vt:lpstr>FK_MunicipalitiesTitle_I12_36</vt:lpstr>
      <vt:lpstr>FK_MunicipalitiesTitle_I12_37</vt:lpstr>
      <vt:lpstr>FK_MunicipalitiesTitle_I12_38</vt:lpstr>
      <vt:lpstr>FK_MunicipalitiesTitle_I12_39</vt:lpstr>
      <vt:lpstr>FK_MunicipalitiesTitle_I12_4</vt:lpstr>
      <vt:lpstr>FK_MunicipalitiesTitle_I12_40</vt:lpstr>
      <vt:lpstr>FK_MunicipalitiesTitle_I12_41</vt:lpstr>
      <vt:lpstr>FK_MunicipalitiesTitle_I12_42</vt:lpstr>
      <vt:lpstr>FK_MunicipalitiesTitle_I12_43</vt:lpstr>
      <vt:lpstr>FK_MunicipalitiesTitle_I12_44</vt:lpstr>
      <vt:lpstr>FK_MunicipalitiesTitle_I12_45</vt:lpstr>
      <vt:lpstr>FK_MunicipalitiesTitle_I12_46</vt:lpstr>
      <vt:lpstr>FK_MunicipalitiesTitle_I12_47</vt:lpstr>
      <vt:lpstr>FK_MunicipalitiesTitle_I12_48</vt:lpstr>
      <vt:lpstr>FK_MunicipalitiesTitle_I12_49</vt:lpstr>
      <vt:lpstr>FK_MunicipalitiesTitle_I12_5</vt:lpstr>
      <vt:lpstr>FK_MunicipalitiesTitle_I12_50</vt:lpstr>
      <vt:lpstr>FK_MunicipalitiesTitle_I12_6</vt:lpstr>
      <vt:lpstr>FK_MunicipalitiesTitle_I12_7</vt:lpstr>
      <vt:lpstr>FK_MunicipalitiesTitle_I12_8</vt:lpstr>
      <vt:lpstr>FK_MunicipalitiesTitle_I12_9</vt:lpstr>
      <vt:lpstr>FK_MunicipalitiesTitle_I13_1</vt:lpstr>
      <vt:lpstr>FK_MunicipalitiesTitle_I13_10</vt:lpstr>
      <vt:lpstr>FK_MunicipalitiesTitle_I13_11</vt:lpstr>
      <vt:lpstr>FK_MunicipalitiesTitle_I13_12</vt:lpstr>
      <vt:lpstr>FK_MunicipalitiesTitle_I13_13</vt:lpstr>
      <vt:lpstr>FK_MunicipalitiesTitle_I13_14</vt:lpstr>
      <vt:lpstr>FK_MunicipalitiesTitle_I13_15</vt:lpstr>
      <vt:lpstr>FK_MunicipalitiesTitle_I13_16</vt:lpstr>
      <vt:lpstr>FK_MunicipalitiesTitle_I13_17</vt:lpstr>
      <vt:lpstr>FK_MunicipalitiesTitle_I13_18</vt:lpstr>
      <vt:lpstr>FK_MunicipalitiesTitle_I13_19</vt:lpstr>
      <vt:lpstr>FK_MunicipalitiesTitle_I13_2</vt:lpstr>
      <vt:lpstr>FK_MunicipalitiesTitle_I13_20</vt:lpstr>
      <vt:lpstr>FK_MunicipalitiesTitle_I13_21</vt:lpstr>
      <vt:lpstr>FK_MunicipalitiesTitle_I13_22</vt:lpstr>
      <vt:lpstr>FK_MunicipalitiesTitle_I13_23</vt:lpstr>
      <vt:lpstr>FK_MunicipalitiesTitle_I13_24</vt:lpstr>
      <vt:lpstr>FK_MunicipalitiesTitle_I13_25</vt:lpstr>
      <vt:lpstr>FK_MunicipalitiesTitle_I13_26</vt:lpstr>
      <vt:lpstr>FK_MunicipalitiesTitle_I13_27</vt:lpstr>
      <vt:lpstr>FK_MunicipalitiesTitle_I13_28</vt:lpstr>
      <vt:lpstr>FK_MunicipalitiesTitle_I13_29</vt:lpstr>
      <vt:lpstr>FK_MunicipalitiesTitle_I13_3</vt:lpstr>
      <vt:lpstr>FK_MunicipalitiesTitle_I13_30</vt:lpstr>
      <vt:lpstr>FK_MunicipalitiesTitle_I13_31</vt:lpstr>
      <vt:lpstr>FK_MunicipalitiesTitle_I13_32</vt:lpstr>
      <vt:lpstr>FK_MunicipalitiesTitle_I13_33</vt:lpstr>
      <vt:lpstr>FK_MunicipalitiesTitle_I13_34</vt:lpstr>
      <vt:lpstr>FK_MunicipalitiesTitle_I13_35</vt:lpstr>
      <vt:lpstr>FK_MunicipalitiesTitle_I13_36</vt:lpstr>
      <vt:lpstr>FK_MunicipalitiesTitle_I13_37</vt:lpstr>
      <vt:lpstr>FK_MunicipalitiesTitle_I13_38</vt:lpstr>
      <vt:lpstr>FK_MunicipalitiesTitle_I13_39</vt:lpstr>
      <vt:lpstr>FK_MunicipalitiesTitle_I13_4</vt:lpstr>
      <vt:lpstr>FK_MunicipalitiesTitle_I13_40</vt:lpstr>
      <vt:lpstr>FK_MunicipalitiesTitle_I13_41</vt:lpstr>
      <vt:lpstr>FK_MunicipalitiesTitle_I13_42</vt:lpstr>
      <vt:lpstr>FK_MunicipalitiesTitle_I13_43</vt:lpstr>
      <vt:lpstr>FK_MunicipalitiesTitle_I13_44</vt:lpstr>
      <vt:lpstr>FK_MunicipalitiesTitle_I13_45</vt:lpstr>
      <vt:lpstr>FK_MunicipalitiesTitle_I13_46</vt:lpstr>
      <vt:lpstr>FK_MunicipalitiesTitle_I13_47</vt:lpstr>
      <vt:lpstr>FK_MunicipalitiesTitle_I13_48</vt:lpstr>
      <vt:lpstr>FK_MunicipalitiesTitle_I13_49</vt:lpstr>
      <vt:lpstr>FK_MunicipalitiesTitle_I13_5</vt:lpstr>
      <vt:lpstr>FK_MunicipalitiesTitle_I13_50</vt:lpstr>
      <vt:lpstr>FK_MunicipalitiesTitle_I13_6</vt:lpstr>
      <vt:lpstr>FK_MunicipalitiesTitle_I13_7</vt:lpstr>
      <vt:lpstr>FK_MunicipalitiesTitle_I13_8</vt:lpstr>
      <vt:lpstr>FK_MunicipalitiesTitle_I13_9</vt:lpstr>
      <vt:lpstr>FK_MunicipalitiesTitle_I14_1</vt:lpstr>
      <vt:lpstr>FK_MunicipalitiesTitle_I14_10</vt:lpstr>
      <vt:lpstr>FK_MunicipalitiesTitle_I14_11</vt:lpstr>
      <vt:lpstr>FK_MunicipalitiesTitle_I14_12</vt:lpstr>
      <vt:lpstr>FK_MunicipalitiesTitle_I14_13</vt:lpstr>
      <vt:lpstr>FK_MunicipalitiesTitle_I14_14</vt:lpstr>
      <vt:lpstr>FK_MunicipalitiesTitle_I14_15</vt:lpstr>
      <vt:lpstr>FK_MunicipalitiesTitle_I14_16</vt:lpstr>
      <vt:lpstr>FK_MunicipalitiesTitle_I14_17</vt:lpstr>
      <vt:lpstr>FK_MunicipalitiesTitle_I14_18</vt:lpstr>
      <vt:lpstr>FK_MunicipalitiesTitle_I14_19</vt:lpstr>
      <vt:lpstr>FK_MunicipalitiesTitle_I14_2</vt:lpstr>
      <vt:lpstr>FK_MunicipalitiesTitle_I14_20</vt:lpstr>
      <vt:lpstr>FK_MunicipalitiesTitle_I14_21</vt:lpstr>
      <vt:lpstr>FK_MunicipalitiesTitle_I14_22</vt:lpstr>
      <vt:lpstr>FK_MunicipalitiesTitle_I14_23</vt:lpstr>
      <vt:lpstr>FK_MunicipalitiesTitle_I14_24</vt:lpstr>
      <vt:lpstr>FK_MunicipalitiesTitle_I14_25</vt:lpstr>
      <vt:lpstr>FK_MunicipalitiesTitle_I14_26</vt:lpstr>
      <vt:lpstr>FK_MunicipalitiesTitle_I14_27</vt:lpstr>
      <vt:lpstr>FK_MunicipalitiesTitle_I14_28</vt:lpstr>
      <vt:lpstr>FK_MunicipalitiesTitle_I14_29</vt:lpstr>
      <vt:lpstr>FK_MunicipalitiesTitle_I14_3</vt:lpstr>
      <vt:lpstr>FK_MunicipalitiesTitle_I14_30</vt:lpstr>
      <vt:lpstr>FK_MunicipalitiesTitle_I14_31</vt:lpstr>
      <vt:lpstr>FK_MunicipalitiesTitle_I14_32</vt:lpstr>
      <vt:lpstr>FK_MunicipalitiesTitle_I14_33</vt:lpstr>
      <vt:lpstr>FK_MunicipalitiesTitle_I14_34</vt:lpstr>
      <vt:lpstr>FK_MunicipalitiesTitle_I14_35</vt:lpstr>
      <vt:lpstr>FK_MunicipalitiesTitle_I14_36</vt:lpstr>
      <vt:lpstr>FK_MunicipalitiesTitle_I14_37</vt:lpstr>
      <vt:lpstr>FK_MunicipalitiesTitle_I14_38</vt:lpstr>
      <vt:lpstr>FK_MunicipalitiesTitle_I14_39</vt:lpstr>
      <vt:lpstr>FK_MunicipalitiesTitle_I14_4</vt:lpstr>
      <vt:lpstr>FK_MunicipalitiesTitle_I14_40</vt:lpstr>
      <vt:lpstr>FK_MunicipalitiesTitle_I14_41</vt:lpstr>
      <vt:lpstr>FK_MunicipalitiesTitle_I14_42</vt:lpstr>
      <vt:lpstr>FK_MunicipalitiesTitle_I14_43</vt:lpstr>
      <vt:lpstr>FK_MunicipalitiesTitle_I14_44</vt:lpstr>
      <vt:lpstr>FK_MunicipalitiesTitle_I14_45</vt:lpstr>
      <vt:lpstr>FK_MunicipalitiesTitle_I14_46</vt:lpstr>
      <vt:lpstr>FK_MunicipalitiesTitle_I14_47</vt:lpstr>
      <vt:lpstr>FK_MunicipalitiesTitle_I14_48</vt:lpstr>
      <vt:lpstr>FK_MunicipalitiesTitle_I14_49</vt:lpstr>
      <vt:lpstr>FK_MunicipalitiesTitle_I14_5</vt:lpstr>
      <vt:lpstr>FK_MunicipalitiesTitle_I14_50</vt:lpstr>
      <vt:lpstr>FK_MunicipalitiesTitle_I14_6</vt:lpstr>
      <vt:lpstr>FK_MunicipalitiesTitle_I14_7</vt:lpstr>
      <vt:lpstr>FK_MunicipalitiesTitle_I14_8</vt:lpstr>
      <vt:lpstr>FK_MunicipalitiesTitle_I14_9</vt:lpstr>
      <vt:lpstr>FK_MunicipalitiesTitle_I15_1</vt:lpstr>
      <vt:lpstr>FK_MunicipalitiesTitle_I15_10</vt:lpstr>
      <vt:lpstr>FK_MunicipalitiesTitle_I15_11</vt:lpstr>
      <vt:lpstr>FK_MunicipalitiesTitle_I15_12</vt:lpstr>
      <vt:lpstr>FK_MunicipalitiesTitle_I15_13</vt:lpstr>
      <vt:lpstr>FK_MunicipalitiesTitle_I15_14</vt:lpstr>
      <vt:lpstr>FK_MunicipalitiesTitle_I15_15</vt:lpstr>
      <vt:lpstr>FK_MunicipalitiesTitle_I15_16</vt:lpstr>
      <vt:lpstr>FK_MunicipalitiesTitle_I15_17</vt:lpstr>
      <vt:lpstr>FK_MunicipalitiesTitle_I15_18</vt:lpstr>
      <vt:lpstr>FK_MunicipalitiesTitle_I15_19</vt:lpstr>
      <vt:lpstr>FK_MunicipalitiesTitle_I15_2</vt:lpstr>
      <vt:lpstr>FK_MunicipalitiesTitle_I15_20</vt:lpstr>
      <vt:lpstr>FK_MunicipalitiesTitle_I15_21</vt:lpstr>
      <vt:lpstr>FK_MunicipalitiesTitle_I15_22</vt:lpstr>
      <vt:lpstr>FK_MunicipalitiesTitle_I15_23</vt:lpstr>
      <vt:lpstr>FK_MunicipalitiesTitle_I15_24</vt:lpstr>
      <vt:lpstr>FK_MunicipalitiesTitle_I15_25</vt:lpstr>
      <vt:lpstr>FK_MunicipalitiesTitle_I15_26</vt:lpstr>
      <vt:lpstr>FK_MunicipalitiesTitle_I15_27</vt:lpstr>
      <vt:lpstr>FK_MunicipalitiesTitle_I15_28</vt:lpstr>
      <vt:lpstr>FK_MunicipalitiesTitle_I15_29</vt:lpstr>
      <vt:lpstr>FK_MunicipalitiesTitle_I15_3</vt:lpstr>
      <vt:lpstr>FK_MunicipalitiesTitle_I15_30</vt:lpstr>
      <vt:lpstr>FK_MunicipalitiesTitle_I15_31</vt:lpstr>
      <vt:lpstr>FK_MunicipalitiesTitle_I15_32</vt:lpstr>
      <vt:lpstr>FK_MunicipalitiesTitle_I15_33</vt:lpstr>
      <vt:lpstr>FK_MunicipalitiesTitle_I15_34</vt:lpstr>
      <vt:lpstr>FK_MunicipalitiesTitle_I15_35</vt:lpstr>
      <vt:lpstr>FK_MunicipalitiesTitle_I15_36</vt:lpstr>
      <vt:lpstr>FK_MunicipalitiesTitle_I15_37</vt:lpstr>
      <vt:lpstr>FK_MunicipalitiesTitle_I15_38</vt:lpstr>
      <vt:lpstr>FK_MunicipalitiesTitle_I15_39</vt:lpstr>
      <vt:lpstr>FK_MunicipalitiesTitle_I15_4</vt:lpstr>
      <vt:lpstr>FK_MunicipalitiesTitle_I15_40</vt:lpstr>
      <vt:lpstr>FK_MunicipalitiesTitle_I15_41</vt:lpstr>
      <vt:lpstr>FK_MunicipalitiesTitle_I15_42</vt:lpstr>
      <vt:lpstr>FK_MunicipalitiesTitle_I15_43</vt:lpstr>
      <vt:lpstr>FK_MunicipalitiesTitle_I15_44</vt:lpstr>
      <vt:lpstr>FK_MunicipalitiesTitle_I15_45</vt:lpstr>
      <vt:lpstr>FK_MunicipalitiesTitle_I15_46</vt:lpstr>
      <vt:lpstr>FK_MunicipalitiesTitle_I15_47</vt:lpstr>
      <vt:lpstr>FK_MunicipalitiesTitle_I15_48</vt:lpstr>
      <vt:lpstr>FK_MunicipalitiesTitle_I15_49</vt:lpstr>
      <vt:lpstr>FK_MunicipalitiesTitle_I15_5</vt:lpstr>
      <vt:lpstr>FK_MunicipalitiesTitle_I15_50</vt:lpstr>
      <vt:lpstr>FK_MunicipalitiesTitle_I15_6</vt:lpstr>
      <vt:lpstr>FK_MunicipalitiesTitle_I15_7</vt:lpstr>
      <vt:lpstr>FK_MunicipalitiesTitle_I15_8</vt:lpstr>
      <vt:lpstr>FK_MunicipalitiesTitle_I15_9</vt:lpstr>
      <vt:lpstr>FK_MunicipalitiesTitle_I16_1</vt:lpstr>
      <vt:lpstr>FK_MunicipalitiesTitle_I16_10</vt:lpstr>
      <vt:lpstr>FK_MunicipalitiesTitle_I16_11</vt:lpstr>
      <vt:lpstr>FK_MunicipalitiesTitle_I16_12</vt:lpstr>
      <vt:lpstr>FK_MunicipalitiesTitle_I16_13</vt:lpstr>
      <vt:lpstr>FK_MunicipalitiesTitle_I16_14</vt:lpstr>
      <vt:lpstr>FK_MunicipalitiesTitle_I16_15</vt:lpstr>
      <vt:lpstr>FK_MunicipalitiesTitle_I16_16</vt:lpstr>
      <vt:lpstr>FK_MunicipalitiesTitle_I16_17</vt:lpstr>
      <vt:lpstr>FK_MunicipalitiesTitle_I16_18</vt:lpstr>
      <vt:lpstr>FK_MunicipalitiesTitle_I16_19</vt:lpstr>
      <vt:lpstr>FK_MunicipalitiesTitle_I16_2</vt:lpstr>
      <vt:lpstr>FK_MunicipalitiesTitle_I16_20</vt:lpstr>
      <vt:lpstr>FK_MunicipalitiesTitle_I16_21</vt:lpstr>
      <vt:lpstr>FK_MunicipalitiesTitle_I16_22</vt:lpstr>
      <vt:lpstr>FK_MunicipalitiesTitle_I16_23</vt:lpstr>
      <vt:lpstr>FK_MunicipalitiesTitle_I16_24</vt:lpstr>
      <vt:lpstr>FK_MunicipalitiesTitle_I16_25</vt:lpstr>
      <vt:lpstr>FK_MunicipalitiesTitle_I16_26</vt:lpstr>
      <vt:lpstr>FK_MunicipalitiesTitle_I16_27</vt:lpstr>
      <vt:lpstr>FK_MunicipalitiesTitle_I16_28</vt:lpstr>
      <vt:lpstr>FK_MunicipalitiesTitle_I16_29</vt:lpstr>
      <vt:lpstr>FK_MunicipalitiesTitle_I16_3</vt:lpstr>
      <vt:lpstr>FK_MunicipalitiesTitle_I16_30</vt:lpstr>
      <vt:lpstr>FK_MunicipalitiesTitle_I16_31</vt:lpstr>
      <vt:lpstr>FK_MunicipalitiesTitle_I16_32</vt:lpstr>
      <vt:lpstr>FK_MunicipalitiesTitle_I16_33</vt:lpstr>
      <vt:lpstr>FK_MunicipalitiesTitle_I16_34</vt:lpstr>
      <vt:lpstr>FK_MunicipalitiesTitle_I16_35</vt:lpstr>
      <vt:lpstr>FK_MunicipalitiesTitle_I16_36</vt:lpstr>
      <vt:lpstr>FK_MunicipalitiesTitle_I16_37</vt:lpstr>
      <vt:lpstr>FK_MunicipalitiesTitle_I16_38</vt:lpstr>
      <vt:lpstr>FK_MunicipalitiesTitle_I16_39</vt:lpstr>
      <vt:lpstr>FK_MunicipalitiesTitle_I16_4</vt:lpstr>
      <vt:lpstr>FK_MunicipalitiesTitle_I16_40</vt:lpstr>
      <vt:lpstr>FK_MunicipalitiesTitle_I16_41</vt:lpstr>
      <vt:lpstr>FK_MunicipalitiesTitle_I16_42</vt:lpstr>
      <vt:lpstr>FK_MunicipalitiesTitle_I16_43</vt:lpstr>
      <vt:lpstr>FK_MunicipalitiesTitle_I16_44</vt:lpstr>
      <vt:lpstr>FK_MunicipalitiesTitle_I16_45</vt:lpstr>
      <vt:lpstr>FK_MunicipalitiesTitle_I16_46</vt:lpstr>
      <vt:lpstr>FK_MunicipalitiesTitle_I16_47</vt:lpstr>
      <vt:lpstr>FK_MunicipalitiesTitle_I16_48</vt:lpstr>
      <vt:lpstr>FK_MunicipalitiesTitle_I16_49</vt:lpstr>
      <vt:lpstr>FK_MunicipalitiesTitle_I16_5</vt:lpstr>
      <vt:lpstr>FK_MunicipalitiesTitle_I16_50</vt:lpstr>
      <vt:lpstr>FK_MunicipalitiesTitle_I16_6</vt:lpstr>
      <vt:lpstr>FK_MunicipalitiesTitle_I16_7</vt:lpstr>
      <vt:lpstr>FK_MunicipalitiesTitle_I16_8</vt:lpstr>
      <vt:lpstr>FK_MunicipalitiesTitle_I16_9</vt:lpstr>
      <vt:lpstr>FK_MunicipalitiesTitle_I17_1</vt:lpstr>
      <vt:lpstr>FK_MunicipalitiesTitle_I17_10</vt:lpstr>
      <vt:lpstr>FK_MunicipalitiesTitle_I17_11</vt:lpstr>
      <vt:lpstr>FK_MunicipalitiesTitle_I17_12</vt:lpstr>
      <vt:lpstr>FK_MunicipalitiesTitle_I17_13</vt:lpstr>
      <vt:lpstr>FK_MunicipalitiesTitle_I17_14</vt:lpstr>
      <vt:lpstr>FK_MunicipalitiesTitle_I17_15</vt:lpstr>
      <vt:lpstr>FK_MunicipalitiesTitle_I17_16</vt:lpstr>
      <vt:lpstr>FK_MunicipalitiesTitle_I17_17</vt:lpstr>
      <vt:lpstr>FK_MunicipalitiesTitle_I17_18</vt:lpstr>
      <vt:lpstr>FK_MunicipalitiesTitle_I17_19</vt:lpstr>
      <vt:lpstr>FK_MunicipalitiesTitle_I17_2</vt:lpstr>
      <vt:lpstr>FK_MunicipalitiesTitle_I17_20</vt:lpstr>
      <vt:lpstr>FK_MunicipalitiesTitle_I17_21</vt:lpstr>
      <vt:lpstr>FK_MunicipalitiesTitle_I17_22</vt:lpstr>
      <vt:lpstr>FK_MunicipalitiesTitle_I17_23</vt:lpstr>
      <vt:lpstr>FK_MunicipalitiesTitle_I17_24</vt:lpstr>
      <vt:lpstr>FK_MunicipalitiesTitle_I17_25</vt:lpstr>
      <vt:lpstr>FK_MunicipalitiesTitle_I17_26</vt:lpstr>
      <vt:lpstr>FK_MunicipalitiesTitle_I17_27</vt:lpstr>
      <vt:lpstr>FK_MunicipalitiesTitle_I17_28</vt:lpstr>
      <vt:lpstr>FK_MunicipalitiesTitle_I17_29</vt:lpstr>
      <vt:lpstr>FK_MunicipalitiesTitle_I17_3</vt:lpstr>
      <vt:lpstr>FK_MunicipalitiesTitle_I17_30</vt:lpstr>
      <vt:lpstr>FK_MunicipalitiesTitle_I17_31</vt:lpstr>
      <vt:lpstr>FK_MunicipalitiesTitle_I17_32</vt:lpstr>
      <vt:lpstr>FK_MunicipalitiesTitle_I17_33</vt:lpstr>
      <vt:lpstr>FK_MunicipalitiesTitle_I17_34</vt:lpstr>
      <vt:lpstr>FK_MunicipalitiesTitle_I17_35</vt:lpstr>
      <vt:lpstr>FK_MunicipalitiesTitle_I17_36</vt:lpstr>
      <vt:lpstr>FK_MunicipalitiesTitle_I17_37</vt:lpstr>
      <vt:lpstr>FK_MunicipalitiesTitle_I17_38</vt:lpstr>
      <vt:lpstr>FK_MunicipalitiesTitle_I17_39</vt:lpstr>
      <vt:lpstr>FK_MunicipalitiesTitle_I17_4</vt:lpstr>
      <vt:lpstr>FK_MunicipalitiesTitle_I17_40</vt:lpstr>
      <vt:lpstr>FK_MunicipalitiesTitle_I17_41</vt:lpstr>
      <vt:lpstr>FK_MunicipalitiesTitle_I17_42</vt:lpstr>
      <vt:lpstr>FK_MunicipalitiesTitle_I17_43</vt:lpstr>
      <vt:lpstr>FK_MunicipalitiesTitle_I17_44</vt:lpstr>
      <vt:lpstr>FK_MunicipalitiesTitle_I17_45</vt:lpstr>
      <vt:lpstr>FK_MunicipalitiesTitle_I17_46</vt:lpstr>
      <vt:lpstr>FK_MunicipalitiesTitle_I17_47</vt:lpstr>
      <vt:lpstr>FK_MunicipalitiesTitle_I17_48</vt:lpstr>
      <vt:lpstr>FK_MunicipalitiesTitle_I17_49</vt:lpstr>
      <vt:lpstr>FK_MunicipalitiesTitle_I17_5</vt:lpstr>
      <vt:lpstr>FK_MunicipalitiesTitle_I17_50</vt:lpstr>
      <vt:lpstr>FK_MunicipalitiesTitle_I17_6</vt:lpstr>
      <vt:lpstr>FK_MunicipalitiesTitle_I17_7</vt:lpstr>
      <vt:lpstr>FK_MunicipalitiesTitle_I17_8</vt:lpstr>
      <vt:lpstr>FK_MunicipalitiesTitle_I17_9</vt:lpstr>
      <vt:lpstr>FK_MunicipalitiesTitle_I18_1</vt:lpstr>
      <vt:lpstr>FK_MunicipalitiesTitle_I18_10</vt:lpstr>
      <vt:lpstr>FK_MunicipalitiesTitle_I18_11</vt:lpstr>
      <vt:lpstr>FK_MunicipalitiesTitle_I18_12</vt:lpstr>
      <vt:lpstr>FK_MunicipalitiesTitle_I18_13</vt:lpstr>
      <vt:lpstr>FK_MunicipalitiesTitle_I18_14</vt:lpstr>
      <vt:lpstr>FK_MunicipalitiesTitle_I18_15</vt:lpstr>
      <vt:lpstr>FK_MunicipalitiesTitle_I18_16</vt:lpstr>
      <vt:lpstr>FK_MunicipalitiesTitle_I18_17</vt:lpstr>
      <vt:lpstr>FK_MunicipalitiesTitle_I18_18</vt:lpstr>
      <vt:lpstr>FK_MunicipalitiesTitle_I18_19</vt:lpstr>
      <vt:lpstr>FK_MunicipalitiesTitle_I18_2</vt:lpstr>
      <vt:lpstr>FK_MunicipalitiesTitle_I18_20</vt:lpstr>
      <vt:lpstr>FK_MunicipalitiesTitle_I18_21</vt:lpstr>
      <vt:lpstr>FK_MunicipalitiesTitle_I18_22</vt:lpstr>
      <vt:lpstr>FK_MunicipalitiesTitle_I18_23</vt:lpstr>
      <vt:lpstr>FK_MunicipalitiesTitle_I18_24</vt:lpstr>
      <vt:lpstr>FK_MunicipalitiesTitle_I18_25</vt:lpstr>
      <vt:lpstr>FK_MunicipalitiesTitle_I18_26</vt:lpstr>
      <vt:lpstr>FK_MunicipalitiesTitle_I18_27</vt:lpstr>
      <vt:lpstr>FK_MunicipalitiesTitle_I18_28</vt:lpstr>
      <vt:lpstr>FK_MunicipalitiesTitle_I18_29</vt:lpstr>
      <vt:lpstr>FK_MunicipalitiesTitle_I18_3</vt:lpstr>
      <vt:lpstr>FK_MunicipalitiesTitle_I18_30</vt:lpstr>
      <vt:lpstr>FK_MunicipalitiesTitle_I18_31</vt:lpstr>
      <vt:lpstr>FK_MunicipalitiesTitle_I18_32</vt:lpstr>
      <vt:lpstr>FK_MunicipalitiesTitle_I18_33</vt:lpstr>
      <vt:lpstr>FK_MunicipalitiesTitle_I18_34</vt:lpstr>
      <vt:lpstr>FK_MunicipalitiesTitle_I18_35</vt:lpstr>
      <vt:lpstr>FK_MunicipalitiesTitle_I18_36</vt:lpstr>
      <vt:lpstr>FK_MunicipalitiesTitle_I18_37</vt:lpstr>
      <vt:lpstr>FK_MunicipalitiesTitle_I18_38</vt:lpstr>
      <vt:lpstr>FK_MunicipalitiesTitle_I18_39</vt:lpstr>
      <vt:lpstr>FK_MunicipalitiesTitle_I18_4</vt:lpstr>
      <vt:lpstr>FK_MunicipalitiesTitle_I18_40</vt:lpstr>
      <vt:lpstr>FK_MunicipalitiesTitle_I18_41</vt:lpstr>
      <vt:lpstr>FK_MunicipalitiesTitle_I18_42</vt:lpstr>
      <vt:lpstr>FK_MunicipalitiesTitle_I18_43</vt:lpstr>
      <vt:lpstr>FK_MunicipalitiesTitle_I18_44</vt:lpstr>
      <vt:lpstr>FK_MunicipalitiesTitle_I18_45</vt:lpstr>
      <vt:lpstr>FK_MunicipalitiesTitle_I18_46</vt:lpstr>
      <vt:lpstr>FK_MunicipalitiesTitle_I18_47</vt:lpstr>
      <vt:lpstr>FK_MunicipalitiesTitle_I18_48</vt:lpstr>
      <vt:lpstr>FK_MunicipalitiesTitle_I18_49</vt:lpstr>
      <vt:lpstr>FK_MunicipalitiesTitle_I18_5</vt:lpstr>
      <vt:lpstr>FK_MunicipalitiesTitle_I18_50</vt:lpstr>
      <vt:lpstr>FK_MunicipalitiesTitle_I18_6</vt:lpstr>
      <vt:lpstr>FK_MunicipalitiesTitle_I18_7</vt:lpstr>
      <vt:lpstr>FK_MunicipalitiesTitle_I18_8</vt:lpstr>
      <vt:lpstr>FK_MunicipalitiesTitle_I18_9</vt:lpstr>
      <vt:lpstr>FK_MunicipalitiesTitle_I19_1</vt:lpstr>
      <vt:lpstr>FK_MunicipalitiesTitle_I19_10</vt:lpstr>
      <vt:lpstr>FK_MunicipalitiesTitle_I19_11</vt:lpstr>
      <vt:lpstr>FK_MunicipalitiesTitle_I19_12</vt:lpstr>
      <vt:lpstr>FK_MunicipalitiesTitle_I19_13</vt:lpstr>
      <vt:lpstr>FK_MunicipalitiesTitle_I19_14</vt:lpstr>
      <vt:lpstr>FK_MunicipalitiesTitle_I19_15</vt:lpstr>
      <vt:lpstr>FK_MunicipalitiesTitle_I19_16</vt:lpstr>
      <vt:lpstr>FK_MunicipalitiesTitle_I19_17</vt:lpstr>
      <vt:lpstr>FK_MunicipalitiesTitle_I19_18</vt:lpstr>
      <vt:lpstr>FK_MunicipalitiesTitle_I19_19</vt:lpstr>
      <vt:lpstr>FK_MunicipalitiesTitle_I19_2</vt:lpstr>
      <vt:lpstr>FK_MunicipalitiesTitle_I19_20</vt:lpstr>
      <vt:lpstr>FK_MunicipalitiesTitle_I19_21</vt:lpstr>
      <vt:lpstr>FK_MunicipalitiesTitle_I19_22</vt:lpstr>
      <vt:lpstr>FK_MunicipalitiesTitle_I19_23</vt:lpstr>
      <vt:lpstr>FK_MunicipalitiesTitle_I19_24</vt:lpstr>
      <vt:lpstr>FK_MunicipalitiesTitle_I19_25</vt:lpstr>
      <vt:lpstr>FK_MunicipalitiesTitle_I19_26</vt:lpstr>
      <vt:lpstr>FK_MunicipalitiesTitle_I19_27</vt:lpstr>
      <vt:lpstr>FK_MunicipalitiesTitle_I19_28</vt:lpstr>
      <vt:lpstr>FK_MunicipalitiesTitle_I19_29</vt:lpstr>
      <vt:lpstr>FK_MunicipalitiesTitle_I19_3</vt:lpstr>
      <vt:lpstr>FK_MunicipalitiesTitle_I19_30</vt:lpstr>
      <vt:lpstr>FK_MunicipalitiesTitle_I19_31</vt:lpstr>
      <vt:lpstr>FK_MunicipalitiesTitle_I19_32</vt:lpstr>
      <vt:lpstr>FK_MunicipalitiesTitle_I19_33</vt:lpstr>
      <vt:lpstr>FK_MunicipalitiesTitle_I19_34</vt:lpstr>
      <vt:lpstr>FK_MunicipalitiesTitle_I19_35</vt:lpstr>
      <vt:lpstr>FK_MunicipalitiesTitle_I19_36</vt:lpstr>
      <vt:lpstr>FK_MunicipalitiesTitle_I19_37</vt:lpstr>
      <vt:lpstr>FK_MunicipalitiesTitle_I19_38</vt:lpstr>
      <vt:lpstr>FK_MunicipalitiesTitle_I19_39</vt:lpstr>
      <vt:lpstr>FK_MunicipalitiesTitle_I19_4</vt:lpstr>
      <vt:lpstr>FK_MunicipalitiesTitle_I19_40</vt:lpstr>
      <vt:lpstr>FK_MunicipalitiesTitle_I19_41</vt:lpstr>
      <vt:lpstr>FK_MunicipalitiesTitle_I19_42</vt:lpstr>
      <vt:lpstr>FK_MunicipalitiesTitle_I19_43</vt:lpstr>
      <vt:lpstr>FK_MunicipalitiesTitle_I19_44</vt:lpstr>
      <vt:lpstr>FK_MunicipalitiesTitle_I19_45</vt:lpstr>
      <vt:lpstr>FK_MunicipalitiesTitle_I19_46</vt:lpstr>
      <vt:lpstr>FK_MunicipalitiesTitle_I19_47</vt:lpstr>
      <vt:lpstr>FK_MunicipalitiesTitle_I19_48</vt:lpstr>
      <vt:lpstr>FK_MunicipalitiesTitle_I19_49</vt:lpstr>
      <vt:lpstr>FK_MunicipalitiesTitle_I19_5</vt:lpstr>
      <vt:lpstr>FK_MunicipalitiesTitle_I19_50</vt:lpstr>
      <vt:lpstr>FK_MunicipalitiesTitle_I19_6</vt:lpstr>
      <vt:lpstr>FK_MunicipalitiesTitle_I19_7</vt:lpstr>
      <vt:lpstr>FK_MunicipalitiesTitle_I19_8</vt:lpstr>
      <vt:lpstr>FK_MunicipalitiesTitle_I19_9</vt:lpstr>
      <vt:lpstr>FK_MunicipalitiesTitle_I2_1</vt:lpstr>
      <vt:lpstr>FK_MunicipalitiesTitle_I2_10</vt:lpstr>
      <vt:lpstr>FK_MunicipalitiesTitle_I2_11</vt:lpstr>
      <vt:lpstr>FK_MunicipalitiesTitle_I2_12</vt:lpstr>
      <vt:lpstr>FK_MunicipalitiesTitle_I2_13</vt:lpstr>
      <vt:lpstr>FK_MunicipalitiesTitle_I2_14</vt:lpstr>
      <vt:lpstr>FK_MunicipalitiesTitle_I2_15</vt:lpstr>
      <vt:lpstr>FK_MunicipalitiesTitle_I2_16</vt:lpstr>
      <vt:lpstr>FK_MunicipalitiesTitle_I2_17</vt:lpstr>
      <vt:lpstr>FK_MunicipalitiesTitle_I2_18</vt:lpstr>
      <vt:lpstr>FK_MunicipalitiesTitle_I2_19</vt:lpstr>
      <vt:lpstr>FK_MunicipalitiesTitle_I2_2</vt:lpstr>
      <vt:lpstr>FK_MunicipalitiesTitle_I2_20</vt:lpstr>
      <vt:lpstr>FK_MunicipalitiesTitle_I2_21</vt:lpstr>
      <vt:lpstr>FK_MunicipalitiesTitle_I2_22</vt:lpstr>
      <vt:lpstr>FK_MunicipalitiesTitle_I2_23</vt:lpstr>
      <vt:lpstr>FK_MunicipalitiesTitle_I2_24</vt:lpstr>
      <vt:lpstr>FK_MunicipalitiesTitle_I2_25</vt:lpstr>
      <vt:lpstr>FK_MunicipalitiesTitle_I2_26</vt:lpstr>
      <vt:lpstr>FK_MunicipalitiesTitle_I2_27</vt:lpstr>
      <vt:lpstr>FK_MunicipalitiesTitle_I2_28</vt:lpstr>
      <vt:lpstr>FK_MunicipalitiesTitle_I2_29</vt:lpstr>
      <vt:lpstr>FK_MunicipalitiesTitle_I2_3</vt:lpstr>
      <vt:lpstr>FK_MunicipalitiesTitle_I2_30</vt:lpstr>
      <vt:lpstr>FK_MunicipalitiesTitle_I2_31</vt:lpstr>
      <vt:lpstr>FK_MunicipalitiesTitle_I2_32</vt:lpstr>
      <vt:lpstr>FK_MunicipalitiesTitle_I2_33</vt:lpstr>
      <vt:lpstr>FK_MunicipalitiesTitle_I2_34</vt:lpstr>
      <vt:lpstr>FK_MunicipalitiesTitle_I2_35</vt:lpstr>
      <vt:lpstr>FK_MunicipalitiesTitle_I2_36</vt:lpstr>
      <vt:lpstr>FK_MunicipalitiesTitle_I2_37</vt:lpstr>
      <vt:lpstr>FK_MunicipalitiesTitle_I2_38</vt:lpstr>
      <vt:lpstr>FK_MunicipalitiesTitle_I2_39</vt:lpstr>
      <vt:lpstr>FK_MunicipalitiesTitle_I2_4</vt:lpstr>
      <vt:lpstr>FK_MunicipalitiesTitle_I2_40</vt:lpstr>
      <vt:lpstr>FK_MunicipalitiesTitle_I2_41</vt:lpstr>
      <vt:lpstr>FK_MunicipalitiesTitle_I2_42</vt:lpstr>
      <vt:lpstr>FK_MunicipalitiesTitle_I2_43</vt:lpstr>
      <vt:lpstr>FK_MunicipalitiesTitle_I2_44</vt:lpstr>
      <vt:lpstr>FK_MunicipalitiesTitle_I2_45</vt:lpstr>
      <vt:lpstr>FK_MunicipalitiesTitle_I2_46</vt:lpstr>
      <vt:lpstr>FK_MunicipalitiesTitle_I2_47</vt:lpstr>
      <vt:lpstr>FK_MunicipalitiesTitle_I2_48</vt:lpstr>
      <vt:lpstr>FK_MunicipalitiesTitle_I2_49</vt:lpstr>
      <vt:lpstr>FK_MunicipalitiesTitle_I2_5</vt:lpstr>
      <vt:lpstr>FK_MunicipalitiesTitle_I2_50</vt:lpstr>
      <vt:lpstr>FK_MunicipalitiesTitle_I2_6</vt:lpstr>
      <vt:lpstr>FK_MunicipalitiesTitle_I2_7</vt:lpstr>
      <vt:lpstr>FK_MunicipalitiesTitle_I2_8</vt:lpstr>
      <vt:lpstr>FK_MunicipalitiesTitle_I2_9</vt:lpstr>
      <vt:lpstr>FK_MunicipalitiesTitle_I20_1</vt:lpstr>
      <vt:lpstr>FK_MunicipalitiesTitle_I20_10</vt:lpstr>
      <vt:lpstr>FK_MunicipalitiesTitle_I20_11</vt:lpstr>
      <vt:lpstr>FK_MunicipalitiesTitle_I20_12</vt:lpstr>
      <vt:lpstr>FK_MunicipalitiesTitle_I20_13</vt:lpstr>
      <vt:lpstr>FK_MunicipalitiesTitle_I20_14</vt:lpstr>
      <vt:lpstr>FK_MunicipalitiesTitle_I20_15</vt:lpstr>
      <vt:lpstr>FK_MunicipalitiesTitle_I20_16</vt:lpstr>
      <vt:lpstr>FK_MunicipalitiesTitle_I20_17</vt:lpstr>
      <vt:lpstr>FK_MunicipalitiesTitle_I20_18</vt:lpstr>
      <vt:lpstr>FK_MunicipalitiesTitle_I20_19</vt:lpstr>
      <vt:lpstr>FK_MunicipalitiesTitle_I20_2</vt:lpstr>
      <vt:lpstr>FK_MunicipalitiesTitle_I20_20</vt:lpstr>
      <vt:lpstr>FK_MunicipalitiesTitle_I20_21</vt:lpstr>
      <vt:lpstr>FK_MunicipalitiesTitle_I20_22</vt:lpstr>
      <vt:lpstr>FK_MunicipalitiesTitle_I20_23</vt:lpstr>
      <vt:lpstr>FK_MunicipalitiesTitle_I20_24</vt:lpstr>
      <vt:lpstr>FK_MunicipalitiesTitle_I20_25</vt:lpstr>
      <vt:lpstr>FK_MunicipalitiesTitle_I20_26</vt:lpstr>
      <vt:lpstr>FK_MunicipalitiesTitle_I20_27</vt:lpstr>
      <vt:lpstr>FK_MunicipalitiesTitle_I20_28</vt:lpstr>
      <vt:lpstr>FK_MunicipalitiesTitle_I20_29</vt:lpstr>
      <vt:lpstr>FK_MunicipalitiesTitle_I20_3</vt:lpstr>
      <vt:lpstr>FK_MunicipalitiesTitle_I20_30</vt:lpstr>
      <vt:lpstr>FK_MunicipalitiesTitle_I20_31</vt:lpstr>
      <vt:lpstr>FK_MunicipalitiesTitle_I20_32</vt:lpstr>
      <vt:lpstr>FK_MunicipalitiesTitle_I20_33</vt:lpstr>
      <vt:lpstr>FK_MunicipalitiesTitle_I20_34</vt:lpstr>
      <vt:lpstr>FK_MunicipalitiesTitle_I20_35</vt:lpstr>
      <vt:lpstr>FK_MunicipalitiesTitle_I20_36</vt:lpstr>
      <vt:lpstr>FK_MunicipalitiesTitle_I20_37</vt:lpstr>
      <vt:lpstr>FK_MunicipalitiesTitle_I20_38</vt:lpstr>
      <vt:lpstr>FK_MunicipalitiesTitle_I20_39</vt:lpstr>
      <vt:lpstr>FK_MunicipalitiesTitle_I20_4</vt:lpstr>
      <vt:lpstr>FK_MunicipalitiesTitle_I20_40</vt:lpstr>
      <vt:lpstr>FK_MunicipalitiesTitle_I20_41</vt:lpstr>
      <vt:lpstr>FK_MunicipalitiesTitle_I20_42</vt:lpstr>
      <vt:lpstr>FK_MunicipalitiesTitle_I20_43</vt:lpstr>
      <vt:lpstr>FK_MunicipalitiesTitle_I20_44</vt:lpstr>
      <vt:lpstr>FK_MunicipalitiesTitle_I20_45</vt:lpstr>
      <vt:lpstr>FK_MunicipalitiesTitle_I20_46</vt:lpstr>
      <vt:lpstr>FK_MunicipalitiesTitle_I20_47</vt:lpstr>
      <vt:lpstr>FK_MunicipalitiesTitle_I20_48</vt:lpstr>
      <vt:lpstr>FK_MunicipalitiesTitle_I20_49</vt:lpstr>
      <vt:lpstr>FK_MunicipalitiesTitle_I20_5</vt:lpstr>
      <vt:lpstr>FK_MunicipalitiesTitle_I20_50</vt:lpstr>
      <vt:lpstr>FK_MunicipalitiesTitle_I20_6</vt:lpstr>
      <vt:lpstr>FK_MunicipalitiesTitle_I20_7</vt:lpstr>
      <vt:lpstr>FK_MunicipalitiesTitle_I20_8</vt:lpstr>
      <vt:lpstr>FK_MunicipalitiesTitle_I20_9</vt:lpstr>
      <vt:lpstr>FK_MunicipalitiesTitle_I21_1</vt:lpstr>
      <vt:lpstr>FK_MunicipalitiesTitle_I21_10</vt:lpstr>
      <vt:lpstr>FK_MunicipalitiesTitle_I21_11</vt:lpstr>
      <vt:lpstr>FK_MunicipalitiesTitle_I21_12</vt:lpstr>
      <vt:lpstr>FK_MunicipalitiesTitle_I21_13</vt:lpstr>
      <vt:lpstr>FK_MunicipalitiesTitle_I21_14</vt:lpstr>
      <vt:lpstr>FK_MunicipalitiesTitle_I21_15</vt:lpstr>
      <vt:lpstr>FK_MunicipalitiesTitle_I21_16</vt:lpstr>
      <vt:lpstr>FK_MunicipalitiesTitle_I21_17</vt:lpstr>
      <vt:lpstr>FK_MunicipalitiesTitle_I21_18</vt:lpstr>
      <vt:lpstr>FK_MunicipalitiesTitle_I21_19</vt:lpstr>
      <vt:lpstr>FK_MunicipalitiesTitle_I21_2</vt:lpstr>
      <vt:lpstr>FK_MunicipalitiesTitle_I21_20</vt:lpstr>
      <vt:lpstr>FK_MunicipalitiesTitle_I21_21</vt:lpstr>
      <vt:lpstr>FK_MunicipalitiesTitle_I21_22</vt:lpstr>
      <vt:lpstr>FK_MunicipalitiesTitle_I21_23</vt:lpstr>
      <vt:lpstr>FK_MunicipalitiesTitle_I21_24</vt:lpstr>
      <vt:lpstr>FK_MunicipalitiesTitle_I21_25</vt:lpstr>
      <vt:lpstr>FK_MunicipalitiesTitle_I21_26</vt:lpstr>
      <vt:lpstr>FK_MunicipalitiesTitle_I21_27</vt:lpstr>
      <vt:lpstr>FK_MunicipalitiesTitle_I21_28</vt:lpstr>
      <vt:lpstr>FK_MunicipalitiesTitle_I21_29</vt:lpstr>
      <vt:lpstr>FK_MunicipalitiesTitle_I21_3</vt:lpstr>
      <vt:lpstr>FK_MunicipalitiesTitle_I21_30</vt:lpstr>
      <vt:lpstr>FK_MunicipalitiesTitle_I21_31</vt:lpstr>
      <vt:lpstr>FK_MunicipalitiesTitle_I21_32</vt:lpstr>
      <vt:lpstr>FK_MunicipalitiesTitle_I21_33</vt:lpstr>
      <vt:lpstr>FK_MunicipalitiesTitle_I21_34</vt:lpstr>
      <vt:lpstr>FK_MunicipalitiesTitle_I21_35</vt:lpstr>
      <vt:lpstr>FK_MunicipalitiesTitle_I21_36</vt:lpstr>
      <vt:lpstr>FK_MunicipalitiesTitle_I21_37</vt:lpstr>
      <vt:lpstr>FK_MunicipalitiesTitle_I21_38</vt:lpstr>
      <vt:lpstr>FK_MunicipalitiesTitle_I21_39</vt:lpstr>
      <vt:lpstr>FK_MunicipalitiesTitle_I21_4</vt:lpstr>
      <vt:lpstr>FK_MunicipalitiesTitle_I21_40</vt:lpstr>
      <vt:lpstr>FK_MunicipalitiesTitle_I21_41</vt:lpstr>
      <vt:lpstr>FK_MunicipalitiesTitle_I21_42</vt:lpstr>
      <vt:lpstr>FK_MunicipalitiesTitle_I21_43</vt:lpstr>
      <vt:lpstr>FK_MunicipalitiesTitle_I21_44</vt:lpstr>
      <vt:lpstr>FK_MunicipalitiesTitle_I21_45</vt:lpstr>
      <vt:lpstr>FK_MunicipalitiesTitle_I21_46</vt:lpstr>
      <vt:lpstr>FK_MunicipalitiesTitle_I21_47</vt:lpstr>
      <vt:lpstr>FK_MunicipalitiesTitle_I21_48</vt:lpstr>
      <vt:lpstr>FK_MunicipalitiesTitle_I21_49</vt:lpstr>
      <vt:lpstr>FK_MunicipalitiesTitle_I21_5</vt:lpstr>
      <vt:lpstr>FK_MunicipalitiesTitle_I21_50</vt:lpstr>
      <vt:lpstr>FK_MunicipalitiesTitle_I21_6</vt:lpstr>
      <vt:lpstr>FK_MunicipalitiesTitle_I21_7</vt:lpstr>
      <vt:lpstr>FK_MunicipalitiesTitle_I21_8</vt:lpstr>
      <vt:lpstr>FK_MunicipalitiesTitle_I21_9</vt:lpstr>
      <vt:lpstr>FK_MunicipalitiesTitle_I22_1</vt:lpstr>
      <vt:lpstr>FK_MunicipalitiesTitle_I22_10</vt:lpstr>
      <vt:lpstr>FK_MunicipalitiesTitle_I22_11</vt:lpstr>
      <vt:lpstr>FK_MunicipalitiesTitle_I22_12</vt:lpstr>
      <vt:lpstr>FK_MunicipalitiesTitle_I22_13</vt:lpstr>
      <vt:lpstr>FK_MunicipalitiesTitle_I22_14</vt:lpstr>
      <vt:lpstr>FK_MunicipalitiesTitle_I22_15</vt:lpstr>
      <vt:lpstr>FK_MunicipalitiesTitle_I22_16</vt:lpstr>
      <vt:lpstr>FK_MunicipalitiesTitle_I22_17</vt:lpstr>
      <vt:lpstr>FK_MunicipalitiesTitle_I22_18</vt:lpstr>
      <vt:lpstr>FK_MunicipalitiesTitle_I22_19</vt:lpstr>
      <vt:lpstr>FK_MunicipalitiesTitle_I22_2</vt:lpstr>
      <vt:lpstr>FK_MunicipalitiesTitle_I22_20</vt:lpstr>
      <vt:lpstr>FK_MunicipalitiesTitle_I22_21</vt:lpstr>
      <vt:lpstr>FK_MunicipalitiesTitle_I22_22</vt:lpstr>
      <vt:lpstr>FK_MunicipalitiesTitle_I22_23</vt:lpstr>
      <vt:lpstr>FK_MunicipalitiesTitle_I22_24</vt:lpstr>
      <vt:lpstr>FK_MunicipalitiesTitle_I22_25</vt:lpstr>
      <vt:lpstr>FK_MunicipalitiesTitle_I22_26</vt:lpstr>
      <vt:lpstr>FK_MunicipalitiesTitle_I22_27</vt:lpstr>
      <vt:lpstr>FK_MunicipalitiesTitle_I22_28</vt:lpstr>
      <vt:lpstr>FK_MunicipalitiesTitle_I22_29</vt:lpstr>
      <vt:lpstr>FK_MunicipalitiesTitle_I22_3</vt:lpstr>
      <vt:lpstr>FK_MunicipalitiesTitle_I22_30</vt:lpstr>
      <vt:lpstr>FK_MunicipalitiesTitle_I22_31</vt:lpstr>
      <vt:lpstr>FK_MunicipalitiesTitle_I22_32</vt:lpstr>
      <vt:lpstr>FK_MunicipalitiesTitle_I22_33</vt:lpstr>
      <vt:lpstr>FK_MunicipalitiesTitle_I22_34</vt:lpstr>
      <vt:lpstr>FK_MunicipalitiesTitle_I22_35</vt:lpstr>
      <vt:lpstr>FK_MunicipalitiesTitle_I22_36</vt:lpstr>
      <vt:lpstr>FK_MunicipalitiesTitle_I22_37</vt:lpstr>
      <vt:lpstr>FK_MunicipalitiesTitle_I22_38</vt:lpstr>
      <vt:lpstr>FK_MunicipalitiesTitle_I22_39</vt:lpstr>
      <vt:lpstr>FK_MunicipalitiesTitle_I22_4</vt:lpstr>
      <vt:lpstr>FK_MunicipalitiesTitle_I22_40</vt:lpstr>
      <vt:lpstr>FK_MunicipalitiesTitle_I22_41</vt:lpstr>
      <vt:lpstr>FK_MunicipalitiesTitle_I22_42</vt:lpstr>
      <vt:lpstr>FK_MunicipalitiesTitle_I22_43</vt:lpstr>
      <vt:lpstr>FK_MunicipalitiesTitle_I22_44</vt:lpstr>
      <vt:lpstr>FK_MunicipalitiesTitle_I22_45</vt:lpstr>
      <vt:lpstr>FK_MunicipalitiesTitle_I22_46</vt:lpstr>
      <vt:lpstr>FK_MunicipalitiesTitle_I22_47</vt:lpstr>
      <vt:lpstr>FK_MunicipalitiesTitle_I22_48</vt:lpstr>
      <vt:lpstr>FK_MunicipalitiesTitle_I22_49</vt:lpstr>
      <vt:lpstr>FK_MunicipalitiesTitle_I22_5</vt:lpstr>
      <vt:lpstr>FK_MunicipalitiesTitle_I22_50</vt:lpstr>
      <vt:lpstr>FK_MunicipalitiesTitle_I22_6</vt:lpstr>
      <vt:lpstr>FK_MunicipalitiesTitle_I22_7</vt:lpstr>
      <vt:lpstr>FK_MunicipalitiesTitle_I22_8</vt:lpstr>
      <vt:lpstr>FK_MunicipalitiesTitle_I22_9</vt:lpstr>
      <vt:lpstr>FK_MunicipalitiesTitle_I3_1</vt:lpstr>
      <vt:lpstr>FK_MunicipalitiesTitle_I3_10</vt:lpstr>
      <vt:lpstr>FK_MunicipalitiesTitle_I3_11</vt:lpstr>
      <vt:lpstr>FK_MunicipalitiesTitle_I3_12</vt:lpstr>
      <vt:lpstr>FK_MunicipalitiesTitle_I3_13</vt:lpstr>
      <vt:lpstr>FK_MunicipalitiesTitle_I3_14</vt:lpstr>
      <vt:lpstr>FK_MunicipalitiesTitle_I3_15</vt:lpstr>
      <vt:lpstr>FK_MunicipalitiesTitle_I3_16</vt:lpstr>
      <vt:lpstr>FK_MunicipalitiesTitle_I3_17</vt:lpstr>
      <vt:lpstr>FK_MunicipalitiesTitle_I3_18</vt:lpstr>
      <vt:lpstr>FK_MunicipalitiesTitle_I3_19</vt:lpstr>
      <vt:lpstr>FK_MunicipalitiesTitle_I3_2</vt:lpstr>
      <vt:lpstr>FK_MunicipalitiesTitle_I3_20</vt:lpstr>
      <vt:lpstr>FK_MunicipalitiesTitle_I3_21</vt:lpstr>
      <vt:lpstr>FK_MunicipalitiesTitle_I3_22</vt:lpstr>
      <vt:lpstr>FK_MunicipalitiesTitle_I3_23</vt:lpstr>
      <vt:lpstr>FK_MunicipalitiesTitle_I3_24</vt:lpstr>
      <vt:lpstr>FK_MunicipalitiesTitle_I3_25</vt:lpstr>
      <vt:lpstr>FK_MunicipalitiesTitle_I3_26</vt:lpstr>
      <vt:lpstr>FK_MunicipalitiesTitle_I3_27</vt:lpstr>
      <vt:lpstr>FK_MunicipalitiesTitle_I3_28</vt:lpstr>
      <vt:lpstr>FK_MunicipalitiesTitle_I3_29</vt:lpstr>
      <vt:lpstr>FK_MunicipalitiesTitle_I3_3</vt:lpstr>
      <vt:lpstr>FK_MunicipalitiesTitle_I3_30</vt:lpstr>
      <vt:lpstr>FK_MunicipalitiesTitle_I3_31</vt:lpstr>
      <vt:lpstr>FK_MunicipalitiesTitle_I3_32</vt:lpstr>
      <vt:lpstr>FK_MunicipalitiesTitle_I3_33</vt:lpstr>
      <vt:lpstr>FK_MunicipalitiesTitle_I3_34</vt:lpstr>
      <vt:lpstr>FK_MunicipalitiesTitle_I3_35</vt:lpstr>
      <vt:lpstr>FK_MunicipalitiesTitle_I3_36</vt:lpstr>
      <vt:lpstr>FK_MunicipalitiesTitle_I3_37</vt:lpstr>
      <vt:lpstr>FK_MunicipalitiesTitle_I3_38</vt:lpstr>
      <vt:lpstr>FK_MunicipalitiesTitle_I3_39</vt:lpstr>
      <vt:lpstr>FK_MunicipalitiesTitle_I3_4</vt:lpstr>
      <vt:lpstr>FK_MunicipalitiesTitle_I3_40</vt:lpstr>
      <vt:lpstr>FK_MunicipalitiesTitle_I3_41</vt:lpstr>
      <vt:lpstr>FK_MunicipalitiesTitle_I3_42</vt:lpstr>
      <vt:lpstr>FK_MunicipalitiesTitle_I3_43</vt:lpstr>
      <vt:lpstr>FK_MunicipalitiesTitle_I3_44</vt:lpstr>
      <vt:lpstr>FK_MunicipalitiesTitle_I3_45</vt:lpstr>
      <vt:lpstr>FK_MunicipalitiesTitle_I3_46</vt:lpstr>
      <vt:lpstr>FK_MunicipalitiesTitle_I3_47</vt:lpstr>
      <vt:lpstr>FK_MunicipalitiesTitle_I3_48</vt:lpstr>
      <vt:lpstr>FK_MunicipalitiesTitle_I3_49</vt:lpstr>
      <vt:lpstr>FK_MunicipalitiesTitle_I3_5</vt:lpstr>
      <vt:lpstr>FK_MunicipalitiesTitle_I3_50</vt:lpstr>
      <vt:lpstr>FK_MunicipalitiesTitle_I3_6</vt:lpstr>
      <vt:lpstr>FK_MunicipalitiesTitle_I3_7</vt:lpstr>
      <vt:lpstr>FK_MunicipalitiesTitle_I3_8</vt:lpstr>
      <vt:lpstr>FK_MunicipalitiesTitle_I3_9</vt:lpstr>
      <vt:lpstr>FK_MunicipalitiesTitle_I4_1</vt:lpstr>
      <vt:lpstr>FK_MunicipalitiesTitle_I4_10</vt:lpstr>
      <vt:lpstr>FK_MunicipalitiesTitle_I4_11</vt:lpstr>
      <vt:lpstr>FK_MunicipalitiesTitle_I4_12</vt:lpstr>
      <vt:lpstr>FK_MunicipalitiesTitle_I4_13</vt:lpstr>
      <vt:lpstr>FK_MunicipalitiesTitle_I4_14</vt:lpstr>
      <vt:lpstr>FK_MunicipalitiesTitle_I4_15</vt:lpstr>
      <vt:lpstr>FK_MunicipalitiesTitle_I4_16</vt:lpstr>
      <vt:lpstr>FK_MunicipalitiesTitle_I4_17</vt:lpstr>
      <vt:lpstr>FK_MunicipalitiesTitle_I4_18</vt:lpstr>
      <vt:lpstr>FK_MunicipalitiesTitle_I4_19</vt:lpstr>
      <vt:lpstr>FK_MunicipalitiesTitle_I4_2</vt:lpstr>
      <vt:lpstr>FK_MunicipalitiesTitle_I4_20</vt:lpstr>
      <vt:lpstr>FK_MunicipalitiesTitle_I4_21</vt:lpstr>
      <vt:lpstr>FK_MunicipalitiesTitle_I4_22</vt:lpstr>
      <vt:lpstr>FK_MunicipalitiesTitle_I4_23</vt:lpstr>
      <vt:lpstr>FK_MunicipalitiesTitle_I4_24</vt:lpstr>
      <vt:lpstr>FK_MunicipalitiesTitle_I4_25</vt:lpstr>
      <vt:lpstr>FK_MunicipalitiesTitle_I4_26</vt:lpstr>
      <vt:lpstr>FK_MunicipalitiesTitle_I4_27</vt:lpstr>
      <vt:lpstr>FK_MunicipalitiesTitle_I4_28</vt:lpstr>
      <vt:lpstr>FK_MunicipalitiesTitle_I4_29</vt:lpstr>
      <vt:lpstr>FK_MunicipalitiesTitle_I4_3</vt:lpstr>
      <vt:lpstr>FK_MunicipalitiesTitle_I4_30</vt:lpstr>
      <vt:lpstr>FK_MunicipalitiesTitle_I4_31</vt:lpstr>
      <vt:lpstr>FK_MunicipalitiesTitle_I4_32</vt:lpstr>
      <vt:lpstr>FK_MunicipalitiesTitle_I4_33</vt:lpstr>
      <vt:lpstr>FK_MunicipalitiesTitle_I4_34</vt:lpstr>
      <vt:lpstr>FK_MunicipalitiesTitle_I4_35</vt:lpstr>
      <vt:lpstr>FK_MunicipalitiesTitle_I4_36</vt:lpstr>
      <vt:lpstr>FK_MunicipalitiesTitle_I4_37</vt:lpstr>
      <vt:lpstr>FK_MunicipalitiesTitle_I4_38</vt:lpstr>
      <vt:lpstr>FK_MunicipalitiesTitle_I4_39</vt:lpstr>
      <vt:lpstr>FK_MunicipalitiesTitle_I4_4</vt:lpstr>
      <vt:lpstr>FK_MunicipalitiesTitle_I4_40</vt:lpstr>
      <vt:lpstr>FK_MunicipalitiesTitle_I4_41</vt:lpstr>
      <vt:lpstr>FK_MunicipalitiesTitle_I4_42</vt:lpstr>
      <vt:lpstr>FK_MunicipalitiesTitle_I4_43</vt:lpstr>
      <vt:lpstr>FK_MunicipalitiesTitle_I4_44</vt:lpstr>
      <vt:lpstr>FK_MunicipalitiesTitle_I4_45</vt:lpstr>
      <vt:lpstr>FK_MunicipalitiesTitle_I4_46</vt:lpstr>
      <vt:lpstr>FK_MunicipalitiesTitle_I4_47</vt:lpstr>
      <vt:lpstr>FK_MunicipalitiesTitle_I4_48</vt:lpstr>
      <vt:lpstr>FK_MunicipalitiesTitle_I4_49</vt:lpstr>
      <vt:lpstr>FK_MunicipalitiesTitle_I4_5</vt:lpstr>
      <vt:lpstr>FK_MunicipalitiesTitle_I4_50</vt:lpstr>
      <vt:lpstr>FK_MunicipalitiesTitle_I4_6</vt:lpstr>
      <vt:lpstr>FK_MunicipalitiesTitle_I4_7</vt:lpstr>
      <vt:lpstr>FK_MunicipalitiesTitle_I4_8</vt:lpstr>
      <vt:lpstr>FK_MunicipalitiesTitle_I4_9</vt:lpstr>
      <vt:lpstr>FK_MunicipalitiesTitle_I5_1</vt:lpstr>
      <vt:lpstr>FK_MunicipalitiesTitle_I5_10</vt:lpstr>
      <vt:lpstr>FK_MunicipalitiesTitle_I5_11</vt:lpstr>
      <vt:lpstr>FK_MunicipalitiesTitle_I5_12</vt:lpstr>
      <vt:lpstr>FK_MunicipalitiesTitle_I5_13</vt:lpstr>
      <vt:lpstr>FK_MunicipalitiesTitle_I5_14</vt:lpstr>
      <vt:lpstr>FK_MunicipalitiesTitle_I5_15</vt:lpstr>
      <vt:lpstr>FK_MunicipalitiesTitle_I5_16</vt:lpstr>
      <vt:lpstr>FK_MunicipalitiesTitle_I5_17</vt:lpstr>
      <vt:lpstr>FK_MunicipalitiesTitle_I5_18</vt:lpstr>
      <vt:lpstr>FK_MunicipalitiesTitle_I5_19</vt:lpstr>
      <vt:lpstr>FK_MunicipalitiesTitle_I5_2</vt:lpstr>
      <vt:lpstr>FK_MunicipalitiesTitle_I5_20</vt:lpstr>
      <vt:lpstr>FK_MunicipalitiesTitle_I5_21</vt:lpstr>
      <vt:lpstr>FK_MunicipalitiesTitle_I5_22</vt:lpstr>
      <vt:lpstr>FK_MunicipalitiesTitle_I5_23</vt:lpstr>
      <vt:lpstr>FK_MunicipalitiesTitle_I5_24</vt:lpstr>
      <vt:lpstr>FK_MunicipalitiesTitle_I5_25</vt:lpstr>
      <vt:lpstr>FK_MunicipalitiesTitle_I5_26</vt:lpstr>
      <vt:lpstr>FK_MunicipalitiesTitle_I5_27</vt:lpstr>
      <vt:lpstr>FK_MunicipalitiesTitle_I5_28</vt:lpstr>
      <vt:lpstr>FK_MunicipalitiesTitle_I5_29</vt:lpstr>
      <vt:lpstr>FK_MunicipalitiesTitle_I5_3</vt:lpstr>
      <vt:lpstr>FK_MunicipalitiesTitle_I5_30</vt:lpstr>
      <vt:lpstr>FK_MunicipalitiesTitle_I5_31</vt:lpstr>
      <vt:lpstr>FK_MunicipalitiesTitle_I5_32</vt:lpstr>
      <vt:lpstr>FK_MunicipalitiesTitle_I5_33</vt:lpstr>
      <vt:lpstr>FK_MunicipalitiesTitle_I5_34</vt:lpstr>
      <vt:lpstr>FK_MunicipalitiesTitle_I5_35</vt:lpstr>
      <vt:lpstr>FK_MunicipalitiesTitle_I5_36</vt:lpstr>
      <vt:lpstr>FK_MunicipalitiesTitle_I5_37</vt:lpstr>
      <vt:lpstr>FK_MunicipalitiesTitle_I5_38</vt:lpstr>
      <vt:lpstr>FK_MunicipalitiesTitle_I5_39</vt:lpstr>
      <vt:lpstr>FK_MunicipalitiesTitle_I5_4</vt:lpstr>
      <vt:lpstr>FK_MunicipalitiesTitle_I5_40</vt:lpstr>
      <vt:lpstr>FK_MunicipalitiesTitle_I5_41</vt:lpstr>
      <vt:lpstr>FK_MunicipalitiesTitle_I5_42</vt:lpstr>
      <vt:lpstr>FK_MunicipalitiesTitle_I5_43</vt:lpstr>
      <vt:lpstr>FK_MunicipalitiesTitle_I5_44</vt:lpstr>
      <vt:lpstr>FK_MunicipalitiesTitle_I5_45</vt:lpstr>
      <vt:lpstr>FK_MunicipalitiesTitle_I5_46</vt:lpstr>
      <vt:lpstr>FK_MunicipalitiesTitle_I5_47</vt:lpstr>
      <vt:lpstr>FK_MunicipalitiesTitle_I5_48</vt:lpstr>
      <vt:lpstr>FK_MunicipalitiesTitle_I5_49</vt:lpstr>
      <vt:lpstr>FK_MunicipalitiesTitle_I5_5</vt:lpstr>
      <vt:lpstr>FK_MunicipalitiesTitle_I5_50</vt:lpstr>
      <vt:lpstr>FK_MunicipalitiesTitle_I5_6</vt:lpstr>
      <vt:lpstr>FK_MunicipalitiesTitle_I5_7</vt:lpstr>
      <vt:lpstr>FK_MunicipalitiesTitle_I5_8</vt:lpstr>
      <vt:lpstr>FK_MunicipalitiesTitle_I5_9</vt:lpstr>
      <vt:lpstr>FK_MunicipalitiesTitle_I6_1</vt:lpstr>
      <vt:lpstr>FK_MunicipalitiesTitle_I6_10</vt:lpstr>
      <vt:lpstr>FK_MunicipalitiesTitle_I6_11</vt:lpstr>
      <vt:lpstr>FK_MunicipalitiesTitle_I6_12</vt:lpstr>
      <vt:lpstr>FK_MunicipalitiesTitle_I6_13</vt:lpstr>
      <vt:lpstr>FK_MunicipalitiesTitle_I6_14</vt:lpstr>
      <vt:lpstr>FK_MunicipalitiesTitle_I6_15</vt:lpstr>
      <vt:lpstr>FK_MunicipalitiesTitle_I6_16</vt:lpstr>
      <vt:lpstr>FK_MunicipalitiesTitle_I6_17</vt:lpstr>
      <vt:lpstr>FK_MunicipalitiesTitle_I6_18</vt:lpstr>
      <vt:lpstr>FK_MunicipalitiesTitle_I6_19</vt:lpstr>
      <vt:lpstr>FK_MunicipalitiesTitle_I6_2</vt:lpstr>
      <vt:lpstr>FK_MunicipalitiesTitle_I6_20</vt:lpstr>
      <vt:lpstr>FK_MunicipalitiesTitle_I6_21</vt:lpstr>
      <vt:lpstr>FK_MunicipalitiesTitle_I6_22</vt:lpstr>
      <vt:lpstr>FK_MunicipalitiesTitle_I6_23</vt:lpstr>
      <vt:lpstr>FK_MunicipalitiesTitle_I6_24</vt:lpstr>
      <vt:lpstr>FK_MunicipalitiesTitle_I6_25</vt:lpstr>
      <vt:lpstr>FK_MunicipalitiesTitle_I6_26</vt:lpstr>
      <vt:lpstr>FK_MunicipalitiesTitle_I6_27</vt:lpstr>
      <vt:lpstr>FK_MunicipalitiesTitle_I6_28</vt:lpstr>
      <vt:lpstr>FK_MunicipalitiesTitle_I6_29</vt:lpstr>
      <vt:lpstr>FK_MunicipalitiesTitle_I6_3</vt:lpstr>
      <vt:lpstr>FK_MunicipalitiesTitle_I6_30</vt:lpstr>
      <vt:lpstr>FK_MunicipalitiesTitle_I6_31</vt:lpstr>
      <vt:lpstr>FK_MunicipalitiesTitle_I6_32</vt:lpstr>
      <vt:lpstr>FK_MunicipalitiesTitle_I6_33</vt:lpstr>
      <vt:lpstr>FK_MunicipalitiesTitle_I6_34</vt:lpstr>
      <vt:lpstr>FK_MunicipalitiesTitle_I6_35</vt:lpstr>
      <vt:lpstr>FK_MunicipalitiesTitle_I6_36</vt:lpstr>
      <vt:lpstr>FK_MunicipalitiesTitle_I6_37</vt:lpstr>
      <vt:lpstr>FK_MunicipalitiesTitle_I6_38</vt:lpstr>
      <vt:lpstr>FK_MunicipalitiesTitle_I6_39</vt:lpstr>
      <vt:lpstr>FK_MunicipalitiesTitle_I6_4</vt:lpstr>
      <vt:lpstr>FK_MunicipalitiesTitle_I6_40</vt:lpstr>
      <vt:lpstr>FK_MunicipalitiesTitle_I6_41</vt:lpstr>
      <vt:lpstr>FK_MunicipalitiesTitle_I6_42</vt:lpstr>
      <vt:lpstr>FK_MunicipalitiesTitle_I6_43</vt:lpstr>
      <vt:lpstr>FK_MunicipalitiesTitle_I6_44</vt:lpstr>
      <vt:lpstr>FK_MunicipalitiesTitle_I6_45</vt:lpstr>
      <vt:lpstr>FK_MunicipalitiesTitle_I6_46</vt:lpstr>
      <vt:lpstr>FK_MunicipalitiesTitle_I6_47</vt:lpstr>
      <vt:lpstr>FK_MunicipalitiesTitle_I6_48</vt:lpstr>
      <vt:lpstr>FK_MunicipalitiesTitle_I6_49</vt:lpstr>
      <vt:lpstr>FK_MunicipalitiesTitle_I6_5</vt:lpstr>
      <vt:lpstr>FK_MunicipalitiesTitle_I6_50</vt:lpstr>
      <vt:lpstr>FK_MunicipalitiesTitle_I6_6</vt:lpstr>
      <vt:lpstr>FK_MunicipalitiesTitle_I6_7</vt:lpstr>
      <vt:lpstr>FK_MunicipalitiesTitle_I6_8</vt:lpstr>
      <vt:lpstr>FK_MunicipalitiesTitle_I6_9</vt:lpstr>
      <vt:lpstr>FK_MunicipalitiesTitle_I7_1</vt:lpstr>
      <vt:lpstr>FK_MunicipalitiesTitle_I7_10</vt:lpstr>
      <vt:lpstr>FK_MunicipalitiesTitle_I7_11</vt:lpstr>
      <vt:lpstr>FK_MunicipalitiesTitle_I7_12</vt:lpstr>
      <vt:lpstr>FK_MunicipalitiesTitle_I7_13</vt:lpstr>
      <vt:lpstr>FK_MunicipalitiesTitle_I7_14</vt:lpstr>
      <vt:lpstr>FK_MunicipalitiesTitle_I7_15</vt:lpstr>
      <vt:lpstr>FK_MunicipalitiesTitle_I7_16</vt:lpstr>
      <vt:lpstr>FK_MunicipalitiesTitle_I7_17</vt:lpstr>
      <vt:lpstr>FK_MunicipalitiesTitle_I7_18</vt:lpstr>
      <vt:lpstr>FK_MunicipalitiesTitle_I7_19</vt:lpstr>
      <vt:lpstr>FK_MunicipalitiesTitle_I7_2</vt:lpstr>
      <vt:lpstr>FK_MunicipalitiesTitle_I7_20</vt:lpstr>
      <vt:lpstr>FK_MunicipalitiesTitle_I7_21</vt:lpstr>
      <vt:lpstr>FK_MunicipalitiesTitle_I7_22</vt:lpstr>
      <vt:lpstr>FK_MunicipalitiesTitle_I7_23</vt:lpstr>
      <vt:lpstr>FK_MunicipalitiesTitle_I7_24</vt:lpstr>
      <vt:lpstr>FK_MunicipalitiesTitle_I7_25</vt:lpstr>
      <vt:lpstr>FK_MunicipalitiesTitle_I7_26</vt:lpstr>
      <vt:lpstr>FK_MunicipalitiesTitle_I7_27</vt:lpstr>
      <vt:lpstr>FK_MunicipalitiesTitle_I7_28</vt:lpstr>
      <vt:lpstr>FK_MunicipalitiesTitle_I7_29</vt:lpstr>
      <vt:lpstr>FK_MunicipalitiesTitle_I7_3</vt:lpstr>
      <vt:lpstr>FK_MunicipalitiesTitle_I7_30</vt:lpstr>
      <vt:lpstr>FK_MunicipalitiesTitle_I7_31</vt:lpstr>
      <vt:lpstr>FK_MunicipalitiesTitle_I7_32</vt:lpstr>
      <vt:lpstr>FK_MunicipalitiesTitle_I7_33</vt:lpstr>
      <vt:lpstr>FK_MunicipalitiesTitle_I7_34</vt:lpstr>
      <vt:lpstr>FK_MunicipalitiesTitle_I7_35</vt:lpstr>
      <vt:lpstr>FK_MunicipalitiesTitle_I7_36</vt:lpstr>
      <vt:lpstr>FK_MunicipalitiesTitle_I7_37</vt:lpstr>
      <vt:lpstr>FK_MunicipalitiesTitle_I7_38</vt:lpstr>
      <vt:lpstr>FK_MunicipalitiesTitle_I7_39</vt:lpstr>
      <vt:lpstr>FK_MunicipalitiesTitle_I7_4</vt:lpstr>
      <vt:lpstr>FK_MunicipalitiesTitle_I7_40</vt:lpstr>
      <vt:lpstr>FK_MunicipalitiesTitle_I7_41</vt:lpstr>
      <vt:lpstr>FK_MunicipalitiesTitle_I7_42</vt:lpstr>
      <vt:lpstr>FK_MunicipalitiesTitle_I7_43</vt:lpstr>
      <vt:lpstr>FK_MunicipalitiesTitle_I7_44</vt:lpstr>
      <vt:lpstr>FK_MunicipalitiesTitle_I7_45</vt:lpstr>
      <vt:lpstr>FK_MunicipalitiesTitle_I7_46</vt:lpstr>
      <vt:lpstr>FK_MunicipalitiesTitle_I7_47</vt:lpstr>
      <vt:lpstr>FK_MunicipalitiesTitle_I7_48</vt:lpstr>
      <vt:lpstr>FK_MunicipalitiesTitle_I7_49</vt:lpstr>
      <vt:lpstr>FK_MunicipalitiesTitle_I7_5</vt:lpstr>
      <vt:lpstr>FK_MunicipalitiesTitle_I7_50</vt:lpstr>
      <vt:lpstr>FK_MunicipalitiesTitle_I7_6</vt:lpstr>
      <vt:lpstr>FK_MunicipalitiesTitle_I7_7</vt:lpstr>
      <vt:lpstr>FK_MunicipalitiesTitle_I7_8</vt:lpstr>
      <vt:lpstr>FK_MunicipalitiesTitle_I7_9</vt:lpstr>
      <vt:lpstr>FK_MunicipalitiesTitle_I8_1</vt:lpstr>
      <vt:lpstr>FK_MunicipalitiesTitle_I8_10</vt:lpstr>
      <vt:lpstr>FK_MunicipalitiesTitle_I8_11</vt:lpstr>
      <vt:lpstr>FK_MunicipalitiesTitle_I8_12</vt:lpstr>
      <vt:lpstr>FK_MunicipalitiesTitle_I8_13</vt:lpstr>
      <vt:lpstr>FK_MunicipalitiesTitle_I8_14</vt:lpstr>
      <vt:lpstr>FK_MunicipalitiesTitle_I8_15</vt:lpstr>
      <vt:lpstr>FK_MunicipalitiesTitle_I8_16</vt:lpstr>
      <vt:lpstr>FK_MunicipalitiesTitle_I8_17</vt:lpstr>
      <vt:lpstr>FK_MunicipalitiesTitle_I8_18</vt:lpstr>
      <vt:lpstr>FK_MunicipalitiesTitle_I8_19</vt:lpstr>
      <vt:lpstr>FK_MunicipalitiesTitle_I8_2</vt:lpstr>
      <vt:lpstr>FK_MunicipalitiesTitle_I8_20</vt:lpstr>
      <vt:lpstr>FK_MunicipalitiesTitle_I8_21</vt:lpstr>
      <vt:lpstr>FK_MunicipalitiesTitle_I8_22</vt:lpstr>
      <vt:lpstr>FK_MunicipalitiesTitle_I8_23</vt:lpstr>
      <vt:lpstr>FK_MunicipalitiesTitle_I8_24</vt:lpstr>
      <vt:lpstr>FK_MunicipalitiesTitle_I8_25</vt:lpstr>
      <vt:lpstr>FK_MunicipalitiesTitle_I8_26</vt:lpstr>
      <vt:lpstr>FK_MunicipalitiesTitle_I8_27</vt:lpstr>
      <vt:lpstr>FK_MunicipalitiesTitle_I8_28</vt:lpstr>
      <vt:lpstr>FK_MunicipalitiesTitle_I8_29</vt:lpstr>
      <vt:lpstr>FK_MunicipalitiesTitle_I8_3</vt:lpstr>
      <vt:lpstr>FK_MunicipalitiesTitle_I8_30</vt:lpstr>
      <vt:lpstr>FK_MunicipalitiesTitle_I8_31</vt:lpstr>
      <vt:lpstr>FK_MunicipalitiesTitle_I8_32</vt:lpstr>
      <vt:lpstr>FK_MunicipalitiesTitle_I8_33</vt:lpstr>
      <vt:lpstr>FK_MunicipalitiesTitle_I8_34</vt:lpstr>
      <vt:lpstr>FK_MunicipalitiesTitle_I8_35</vt:lpstr>
      <vt:lpstr>FK_MunicipalitiesTitle_I8_36</vt:lpstr>
      <vt:lpstr>FK_MunicipalitiesTitle_I8_37</vt:lpstr>
      <vt:lpstr>FK_MunicipalitiesTitle_I8_38</vt:lpstr>
      <vt:lpstr>FK_MunicipalitiesTitle_I8_39</vt:lpstr>
      <vt:lpstr>FK_MunicipalitiesTitle_I8_4</vt:lpstr>
      <vt:lpstr>FK_MunicipalitiesTitle_I8_40</vt:lpstr>
      <vt:lpstr>FK_MunicipalitiesTitle_I8_41</vt:lpstr>
      <vt:lpstr>FK_MunicipalitiesTitle_I8_42</vt:lpstr>
      <vt:lpstr>FK_MunicipalitiesTitle_I8_43</vt:lpstr>
      <vt:lpstr>FK_MunicipalitiesTitle_I8_44</vt:lpstr>
      <vt:lpstr>FK_MunicipalitiesTitle_I8_45</vt:lpstr>
      <vt:lpstr>FK_MunicipalitiesTitle_I8_46</vt:lpstr>
      <vt:lpstr>FK_MunicipalitiesTitle_I8_47</vt:lpstr>
      <vt:lpstr>FK_MunicipalitiesTitle_I8_48</vt:lpstr>
      <vt:lpstr>FK_MunicipalitiesTitle_I8_49</vt:lpstr>
      <vt:lpstr>FK_MunicipalitiesTitle_I8_5</vt:lpstr>
      <vt:lpstr>FK_MunicipalitiesTitle_I8_50</vt:lpstr>
      <vt:lpstr>FK_MunicipalitiesTitle_I8_6</vt:lpstr>
      <vt:lpstr>FK_MunicipalitiesTitle_I8_7</vt:lpstr>
      <vt:lpstr>FK_MunicipalitiesTitle_I8_8</vt:lpstr>
      <vt:lpstr>FK_MunicipalitiesTitle_I8_9</vt:lpstr>
      <vt:lpstr>FK_MunicipalitiesTitle_I9_1</vt:lpstr>
      <vt:lpstr>FK_MunicipalitiesTitle_I9_10</vt:lpstr>
      <vt:lpstr>FK_MunicipalitiesTitle_I9_11</vt:lpstr>
      <vt:lpstr>FK_MunicipalitiesTitle_I9_12</vt:lpstr>
      <vt:lpstr>FK_MunicipalitiesTitle_I9_13</vt:lpstr>
      <vt:lpstr>FK_MunicipalitiesTitle_I9_14</vt:lpstr>
      <vt:lpstr>FK_MunicipalitiesTitle_I9_15</vt:lpstr>
      <vt:lpstr>FK_MunicipalitiesTitle_I9_16</vt:lpstr>
      <vt:lpstr>FK_MunicipalitiesTitle_I9_17</vt:lpstr>
      <vt:lpstr>FK_MunicipalitiesTitle_I9_18</vt:lpstr>
      <vt:lpstr>FK_MunicipalitiesTitle_I9_19</vt:lpstr>
      <vt:lpstr>FK_MunicipalitiesTitle_I9_2</vt:lpstr>
      <vt:lpstr>FK_MunicipalitiesTitle_I9_20</vt:lpstr>
      <vt:lpstr>FK_MunicipalitiesTitle_I9_21</vt:lpstr>
      <vt:lpstr>FK_MunicipalitiesTitle_I9_22</vt:lpstr>
      <vt:lpstr>FK_MunicipalitiesTitle_I9_23</vt:lpstr>
      <vt:lpstr>FK_MunicipalitiesTitle_I9_24</vt:lpstr>
      <vt:lpstr>FK_MunicipalitiesTitle_I9_25</vt:lpstr>
      <vt:lpstr>FK_MunicipalitiesTitle_I9_26</vt:lpstr>
      <vt:lpstr>FK_MunicipalitiesTitle_I9_27</vt:lpstr>
      <vt:lpstr>FK_MunicipalitiesTitle_I9_28</vt:lpstr>
      <vt:lpstr>FK_MunicipalitiesTitle_I9_29</vt:lpstr>
      <vt:lpstr>FK_MunicipalitiesTitle_I9_3</vt:lpstr>
      <vt:lpstr>FK_MunicipalitiesTitle_I9_30</vt:lpstr>
      <vt:lpstr>FK_MunicipalitiesTitle_I9_31</vt:lpstr>
      <vt:lpstr>FK_MunicipalitiesTitle_I9_32</vt:lpstr>
      <vt:lpstr>FK_MunicipalitiesTitle_I9_33</vt:lpstr>
      <vt:lpstr>FK_MunicipalitiesTitle_I9_34</vt:lpstr>
      <vt:lpstr>FK_MunicipalitiesTitle_I9_35</vt:lpstr>
      <vt:lpstr>FK_MunicipalitiesTitle_I9_36</vt:lpstr>
      <vt:lpstr>FK_MunicipalitiesTitle_I9_37</vt:lpstr>
      <vt:lpstr>FK_MunicipalitiesTitle_I9_38</vt:lpstr>
      <vt:lpstr>FK_MunicipalitiesTitle_I9_39</vt:lpstr>
      <vt:lpstr>FK_MunicipalitiesTitle_I9_4</vt:lpstr>
      <vt:lpstr>FK_MunicipalitiesTitle_I9_40</vt:lpstr>
      <vt:lpstr>FK_MunicipalitiesTitle_I9_41</vt:lpstr>
      <vt:lpstr>FK_MunicipalitiesTitle_I9_42</vt:lpstr>
      <vt:lpstr>FK_MunicipalitiesTitle_I9_43</vt:lpstr>
      <vt:lpstr>FK_MunicipalitiesTitle_I9_44</vt:lpstr>
      <vt:lpstr>FK_MunicipalitiesTitle_I9_45</vt:lpstr>
      <vt:lpstr>FK_MunicipalitiesTitle_I9_46</vt:lpstr>
      <vt:lpstr>FK_MunicipalitiesTitle_I9_47</vt:lpstr>
      <vt:lpstr>FK_MunicipalitiesTitle_I9_48</vt:lpstr>
      <vt:lpstr>FK_MunicipalitiesTitle_I9_49</vt:lpstr>
      <vt:lpstr>FK_MunicipalitiesTitle_I9_5</vt:lpstr>
      <vt:lpstr>FK_MunicipalitiesTitle_I9_50</vt:lpstr>
      <vt:lpstr>FK_MunicipalitiesTitle_I9_6</vt:lpstr>
      <vt:lpstr>FK_MunicipalitiesTitle_I9_7</vt:lpstr>
      <vt:lpstr>FK_MunicipalitiesTitle_I9_8</vt:lpstr>
      <vt:lpstr>FK_MunicipalitiesTitle_I9_9</vt:lpstr>
      <vt:lpstr>FramtidensByerDatabase</vt:lpstr>
      <vt:lpstr>FunctionBuildingCategory</vt:lpstr>
      <vt:lpstr>Funksjon</vt:lpstr>
      <vt:lpstr>GeneralProjectType</vt:lpstr>
      <vt:lpstr>GreenAreaIncrease</vt:lpstr>
      <vt:lpstr>GrossSquareFoot</vt:lpstr>
      <vt:lpstr>GrossSquareFootBTA</vt:lpstr>
      <vt:lpstr>GrossSquareFootHeated</vt:lpstr>
      <vt:lpstr>HardAreaReduction</vt:lpstr>
      <vt:lpstr>HeatRating</vt:lpstr>
      <vt:lpstr>HeatRecoveryEfficiency</vt:lpstr>
      <vt:lpstr>HideFromProjectFrontPage</vt:lpstr>
      <vt:lpstr>HideOnEcobox</vt:lpstr>
      <vt:lpstr>html.pend</vt:lpstr>
      <vt:lpstr>html.pstart</vt:lpstr>
      <vt:lpstr>ID</vt:lpstr>
      <vt:lpstr>KeywordMeasures</vt:lpstr>
      <vt:lpstr>Lighting</vt:lpstr>
      <vt:lpstr>Linebreak</vt:lpstr>
      <vt:lpstr>Location</vt:lpstr>
      <vt:lpstr>M_Topic_I1_1</vt:lpstr>
      <vt:lpstr>M_Topic_I1_10</vt:lpstr>
      <vt:lpstr>M_Topic_I1_11</vt:lpstr>
      <vt:lpstr>M_Topic_I1_12</vt:lpstr>
      <vt:lpstr>M_Topic_I1_13</vt:lpstr>
      <vt:lpstr>M_Topic_I1_14</vt:lpstr>
      <vt:lpstr>M_Topic_I1_15</vt:lpstr>
      <vt:lpstr>M_Topic_I1_16</vt:lpstr>
      <vt:lpstr>M_Topic_I1_17</vt:lpstr>
      <vt:lpstr>M_Topic_I1_18</vt:lpstr>
      <vt:lpstr>M_Topic_I1_19</vt:lpstr>
      <vt:lpstr>M_Topic_I1_2</vt:lpstr>
      <vt:lpstr>M_Topic_I1_20</vt:lpstr>
      <vt:lpstr>M_Topic_I1_21</vt:lpstr>
      <vt:lpstr>M_Topic_I1_22</vt:lpstr>
      <vt:lpstr>M_Topic_I1_23</vt:lpstr>
      <vt:lpstr>M_Topic_I1_24</vt:lpstr>
      <vt:lpstr>M_Topic_I1_25</vt:lpstr>
      <vt:lpstr>M_Topic_I1_26</vt:lpstr>
      <vt:lpstr>M_Topic_I1_27</vt:lpstr>
      <vt:lpstr>M_Topic_I1_3</vt:lpstr>
      <vt:lpstr>M_Topic_I1_4</vt:lpstr>
      <vt:lpstr>M_Topic_I1_5</vt:lpstr>
      <vt:lpstr>M_Topic_I1_6</vt:lpstr>
      <vt:lpstr>M_Topic_I1_7</vt:lpstr>
      <vt:lpstr>M_Topic_I1_8</vt:lpstr>
      <vt:lpstr>M_Topic_I1_9</vt:lpstr>
      <vt:lpstr>M_Topic_I10_1</vt:lpstr>
      <vt:lpstr>M_Topic_I10_10</vt:lpstr>
      <vt:lpstr>M_Topic_I10_11</vt:lpstr>
      <vt:lpstr>M_Topic_I10_12</vt:lpstr>
      <vt:lpstr>M_Topic_I10_13</vt:lpstr>
      <vt:lpstr>M_Topic_I10_14</vt:lpstr>
      <vt:lpstr>M_Topic_I10_15</vt:lpstr>
      <vt:lpstr>M_Topic_I10_16</vt:lpstr>
      <vt:lpstr>M_Topic_I10_17</vt:lpstr>
      <vt:lpstr>M_Topic_I10_18</vt:lpstr>
      <vt:lpstr>M_Topic_I10_19</vt:lpstr>
      <vt:lpstr>M_Topic_I10_2</vt:lpstr>
      <vt:lpstr>M_Topic_I10_20</vt:lpstr>
      <vt:lpstr>M_Topic_I10_21</vt:lpstr>
      <vt:lpstr>M_Topic_I10_22</vt:lpstr>
      <vt:lpstr>M_Topic_I10_23</vt:lpstr>
      <vt:lpstr>M_Topic_I10_24</vt:lpstr>
      <vt:lpstr>M_Topic_I10_25</vt:lpstr>
      <vt:lpstr>M_Topic_I10_26</vt:lpstr>
      <vt:lpstr>M_Topic_I10_27</vt:lpstr>
      <vt:lpstr>M_Topic_I10_3</vt:lpstr>
      <vt:lpstr>M_Topic_I10_4</vt:lpstr>
      <vt:lpstr>M_Topic_I10_5</vt:lpstr>
      <vt:lpstr>M_Topic_I10_6</vt:lpstr>
      <vt:lpstr>M_Topic_I10_7</vt:lpstr>
      <vt:lpstr>M_Topic_I10_8</vt:lpstr>
      <vt:lpstr>M_Topic_I10_9</vt:lpstr>
      <vt:lpstr>M_Topic_I11_1</vt:lpstr>
      <vt:lpstr>M_Topic_I11_10</vt:lpstr>
      <vt:lpstr>M_Topic_I11_11</vt:lpstr>
      <vt:lpstr>M_Topic_I11_12</vt:lpstr>
      <vt:lpstr>M_Topic_I11_13</vt:lpstr>
      <vt:lpstr>M_Topic_I11_14</vt:lpstr>
      <vt:lpstr>M_Topic_I11_15</vt:lpstr>
      <vt:lpstr>M_Topic_I11_16</vt:lpstr>
      <vt:lpstr>M_Topic_I11_17</vt:lpstr>
      <vt:lpstr>M_Topic_I11_18</vt:lpstr>
      <vt:lpstr>M_Topic_I11_19</vt:lpstr>
      <vt:lpstr>M_Topic_I11_2</vt:lpstr>
      <vt:lpstr>M_Topic_I11_20</vt:lpstr>
      <vt:lpstr>M_Topic_I11_21</vt:lpstr>
      <vt:lpstr>M_Topic_I11_22</vt:lpstr>
      <vt:lpstr>M_Topic_I11_23</vt:lpstr>
      <vt:lpstr>M_Topic_I11_24</vt:lpstr>
      <vt:lpstr>M_Topic_I11_25</vt:lpstr>
      <vt:lpstr>M_Topic_I11_26</vt:lpstr>
      <vt:lpstr>M_Topic_I11_27</vt:lpstr>
      <vt:lpstr>M_Topic_I11_3</vt:lpstr>
      <vt:lpstr>M_Topic_I11_4</vt:lpstr>
      <vt:lpstr>M_Topic_I11_5</vt:lpstr>
      <vt:lpstr>M_Topic_I11_6</vt:lpstr>
      <vt:lpstr>M_Topic_I11_7</vt:lpstr>
      <vt:lpstr>M_Topic_I11_8</vt:lpstr>
      <vt:lpstr>M_Topic_I11_9</vt:lpstr>
      <vt:lpstr>M_Topic_I12_1</vt:lpstr>
      <vt:lpstr>M_Topic_I12_10</vt:lpstr>
      <vt:lpstr>M_Topic_I12_11</vt:lpstr>
      <vt:lpstr>M_Topic_I12_12</vt:lpstr>
      <vt:lpstr>M_Topic_I12_13</vt:lpstr>
      <vt:lpstr>M_Topic_I12_14</vt:lpstr>
      <vt:lpstr>M_Topic_I12_15</vt:lpstr>
      <vt:lpstr>M_Topic_I12_16</vt:lpstr>
      <vt:lpstr>M_Topic_I12_17</vt:lpstr>
      <vt:lpstr>M_Topic_I12_18</vt:lpstr>
      <vt:lpstr>M_Topic_I12_19</vt:lpstr>
      <vt:lpstr>M_Topic_I12_2</vt:lpstr>
      <vt:lpstr>M_Topic_I12_20</vt:lpstr>
      <vt:lpstr>M_Topic_I12_21</vt:lpstr>
      <vt:lpstr>M_Topic_I12_22</vt:lpstr>
      <vt:lpstr>M_Topic_I12_23</vt:lpstr>
      <vt:lpstr>M_Topic_I12_24</vt:lpstr>
      <vt:lpstr>M_Topic_I12_25</vt:lpstr>
      <vt:lpstr>M_Topic_I12_26</vt:lpstr>
      <vt:lpstr>M_Topic_I12_27</vt:lpstr>
      <vt:lpstr>M_Topic_I12_3</vt:lpstr>
      <vt:lpstr>M_Topic_I12_4</vt:lpstr>
      <vt:lpstr>M_Topic_I12_5</vt:lpstr>
      <vt:lpstr>M_Topic_I12_6</vt:lpstr>
      <vt:lpstr>M_Topic_I12_7</vt:lpstr>
      <vt:lpstr>M_Topic_I12_8</vt:lpstr>
      <vt:lpstr>M_Topic_I12_9</vt:lpstr>
      <vt:lpstr>M_Topic_I13_1</vt:lpstr>
      <vt:lpstr>M_Topic_I13_10</vt:lpstr>
      <vt:lpstr>M_Topic_I13_11</vt:lpstr>
      <vt:lpstr>M_Topic_I13_12</vt:lpstr>
      <vt:lpstr>M_Topic_I13_13</vt:lpstr>
      <vt:lpstr>M_Topic_I13_14</vt:lpstr>
      <vt:lpstr>M_Topic_I13_15</vt:lpstr>
      <vt:lpstr>M_Topic_I13_16</vt:lpstr>
      <vt:lpstr>M_Topic_I13_17</vt:lpstr>
      <vt:lpstr>M_Topic_I13_18</vt:lpstr>
      <vt:lpstr>M_Topic_I13_19</vt:lpstr>
      <vt:lpstr>M_Topic_I13_2</vt:lpstr>
      <vt:lpstr>M_Topic_I13_20</vt:lpstr>
      <vt:lpstr>M_Topic_I13_21</vt:lpstr>
      <vt:lpstr>M_Topic_I13_22</vt:lpstr>
      <vt:lpstr>M_Topic_I13_23</vt:lpstr>
      <vt:lpstr>M_Topic_I13_24</vt:lpstr>
      <vt:lpstr>M_Topic_I13_25</vt:lpstr>
      <vt:lpstr>M_Topic_I13_26</vt:lpstr>
      <vt:lpstr>M_Topic_I13_27</vt:lpstr>
      <vt:lpstr>M_Topic_I13_3</vt:lpstr>
      <vt:lpstr>M_Topic_I13_4</vt:lpstr>
      <vt:lpstr>M_Topic_I13_5</vt:lpstr>
      <vt:lpstr>M_Topic_I13_6</vt:lpstr>
      <vt:lpstr>M_Topic_I13_7</vt:lpstr>
      <vt:lpstr>M_Topic_I13_8</vt:lpstr>
      <vt:lpstr>M_Topic_I13_9</vt:lpstr>
      <vt:lpstr>M_Topic_I14_1</vt:lpstr>
      <vt:lpstr>M_Topic_I14_10</vt:lpstr>
      <vt:lpstr>M_Topic_I14_11</vt:lpstr>
      <vt:lpstr>M_Topic_I14_12</vt:lpstr>
      <vt:lpstr>M_Topic_I14_13</vt:lpstr>
      <vt:lpstr>M_Topic_I14_14</vt:lpstr>
      <vt:lpstr>M_Topic_I14_15</vt:lpstr>
      <vt:lpstr>M_Topic_I14_16</vt:lpstr>
      <vt:lpstr>M_Topic_I14_17</vt:lpstr>
      <vt:lpstr>M_Topic_I14_18</vt:lpstr>
      <vt:lpstr>M_Topic_I14_19</vt:lpstr>
      <vt:lpstr>M_Topic_I14_2</vt:lpstr>
      <vt:lpstr>M_Topic_I14_20</vt:lpstr>
      <vt:lpstr>M_Topic_I14_21</vt:lpstr>
      <vt:lpstr>M_Topic_I14_22</vt:lpstr>
      <vt:lpstr>M_Topic_I14_23</vt:lpstr>
      <vt:lpstr>M_Topic_I14_24</vt:lpstr>
      <vt:lpstr>M_Topic_I14_25</vt:lpstr>
      <vt:lpstr>M_Topic_I14_26</vt:lpstr>
      <vt:lpstr>M_Topic_I14_27</vt:lpstr>
      <vt:lpstr>M_Topic_I14_3</vt:lpstr>
      <vt:lpstr>M_Topic_I14_4</vt:lpstr>
      <vt:lpstr>M_Topic_I14_5</vt:lpstr>
      <vt:lpstr>M_Topic_I14_6</vt:lpstr>
      <vt:lpstr>M_Topic_I14_7</vt:lpstr>
      <vt:lpstr>M_Topic_I14_8</vt:lpstr>
      <vt:lpstr>M_Topic_I14_9</vt:lpstr>
      <vt:lpstr>M_Topic_I15_1</vt:lpstr>
      <vt:lpstr>M_Topic_I15_10</vt:lpstr>
      <vt:lpstr>M_Topic_I15_11</vt:lpstr>
      <vt:lpstr>M_Topic_I15_12</vt:lpstr>
      <vt:lpstr>M_Topic_I15_13</vt:lpstr>
      <vt:lpstr>M_Topic_I15_14</vt:lpstr>
      <vt:lpstr>M_Topic_I15_15</vt:lpstr>
      <vt:lpstr>M_Topic_I15_16</vt:lpstr>
      <vt:lpstr>M_Topic_I15_17</vt:lpstr>
      <vt:lpstr>M_Topic_I15_18</vt:lpstr>
      <vt:lpstr>M_Topic_I15_19</vt:lpstr>
      <vt:lpstr>M_Topic_I15_2</vt:lpstr>
      <vt:lpstr>M_Topic_I15_20</vt:lpstr>
      <vt:lpstr>M_Topic_I15_21</vt:lpstr>
      <vt:lpstr>M_Topic_I15_22</vt:lpstr>
      <vt:lpstr>M_Topic_I15_23</vt:lpstr>
      <vt:lpstr>M_Topic_I15_24</vt:lpstr>
      <vt:lpstr>M_Topic_I15_25</vt:lpstr>
      <vt:lpstr>M_Topic_I15_26</vt:lpstr>
      <vt:lpstr>M_Topic_I15_27</vt:lpstr>
      <vt:lpstr>M_Topic_I15_3</vt:lpstr>
      <vt:lpstr>M_Topic_I15_4</vt:lpstr>
      <vt:lpstr>M_Topic_I15_5</vt:lpstr>
      <vt:lpstr>M_Topic_I15_6</vt:lpstr>
      <vt:lpstr>M_Topic_I15_7</vt:lpstr>
      <vt:lpstr>M_Topic_I15_8</vt:lpstr>
      <vt:lpstr>M_Topic_I15_9</vt:lpstr>
      <vt:lpstr>M_Topic_I2_1</vt:lpstr>
      <vt:lpstr>M_Topic_I2_10</vt:lpstr>
      <vt:lpstr>M_Topic_I2_11</vt:lpstr>
      <vt:lpstr>M_Topic_I2_12</vt:lpstr>
      <vt:lpstr>M_Topic_I2_13</vt:lpstr>
      <vt:lpstr>M_Topic_I2_14</vt:lpstr>
      <vt:lpstr>M_Topic_I2_15</vt:lpstr>
      <vt:lpstr>M_Topic_I2_16</vt:lpstr>
      <vt:lpstr>M_Topic_I2_17</vt:lpstr>
      <vt:lpstr>M_Topic_I2_18</vt:lpstr>
      <vt:lpstr>M_Topic_I2_19</vt:lpstr>
      <vt:lpstr>M_Topic_I2_2</vt:lpstr>
      <vt:lpstr>M_Topic_I2_20</vt:lpstr>
      <vt:lpstr>M_Topic_I2_21</vt:lpstr>
      <vt:lpstr>M_Topic_I2_22</vt:lpstr>
      <vt:lpstr>M_Topic_I2_23</vt:lpstr>
      <vt:lpstr>M_Topic_I2_24</vt:lpstr>
      <vt:lpstr>M_Topic_I2_25</vt:lpstr>
      <vt:lpstr>M_Topic_I2_26</vt:lpstr>
      <vt:lpstr>M_Topic_I2_27</vt:lpstr>
      <vt:lpstr>M_Topic_I2_3</vt:lpstr>
      <vt:lpstr>M_Topic_I2_4</vt:lpstr>
      <vt:lpstr>M_Topic_I2_5</vt:lpstr>
      <vt:lpstr>M_Topic_I2_6</vt:lpstr>
      <vt:lpstr>M_Topic_I2_7</vt:lpstr>
      <vt:lpstr>M_Topic_I2_8</vt:lpstr>
      <vt:lpstr>M_Topic_I2_9</vt:lpstr>
      <vt:lpstr>M_Topic_I3_1</vt:lpstr>
      <vt:lpstr>M_Topic_I3_10</vt:lpstr>
      <vt:lpstr>M_Topic_I3_11</vt:lpstr>
      <vt:lpstr>M_Topic_I3_12</vt:lpstr>
      <vt:lpstr>M_Topic_I3_13</vt:lpstr>
      <vt:lpstr>M_Topic_I3_14</vt:lpstr>
      <vt:lpstr>M_Topic_I3_15</vt:lpstr>
      <vt:lpstr>M_Topic_I3_16</vt:lpstr>
      <vt:lpstr>M_Topic_I3_17</vt:lpstr>
      <vt:lpstr>M_Topic_I3_18</vt:lpstr>
      <vt:lpstr>M_Topic_I3_19</vt:lpstr>
      <vt:lpstr>M_Topic_I3_2</vt:lpstr>
      <vt:lpstr>M_Topic_I3_20</vt:lpstr>
      <vt:lpstr>M_Topic_I3_21</vt:lpstr>
      <vt:lpstr>M_Topic_I3_22</vt:lpstr>
      <vt:lpstr>M_Topic_I3_23</vt:lpstr>
      <vt:lpstr>M_Topic_I3_24</vt:lpstr>
      <vt:lpstr>M_Topic_I3_25</vt:lpstr>
      <vt:lpstr>M_Topic_I3_26</vt:lpstr>
      <vt:lpstr>M_Topic_I3_27</vt:lpstr>
      <vt:lpstr>M_Topic_I3_28</vt:lpstr>
      <vt:lpstr>M_Topic_I3_3</vt:lpstr>
      <vt:lpstr>M_Topic_I3_4</vt:lpstr>
      <vt:lpstr>M_Topic_I3_5</vt:lpstr>
      <vt:lpstr>M_Topic_I3_6</vt:lpstr>
      <vt:lpstr>M_Topic_I3_7</vt:lpstr>
      <vt:lpstr>M_Topic_I3_8</vt:lpstr>
      <vt:lpstr>M_Topic_I3_9</vt:lpstr>
      <vt:lpstr>M_Topic_I4_1</vt:lpstr>
      <vt:lpstr>M_Topic_I4_10</vt:lpstr>
      <vt:lpstr>M_Topic_I4_11</vt:lpstr>
      <vt:lpstr>M_Topic_I4_12</vt:lpstr>
      <vt:lpstr>M_Topic_I4_13</vt:lpstr>
      <vt:lpstr>M_Topic_I4_14</vt:lpstr>
      <vt:lpstr>M_Topic_I4_15</vt:lpstr>
      <vt:lpstr>M_Topic_I4_16</vt:lpstr>
      <vt:lpstr>M_Topic_I4_17</vt:lpstr>
      <vt:lpstr>M_Topic_I4_18</vt:lpstr>
      <vt:lpstr>M_Topic_I4_19</vt:lpstr>
      <vt:lpstr>M_Topic_I4_2</vt:lpstr>
      <vt:lpstr>M_Topic_I4_20</vt:lpstr>
      <vt:lpstr>M_Topic_I4_21</vt:lpstr>
      <vt:lpstr>M_Topic_I4_22</vt:lpstr>
      <vt:lpstr>M_Topic_I4_23</vt:lpstr>
      <vt:lpstr>M_Topic_I4_24</vt:lpstr>
      <vt:lpstr>M_Topic_I4_25</vt:lpstr>
      <vt:lpstr>M_Topic_I4_26</vt:lpstr>
      <vt:lpstr>M_Topic_I4_27</vt:lpstr>
      <vt:lpstr>M_Topic_I4_3</vt:lpstr>
      <vt:lpstr>M_Topic_I4_4</vt:lpstr>
      <vt:lpstr>M_Topic_I4_5</vt:lpstr>
      <vt:lpstr>M_Topic_I4_6</vt:lpstr>
      <vt:lpstr>M_Topic_I4_7</vt:lpstr>
      <vt:lpstr>M_Topic_I4_8</vt:lpstr>
      <vt:lpstr>M_Topic_I4_9</vt:lpstr>
      <vt:lpstr>M_Topic_I5_1</vt:lpstr>
      <vt:lpstr>M_Topic_I5_10</vt:lpstr>
      <vt:lpstr>M_Topic_I5_11</vt:lpstr>
      <vt:lpstr>M_Topic_I5_12</vt:lpstr>
      <vt:lpstr>M_Topic_I5_13</vt:lpstr>
      <vt:lpstr>M_Topic_I5_14</vt:lpstr>
      <vt:lpstr>M_Topic_I5_15</vt:lpstr>
      <vt:lpstr>M_Topic_I5_16</vt:lpstr>
      <vt:lpstr>M_Topic_I5_17</vt:lpstr>
      <vt:lpstr>M_Topic_I5_18</vt:lpstr>
      <vt:lpstr>M_Topic_I5_19</vt:lpstr>
      <vt:lpstr>M_Topic_I5_2</vt:lpstr>
      <vt:lpstr>M_Topic_I5_20</vt:lpstr>
      <vt:lpstr>M_Topic_I5_21</vt:lpstr>
      <vt:lpstr>M_Topic_I5_22</vt:lpstr>
      <vt:lpstr>M_Topic_I5_23</vt:lpstr>
      <vt:lpstr>M_Topic_I5_24</vt:lpstr>
      <vt:lpstr>M_Topic_I5_25</vt:lpstr>
      <vt:lpstr>M_Topic_I5_26</vt:lpstr>
      <vt:lpstr>M_Topic_I5_27</vt:lpstr>
      <vt:lpstr>M_Topic_I5_3</vt:lpstr>
      <vt:lpstr>M_Topic_I5_4</vt:lpstr>
      <vt:lpstr>M_Topic_I5_5</vt:lpstr>
      <vt:lpstr>M_Topic_I5_6</vt:lpstr>
      <vt:lpstr>M_Topic_I5_7</vt:lpstr>
      <vt:lpstr>M_Topic_I5_8</vt:lpstr>
      <vt:lpstr>M_Topic_I5_9</vt:lpstr>
      <vt:lpstr>M_Topic_I6_1</vt:lpstr>
      <vt:lpstr>M_Topic_I6_10</vt:lpstr>
      <vt:lpstr>M_Topic_I6_11</vt:lpstr>
      <vt:lpstr>M_Topic_I6_12</vt:lpstr>
      <vt:lpstr>M_Topic_I6_13</vt:lpstr>
      <vt:lpstr>M_Topic_I6_14</vt:lpstr>
      <vt:lpstr>M_Topic_I6_15</vt:lpstr>
      <vt:lpstr>M_Topic_I6_16</vt:lpstr>
      <vt:lpstr>M_Topic_I6_17</vt:lpstr>
      <vt:lpstr>M_Topic_I6_18</vt:lpstr>
      <vt:lpstr>M_Topic_I6_19</vt:lpstr>
      <vt:lpstr>M_Topic_I6_2</vt:lpstr>
      <vt:lpstr>M_Topic_I6_20</vt:lpstr>
      <vt:lpstr>M_Topic_I6_21</vt:lpstr>
      <vt:lpstr>M_Topic_I6_22</vt:lpstr>
      <vt:lpstr>M_Topic_I6_23</vt:lpstr>
      <vt:lpstr>M_Topic_I6_24</vt:lpstr>
      <vt:lpstr>M_Topic_I6_25</vt:lpstr>
      <vt:lpstr>M_Topic_I6_26</vt:lpstr>
      <vt:lpstr>M_Topic_I6_27</vt:lpstr>
      <vt:lpstr>M_Topic_I6_3</vt:lpstr>
      <vt:lpstr>M_Topic_I6_4</vt:lpstr>
      <vt:lpstr>M_Topic_I6_5</vt:lpstr>
      <vt:lpstr>M_Topic_I6_6</vt:lpstr>
      <vt:lpstr>M_Topic_I6_7</vt:lpstr>
      <vt:lpstr>M_Topic_I6_8</vt:lpstr>
      <vt:lpstr>M_Topic_I6_9</vt:lpstr>
      <vt:lpstr>M_Topic_I7_1</vt:lpstr>
      <vt:lpstr>M_Topic_I7_10</vt:lpstr>
      <vt:lpstr>M_Topic_I7_11</vt:lpstr>
      <vt:lpstr>M_Topic_I7_12</vt:lpstr>
      <vt:lpstr>M_Topic_I7_13</vt:lpstr>
      <vt:lpstr>M_Topic_I7_14</vt:lpstr>
      <vt:lpstr>M_Topic_I7_15</vt:lpstr>
      <vt:lpstr>M_Topic_I7_16</vt:lpstr>
      <vt:lpstr>M_Topic_I7_17</vt:lpstr>
      <vt:lpstr>M_Topic_I7_18</vt:lpstr>
      <vt:lpstr>M_Topic_I7_19</vt:lpstr>
      <vt:lpstr>M_Topic_I7_2</vt:lpstr>
      <vt:lpstr>M_Topic_I7_20</vt:lpstr>
      <vt:lpstr>M_Topic_I7_21</vt:lpstr>
      <vt:lpstr>M_Topic_I7_22</vt:lpstr>
      <vt:lpstr>M_Topic_I7_23</vt:lpstr>
      <vt:lpstr>M_Topic_I7_24</vt:lpstr>
      <vt:lpstr>M_Topic_I7_25</vt:lpstr>
      <vt:lpstr>M_Topic_I7_26</vt:lpstr>
      <vt:lpstr>M_Topic_I7_27</vt:lpstr>
      <vt:lpstr>M_Topic_I7_3</vt:lpstr>
      <vt:lpstr>M_Topic_I7_4</vt:lpstr>
      <vt:lpstr>M_Topic_I7_5</vt:lpstr>
      <vt:lpstr>M_Topic_I7_6</vt:lpstr>
      <vt:lpstr>M_Topic_I7_7</vt:lpstr>
      <vt:lpstr>M_Topic_I7_8</vt:lpstr>
      <vt:lpstr>M_Topic_I7_9</vt:lpstr>
      <vt:lpstr>M_Topic_I8_1</vt:lpstr>
      <vt:lpstr>M_Topic_I8_10</vt:lpstr>
      <vt:lpstr>M_Topic_I8_11</vt:lpstr>
      <vt:lpstr>M_Topic_I8_12</vt:lpstr>
      <vt:lpstr>M_Topic_I8_13</vt:lpstr>
      <vt:lpstr>M_Topic_I8_14</vt:lpstr>
      <vt:lpstr>M_Topic_I8_15</vt:lpstr>
      <vt:lpstr>M_Topic_I8_16</vt:lpstr>
      <vt:lpstr>M_Topic_I8_17</vt:lpstr>
      <vt:lpstr>M_Topic_I8_18</vt:lpstr>
      <vt:lpstr>M_Topic_I8_19</vt:lpstr>
      <vt:lpstr>M_Topic_I8_2</vt:lpstr>
      <vt:lpstr>M_Topic_I8_20</vt:lpstr>
      <vt:lpstr>M_Topic_I8_21</vt:lpstr>
      <vt:lpstr>M_Topic_I8_22</vt:lpstr>
      <vt:lpstr>M_Topic_I8_23</vt:lpstr>
      <vt:lpstr>M_Topic_I8_24</vt:lpstr>
      <vt:lpstr>M_Topic_I8_25</vt:lpstr>
      <vt:lpstr>M_Topic_I8_26</vt:lpstr>
      <vt:lpstr>M_Topic_I8_27</vt:lpstr>
      <vt:lpstr>M_Topic_I8_3</vt:lpstr>
      <vt:lpstr>M_Topic_I8_4</vt:lpstr>
      <vt:lpstr>M_Topic_I8_5</vt:lpstr>
      <vt:lpstr>M_Topic_I8_6</vt:lpstr>
      <vt:lpstr>M_Topic_I8_7</vt:lpstr>
      <vt:lpstr>M_Topic_I8_8</vt:lpstr>
      <vt:lpstr>M_Topic_I8_9</vt:lpstr>
      <vt:lpstr>M_Topic_I9_1</vt:lpstr>
      <vt:lpstr>M_Topic_I9_10</vt:lpstr>
      <vt:lpstr>M_Topic_I9_11</vt:lpstr>
      <vt:lpstr>M_Topic_I9_12</vt:lpstr>
      <vt:lpstr>M_Topic_I9_13</vt:lpstr>
      <vt:lpstr>M_Topic_I9_14</vt:lpstr>
      <vt:lpstr>M_Topic_I9_15</vt:lpstr>
      <vt:lpstr>M_Topic_I9_16</vt:lpstr>
      <vt:lpstr>M_Topic_I9_17</vt:lpstr>
      <vt:lpstr>M_Topic_I9_18</vt:lpstr>
      <vt:lpstr>M_Topic_I9_19</vt:lpstr>
      <vt:lpstr>M_Topic_I9_2</vt:lpstr>
      <vt:lpstr>M_Topic_I9_20</vt:lpstr>
      <vt:lpstr>M_Topic_I9_21</vt:lpstr>
      <vt:lpstr>M_Topic_I9_22</vt:lpstr>
      <vt:lpstr>M_Topic_I9_23</vt:lpstr>
      <vt:lpstr>M_Topic_I9_24</vt:lpstr>
      <vt:lpstr>M_Topic_I9_25</vt:lpstr>
      <vt:lpstr>M_Topic_I9_26</vt:lpstr>
      <vt:lpstr>M_Topic_I9_27</vt:lpstr>
      <vt:lpstr>M_Topic_I9_3</vt:lpstr>
      <vt:lpstr>M_Topic_I9_4</vt:lpstr>
      <vt:lpstr>M_Topic_I9_5</vt:lpstr>
      <vt:lpstr>M_Topic_I9_6</vt:lpstr>
      <vt:lpstr>M_Topic_I9_7</vt:lpstr>
      <vt:lpstr>M_Topic_I9_8</vt:lpstr>
      <vt:lpstr>M_Topic_I9_9</vt:lpstr>
      <vt:lpstr>M_TopicA_I1</vt:lpstr>
      <vt:lpstr>M_TopicA_I10</vt:lpstr>
      <vt:lpstr>M_TopicA_I11</vt:lpstr>
      <vt:lpstr>M_TopicA_I12</vt:lpstr>
      <vt:lpstr>M_TopicA_I13</vt:lpstr>
      <vt:lpstr>M_TopicA_I14</vt:lpstr>
      <vt:lpstr>M_TopicA_I15</vt:lpstr>
      <vt:lpstr>M_TopicA_I2</vt:lpstr>
      <vt:lpstr>M_TopicA_I3</vt:lpstr>
      <vt:lpstr>M_TopicA_I4</vt:lpstr>
      <vt:lpstr>M_TopicA_I5</vt:lpstr>
      <vt:lpstr>M_TopicA_I6</vt:lpstr>
      <vt:lpstr>M_TopicA_I7</vt:lpstr>
      <vt:lpstr>M_TopicA_I8</vt:lpstr>
      <vt:lpstr>M_TopicA_I9</vt:lpstr>
      <vt:lpstr>M_TopicB_I1</vt:lpstr>
      <vt:lpstr>M_TopicB_I10</vt:lpstr>
      <vt:lpstr>M_TopicB_I11</vt:lpstr>
      <vt:lpstr>M_TopicB_I12</vt:lpstr>
      <vt:lpstr>M_TopicB_I13</vt:lpstr>
      <vt:lpstr>M_TopicB_I14</vt:lpstr>
      <vt:lpstr>M_TopicB_I15</vt:lpstr>
      <vt:lpstr>M_TopicB_I2</vt:lpstr>
      <vt:lpstr>M_TopicB_I3</vt:lpstr>
      <vt:lpstr>M_TopicB_I4</vt:lpstr>
      <vt:lpstr>M_TopicB_I5</vt:lpstr>
      <vt:lpstr>M_TopicB_I6</vt:lpstr>
      <vt:lpstr>M_TopicB_I7</vt:lpstr>
      <vt:lpstr>M_TopicB_I8</vt:lpstr>
      <vt:lpstr>M_TopicB_I9</vt:lpstr>
      <vt:lpstr>Manufacturers</vt:lpstr>
      <vt:lpstr>MapLatitude</vt:lpstr>
      <vt:lpstr>MapLongitude</vt:lpstr>
      <vt:lpstr>MapZoomLevel</vt:lpstr>
      <vt:lpstr>MeasuredAirTightness</vt:lpstr>
      <vt:lpstr>MerkostnadEnergiM2Enova</vt:lpstr>
      <vt:lpstr>MerkostnadM2</vt:lpstr>
      <vt:lpstr>MerkostnadUniversellUtformingM2</vt:lpstr>
      <vt:lpstr>Miljøtema</vt:lpstr>
      <vt:lpstr>Municipalities</vt:lpstr>
      <vt:lpstr>MunicipalitiesCollaboration</vt:lpstr>
      <vt:lpstr>Name</vt:lpstr>
      <vt:lpstr>Name_Enumeration_Bygningskategori</vt:lpstr>
      <vt:lpstr>Name_Enumeration_EcoProjectTemplate</vt:lpstr>
      <vt:lpstr>Name_Enumeration_EcoProjectTemplateId</vt:lpstr>
      <vt:lpstr>Name_Enumeration_Energiforsyningssystem</vt:lpstr>
      <vt:lpstr>Name_Enumeration_EnergyLabel</vt:lpstr>
      <vt:lpstr>Name_Enumeration_EnergyLabelCodename</vt:lpstr>
      <vt:lpstr>Name_Enumeration_EnergyLabelValue</vt:lpstr>
      <vt:lpstr>Name_Enumeration_FByerImportance</vt:lpstr>
      <vt:lpstr>Name_Enumeration_FByerImportanceCodename</vt:lpstr>
      <vt:lpstr>Name_Enumeration_FByerImportanceValue</vt:lpstr>
      <vt:lpstr>Name_Enumeration_FByerTimeUsage</vt:lpstr>
      <vt:lpstr>Name_Enumeration_FByerTimeUsageCodename</vt:lpstr>
      <vt:lpstr>Name_Enumeration_FByerTimeUsageValue</vt:lpstr>
      <vt:lpstr>Name_Enumeration_GeneralProjectType</vt:lpstr>
      <vt:lpstr>Name_Enumeration_GeneralProjectTypeCodename</vt:lpstr>
      <vt:lpstr>Name_Enumeration_GeneralProjectTypeValue</vt:lpstr>
      <vt:lpstr>Name_Enumeration_HeatRating</vt:lpstr>
      <vt:lpstr>Name_Enumeration_HeatRatingCodename</vt:lpstr>
      <vt:lpstr>Name_Enumeration_HeatRatingValue</vt:lpstr>
      <vt:lpstr>Name_Enumeration_MapZoomLevel</vt:lpstr>
      <vt:lpstr>Name_Enumeration_MapZoomLevelCodename</vt:lpstr>
      <vt:lpstr>Name_Enumeration_MapZoomLevelValue</vt:lpstr>
      <vt:lpstr>Name_Enumeration_ProgressStatus</vt:lpstr>
      <vt:lpstr>Name_Enumeration_ProgressStatusCodename</vt:lpstr>
      <vt:lpstr>Name_Enumeration_ProgressStatusValue</vt:lpstr>
      <vt:lpstr>Name_rel_ArchitectofficeCategorys</vt:lpstr>
      <vt:lpstr>Name_rel_ProjectPhases</vt:lpstr>
      <vt:lpstr>Name_rel_ProjectTypes</vt:lpstr>
      <vt:lpstr>Name_rel_Usergroups</vt:lpstr>
      <vt:lpstr>Name_tbl_ArchitectofficeCategorys</vt:lpstr>
      <vt:lpstr>Name_tbl_ArchitectofficeCategorys_Id</vt:lpstr>
      <vt:lpstr>Name_tbl_ArchitectureGuides</vt:lpstr>
      <vt:lpstr>Name_tbl_ArchitectureGuides_Id</vt:lpstr>
      <vt:lpstr>Name_tbl_ArchitectureOffices</vt:lpstr>
      <vt:lpstr>Name_tbl_ArchitectureOffices_Id</vt:lpstr>
      <vt:lpstr>Name_tbl_Companys</vt:lpstr>
      <vt:lpstr>Name_tbl_Companys_Id</vt:lpstr>
      <vt:lpstr>Name_tbl_ConsultingCompanys</vt:lpstr>
      <vt:lpstr>Name_tbl_ConsultingCompanys_Id</vt:lpstr>
      <vt:lpstr>Name_tbl_ContractingForms</vt:lpstr>
      <vt:lpstr>Name_tbl_ContractingForms_Id</vt:lpstr>
      <vt:lpstr>Name_tbl_Countys</vt:lpstr>
      <vt:lpstr>Name_tbl_Countys_Id</vt:lpstr>
      <vt:lpstr>Name_tbl_EcoMeasureTypeCategorys</vt:lpstr>
      <vt:lpstr>Name_tbl_EcoMeasureTypeCategorys_Id</vt:lpstr>
      <vt:lpstr>Name_tbl_EcoMeasureTypeCategorys_Measure</vt:lpstr>
      <vt:lpstr>Name_tbl_EcoMeasureTypeCategorys_Measure_Id</vt:lpstr>
      <vt:lpstr>Name_tbl_EcoMeasureTypeCategorys_Type</vt:lpstr>
      <vt:lpstr>Name_tbl_EcoMeasureTypeCategorys_Type_Id</vt:lpstr>
      <vt:lpstr>Name_tbl_EcoMeasureTypes</vt:lpstr>
      <vt:lpstr>Name_tbl_EcoMeasureTypes_Id</vt:lpstr>
      <vt:lpstr>Name_tbl_EnvironmentalStandards</vt:lpstr>
      <vt:lpstr>Name_tbl_EnvironmentalStandards_Id</vt:lpstr>
      <vt:lpstr>Name_tbl_ExternalProjectDBUsers</vt:lpstr>
      <vt:lpstr>Name_tbl_ExternalProjectDBUsers_Id</vt:lpstr>
      <vt:lpstr>Name_tbl_ExternalTags</vt:lpstr>
      <vt:lpstr>Name_tbl_ExternalTags_Id</vt:lpstr>
      <vt:lpstr>Name_tbl_FByerExternalTags</vt:lpstr>
      <vt:lpstr>Name_tbl_FByerExternalTags_Id</vt:lpstr>
      <vt:lpstr>Name_tbl_Municipalitys</vt:lpstr>
      <vt:lpstr>Name_tbl_Municipalitys_Id</vt:lpstr>
      <vt:lpstr>Name_tbl_ProjectAwardss</vt:lpstr>
      <vt:lpstr>Name_tbl_ProjectAwardss_Id</vt:lpstr>
      <vt:lpstr>Name_tbl_ProjectCompetitions</vt:lpstr>
      <vt:lpstr>Name_tbl_ProjectCompetitions_Id</vt:lpstr>
      <vt:lpstr>Name_tbl_ProjectPhases</vt:lpstr>
      <vt:lpstr>Name_tbl_ProjectPhases_Id</vt:lpstr>
      <vt:lpstr>Name_tbl_ProjectTypes</vt:lpstr>
      <vt:lpstr>Name_tbl_ProjectTypes_Id</vt:lpstr>
      <vt:lpstr>Name_tbl_Researchs</vt:lpstr>
      <vt:lpstr>Name_tbl_Researchs_Id</vt:lpstr>
      <vt:lpstr>Name_tbl_RoleModels</vt:lpstr>
      <vt:lpstr>Name_tbl_RoleModels_Id</vt:lpstr>
      <vt:lpstr>NameTableArchitechtureOffices</vt:lpstr>
      <vt:lpstr>NameTableCompanys</vt:lpstr>
      <vt:lpstr>NameTableConsultingCompanys</vt:lpstr>
      <vt:lpstr>NetEnergy</vt:lpstr>
      <vt:lpstr>NetEnergy3700</vt:lpstr>
      <vt:lpstr>NumberOfResidents</vt:lpstr>
      <vt:lpstr>OPPLYSNINGER!O_AdvisorIngAcoustics_I</vt:lpstr>
      <vt:lpstr>OPPLYSNINGER!O_AdvisorIngBuildingPhysics_I</vt:lpstr>
      <vt:lpstr>OPPLYSNINGER!O_AdvisorIngBygg_I</vt:lpstr>
      <vt:lpstr>OPPLYSNINGER!O_AdvisorIngElektro_I</vt:lpstr>
      <vt:lpstr>OPPLYSNINGER!O_AdvisorIngFireSafety_I</vt:lpstr>
      <vt:lpstr>OPPLYSNINGER!O_AdvisorIngVVS_I</vt:lpstr>
      <vt:lpstr>OPPLYSNINGER!O_ArchitectARK_I1</vt:lpstr>
      <vt:lpstr>OPPLYSNINGER!O_ArchitectIARK_I1</vt:lpstr>
      <vt:lpstr>OPPLYSNINGER!O_ArchitectLARK_I1</vt:lpstr>
      <vt:lpstr>OPPLYSNINGER!O_Builders_I1</vt:lpstr>
      <vt:lpstr>OPPLYSNINGER!O_CO2DesignedEnergy_I</vt:lpstr>
      <vt:lpstr>OPPLYSNINGER!O_CO2DesignedMaterials_I</vt:lpstr>
      <vt:lpstr>OPPLYSNINGER!O_CO2DesignedTransport_I</vt:lpstr>
      <vt:lpstr>OPPLYSNINGER!O_CO2FinishedEnergy_I</vt:lpstr>
      <vt:lpstr>OPPLYSNINGER!O_CO2FinishedMaterials_I</vt:lpstr>
      <vt:lpstr>OPPLYSNINGER!O_CO2FinishedTransport_I</vt:lpstr>
      <vt:lpstr>OPPLYSNINGER!O_CO2InUseEnergy_I</vt:lpstr>
      <vt:lpstr>OPPLYSNINGER!O_CO2InUseMaterials_I</vt:lpstr>
      <vt:lpstr>OPPLYSNINGER!O_CO2InUseTransport_I</vt:lpstr>
      <vt:lpstr>OPPLYSNINGER!O_ConstructionCompletedYear_I</vt:lpstr>
      <vt:lpstr>OPPLYSNINGER!O_ConstructionManagement_I1</vt:lpstr>
      <vt:lpstr>OPPLYSNINGER!O_ConstructionManagement_I2</vt:lpstr>
      <vt:lpstr>OPPLYSNINGER!O_ConstructionStartedYear_I</vt:lpstr>
      <vt:lpstr>OPPLYSNINGER!O_Contractors_I1</vt:lpstr>
      <vt:lpstr>OPPLYSNINGER!O_Contractors_I2</vt:lpstr>
      <vt:lpstr>OPPLYSNINGER!O_Contractors_I3</vt:lpstr>
      <vt:lpstr>OPPLYSNINGER!O_DateToday_I</vt:lpstr>
      <vt:lpstr>OPPLYSNINGER!O_Energiforsyningssystem_I1</vt:lpstr>
      <vt:lpstr>OPPLYSNINGER!O_EnergiforsyningssystemKommentar_I1</vt:lpstr>
      <vt:lpstr>OPPLYSNINGER!O_EnergyConsultants_I1</vt:lpstr>
      <vt:lpstr>OPPLYSNINGER!O_EnergyDelivered_I</vt:lpstr>
      <vt:lpstr>OPPLYSNINGER!O_EnvironmentConsultants_I1</vt:lpstr>
      <vt:lpstr>OPPLYSNINGER!O_EstimatedDeliveredEnergy_I</vt:lpstr>
      <vt:lpstr>OPPLYSNINGER!O_FunctionBuildingCategory_I1</vt:lpstr>
      <vt:lpstr>OPPLYSNINGER!O_Manufacturers_I</vt:lpstr>
      <vt:lpstr>OPPLYSNINGER!O_Municipalities_I1</vt:lpstr>
      <vt:lpstr>OPPLYSNINGER!O_Name_I</vt:lpstr>
      <vt:lpstr>OPPLYSNINGER!O_NetEnergy_I</vt:lpstr>
      <vt:lpstr>OPPLYSNINGER!O_OriginalArchitect_I1</vt:lpstr>
      <vt:lpstr>OPPLYSNINGER!O_OtherAdvisors_I</vt:lpstr>
      <vt:lpstr>OPPLYSNINGER!O_ProjectAddress_I</vt:lpstr>
      <vt:lpstr>OPPLYSNINGER!O_ProjectCompetitionForm_I1</vt:lpstr>
      <vt:lpstr>OPPLYSNINGER!O_ProjectContractingForm_I1</vt:lpstr>
      <vt:lpstr>OPPLYSNINGER!O_ProjectEnvironmentalStandard_I2</vt:lpstr>
      <vt:lpstr>OPPLYSNINGER!O_ProjectEnvironmentalStandard_I3</vt:lpstr>
      <vt:lpstr>OPPLYSNINGER!O_ProjectManagagers_I1</vt:lpstr>
      <vt:lpstr>OPPLYSNINGER!O_ProjectPhase_I1</vt:lpstr>
      <vt:lpstr>OPPLYSNINGER!O_ProjectResearch_I1</vt:lpstr>
      <vt:lpstr>OPPLYSNINGER!O_ProjectResearch_I2</vt:lpstr>
      <vt:lpstr>OPPLYSNINGER!O_ProjectSupportEnova_I</vt:lpstr>
      <vt:lpstr>OPPLYSNINGER!O_ProjectSupportHusbanken_I</vt:lpstr>
      <vt:lpstr>OPPLYSNINGER!O_ProjectTypes_I1</vt:lpstr>
      <vt:lpstr>OPPLYSNINGER!O_Subcontractors_I</vt:lpstr>
      <vt:lpstr>OriginalArchitect</vt:lpstr>
      <vt:lpstr>OtherAdvisors</vt:lpstr>
      <vt:lpstr>OtherCollaboration</vt:lpstr>
      <vt:lpstr>OtherEnergyPosts</vt:lpstr>
      <vt:lpstr>OthersInvolved</vt:lpstr>
      <vt:lpstr>P_CompactnessFactor_I</vt:lpstr>
      <vt:lpstr>P_NumberOfResidents_I</vt:lpstr>
      <vt:lpstr>Paragraphs</vt:lpstr>
      <vt:lpstr>ParkingArea</vt:lpstr>
      <vt:lpstr>ParkingSpotsPerUnit</vt:lpstr>
      <vt:lpstr>Partners</vt:lpstr>
      <vt:lpstr>PrivateCollaboration</vt:lpstr>
      <vt:lpstr>ProgressDescription</vt:lpstr>
      <vt:lpstr>ProgressStatus</vt:lpstr>
      <vt:lpstr>ProjectAddress</vt:lpstr>
      <vt:lpstr>ProjectArchitectureGuide</vt:lpstr>
      <vt:lpstr>ProjectAward</vt:lpstr>
      <vt:lpstr>ProjectCompetitionForm</vt:lpstr>
      <vt:lpstr>ProjectContractingForm</vt:lpstr>
      <vt:lpstr>ProjectEnvironmentalStandard</vt:lpstr>
      <vt:lpstr>ProjectManagagers</vt:lpstr>
      <vt:lpstr>ProjectOwner</vt:lpstr>
      <vt:lpstr>ProjectPeriod</vt:lpstr>
      <vt:lpstr>ProjectPhase</vt:lpstr>
      <vt:lpstr>ProjectResearch</vt:lpstr>
      <vt:lpstr>ProjectResponsibleFB</vt:lpstr>
      <vt:lpstr>ProjectRoleModel</vt:lpstr>
      <vt:lpstr>ProjectSupportEnova</vt:lpstr>
      <vt:lpstr>ProjectSupportHusbanken</vt:lpstr>
      <vt:lpstr>ProjectTypes</vt:lpstr>
      <vt:lpstr>PublishAccess</vt:lpstr>
      <vt:lpstr>PublishedIn</vt:lpstr>
      <vt:lpstr>PublishToByrapport</vt:lpstr>
      <vt:lpstr>PublishToEnova</vt:lpstr>
      <vt:lpstr>PublishToFramtidensByer</vt:lpstr>
      <vt:lpstr>PublishToHusbanken</vt:lpstr>
      <vt:lpstr>PublishToTretekniskInstitutt</vt:lpstr>
      <vt:lpstr>PumpAdministration</vt:lpstr>
      <vt:lpstr>QuickLinks</vt:lpstr>
      <vt:lpstr>References</vt:lpstr>
      <vt:lpstr>ResponsibleDepartment</vt:lpstr>
      <vt:lpstr>RoomCooling</vt:lpstr>
      <vt:lpstr>RoomHeating</vt:lpstr>
      <vt:lpstr>ShortDescription</vt:lpstr>
      <vt:lpstr>ShowKeyFigures</vt:lpstr>
      <vt:lpstr>SpecificFanPower</vt:lpstr>
      <vt:lpstr>SquareFootGlass</vt:lpstr>
      <vt:lpstr>Status</vt:lpstr>
      <vt:lpstr>SubContractors</vt:lpstr>
      <vt:lpstr>Subtitle</vt:lpstr>
      <vt:lpstr>TechnicalEquipment</vt:lpstr>
      <vt:lpstr>UniversalDesignConsultants</vt:lpstr>
      <vt:lpstr>UValueFloor</vt:lpstr>
      <vt:lpstr>UValueRoof</vt:lpstr>
      <vt:lpstr>UValueWall</vt:lpstr>
      <vt:lpstr>UValueWindow</vt:lpstr>
      <vt:lpstr>VentilationCooling</vt:lpstr>
      <vt:lpstr>VentilationHeating</vt:lpstr>
      <vt:lpstr>WalkwaysLength</vt:lpstr>
    </vt:vector>
  </TitlesOfParts>
  <Manager/>
  <Company>Norske Arkitekters Landsforbund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Anda</dc:creator>
  <cp:keywords/>
  <dc:description/>
  <cp:lastModifiedBy>Guro Aalrust</cp:lastModifiedBy>
  <cp:revision/>
  <dcterms:created xsi:type="dcterms:W3CDTF">2010-09-10T12:34:28Z</dcterms:created>
  <dcterms:modified xsi:type="dcterms:W3CDTF">2023-06-07T11:01:16Z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0x010100596EC8561B693247A205301C4AA5CDE3</vt:lpwstr>
  </property>
  <property fmtid="{D5CDD505-2E9C-101B-9397-08002B2CF9AE}" pid="3" name="Order">
    <vt:r8>34400</vt:r8>
  </property>
  <property fmtid="{D5CDD505-2E9C-101B-9397-08002B2CF9AE}" pid="4" name="MediaServiceImageTags">
    <vt:lpwstr/>
  </property>
</Properties>
</file>